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13F1941-7B84-4246-AB30-A52034D488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<sst xmlns="http://schemas.openxmlformats.org/spreadsheetml/2006/main" count="16727" uniqueCount="2424">
  <si>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</si>
  <si>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</si>
  <si>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</si>
  <si>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</si>
  <si>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</si>
  <si>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</si>
  <si>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</si>
  <si>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</si>
  <si>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</si>
  <si>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</si>
  <si>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</si>
  <si>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</si>
  <si>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</si>
  <si>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</si>
  <si>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</si>
  <si>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</si>
  <si>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</si>
  <si>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</si>
  <si>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</si>
  <si>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</si>
  <si>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</si>
  <si>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</si>
  <si>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</si>
  <si>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</si>
  <si>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</si>
  <si>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</si>
  <si>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</si>
  <si>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</si>
  <si>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</si>
  <si>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</si>
  <si>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</si>
  <si>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</si>
  <si>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</si>
  <si>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</si>
  <si>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</si>
  <si>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</si>
  <si>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</si>
  <si>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</si>
  <si>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</si>
  <si>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</si>
  <si>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</si>
  <si>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</si>
  <si>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</si>
  <si>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</si>
  <si>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</si>
  <si>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</si>
  <si>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</si>
  <si>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</si>
  <si>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</si>
  <si>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</si>
  <si>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</si>
  <si>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</si>
  <si>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</si>
  <si>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</si>
  <si>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</si>
  <si>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</si>
  <si>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</si>
  <si>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</si>
  <si>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</si>
  <si>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</si>
  <si>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</si>
  <si>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</si>
  <si>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</si>
  <si>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</si>
  <si>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</si>
  <si>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</si>
  <si>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</si>
  <si>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</si>
  <si>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</si>
  <si>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</si>
  <si>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</si>
  <si>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</si>
  <si>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</si>
  <si>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</si>
  <si>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</si>
  <si>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</si>
  <si>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</si>
  <si>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</si>
  <si>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</si>
  <si>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</si>
  <si>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</si>
  <si>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</si>
  <si>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</si>
  <si>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</si>
  <si>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</si>
  <si>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</si>
  <si>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</si>
  <si>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</si>
  <si>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</si>
  <si>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</si>
  <si>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</si>
  <si>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</si>
  <si>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</si>
  <si>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</si>
  <si>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</si>
  <si>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</si>
  <si>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</si>
  <si>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</si>
  <si>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</si>
  <si>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</si>
  <si>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</si>
  <si>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</si>
  <si>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</si>
  <si>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</si>
  <si>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</si>
  <si>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</si>
  <si>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</si>
  <si>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</si>
  <si>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</si>
  <si>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</si>
  <si>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</si>
  <si>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</si>
  <si>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</si>
  <si>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</si>
  <si>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</si>
  <si>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</si>
  <si>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</si>
  <si>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</si>
  <si>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</si>
  <si>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</si>
  <si>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</si>
  <si>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</si>
  <si>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</si>
  <si>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</si>
  <si>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</si>
  <si>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</si>
  <si>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</si>
  <si>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</si>
  <si>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</si>
  <si>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</si>
  <si>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</si>
  <si>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</si>
  <si>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</si>
  <si>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</si>
  <si>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</si>
  <si>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</si>
  <si>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</si>
  <si>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</si>
  <si>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</si>
  <si>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</si>
  <si>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</si>
  <si>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</si>
  <si>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</si>
  <si>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</si>
  <si>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</si>
  <si>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</si>
  <si>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</si>
  <si>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</si>
  <si>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</si>
  <si>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</si>
  <si>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</si>
  <si>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</si>
  <si>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</si>
  <si>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</si>
  <si>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</si>
  <si>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</si>
  <si>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</si>
  <si>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</si>
  <si>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</si>
  <si>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</si>
  <si>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</si>
  <si>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</si>
  <si>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</si>
  <si>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</si>
  <si>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</si>
  <si>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</si>
  <si>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</si>
  <si>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</si>
  <si>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</si>
  <si>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</si>
  <si>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</si>
  <si>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</si>
  <si>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</si>
  <si>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</si>
  <si>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</si>
  <si>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</si>
  <si>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</si>
  <si>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</si>
  <si>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</si>
  <si>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</si>
  <si>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</si>
  <si>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</si>
  <si>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</si>
  <si>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</si>
  <si>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</si>
  <si>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</si>
  <si>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</si>
  <si>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</si>
  <si>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</si>
  <si>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</si>
  <si>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</si>
  <si>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</si>
  <si>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</si>
  <si>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</si>
  <si>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</si>
  <si>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</si>
  <si>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</si>
  <si>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</si>
  <si>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</si>
  <si>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</si>
  <si>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</si>
  <si>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</si>
  <si>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</si>
  <si>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</si>
  <si>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</si>
  <si>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</si>
  <si>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</si>
  <si>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</si>
  <si>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</si>
  <si>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</si>
  <si>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</si>
  <si>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</si>
  <si>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</si>
  <si>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</si>
  <si>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</si>
  <si>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</si>
  <si>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</si>
  <si>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</si>
  <si>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</si>
  <si>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</si>
  <si>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</si>
  <si>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</si>
  <si>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</si>
  <si>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</si>
  <si>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</si>
  <si>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</si>
  <si>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</si>
  <si>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</si>
  <si>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</si>
  <si>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</si>
  <si>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</si>
  <si>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</si>
  <si>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</si>
  <si>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</si>
  <si>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</si>
  <si>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</si>
  <si>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</si>
  <si>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</si>
  <si>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</si>
  <si>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</si>
  <si>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</si>
  <si>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</si>
  <si>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</si>
  <si>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</si>
  <si>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</si>
  <si>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</si>
  <si>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</si>
  <si>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</si>
  <si>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</si>
  <si>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</si>
  <si>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</si>
  <si>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</si>
  <si>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</si>
  <si>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</si>
  <si>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</si>
  <si>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</si>
  <si>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</si>
  <si>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</si>
  <si>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</si>
  <si>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</si>
  <si>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</si>
  <si>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</si>
  <si>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</si>
  <si>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</si>
  <si>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</si>
  <si>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</si>
  <si>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</si>
  <si>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</si>
  <si>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</si>
  <si>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</si>
  <si>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</si>
  <si>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</si>
  <si>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</si>
  <si>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</si>
  <si>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</si>
  <si>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</si>
  <si>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</si>
  <si>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</si>
  <si>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</si>
  <si>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</si>
  <si>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</si>
  <si>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</si>
  <si>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</si>
  <si>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</si>
  <si>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</si>
  <si>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</si>
  <si>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</si>
  <si>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</si>
  <si>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</si>
  <si>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</si>
  <si>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</si>
  <si>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</si>
  <si>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</si>
  <si>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</si>
  <si>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</si>
  <si>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</si>
  <si>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</si>
  <si>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</si>
  <si>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</si>
  <si>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</si>
  <si>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</si>
  <si>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</si>
  <si>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</si>
  <si>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</si>
  <si>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</si>
  <si>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</si>
  <si>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</si>
  <si>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</si>
  <si>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</si>
  <si>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</si>
  <si>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</si>
  <si>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</si>
  <si>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</si>
  <si>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</si>
  <si>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</si>
  <si>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</si>
  <si>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</si>
  <si>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</si>
  <si>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</si>
  <si>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</si>
  <si>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</si>
  <si>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</si>
  <si>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</si>
  <si>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</si>
  <si>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</si>
  <si>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</si>
  <si>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</si>
  <si>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</si>
  <si>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</si>
  <si>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</si>
  <si>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</si>
  <si>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</si>
  <si>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</si>
  <si>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</si>
  <si>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</si>
  <si>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</si>
  <si>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</si>
  <si>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</si>
  <si>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</si>
  <si>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</si>
  <si>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</si>
  <si>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</si>
  <si>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</si>
  <si>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</si>
  <si>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</si>
  <si>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</si>
  <si>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</si>
  <si>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</si>
  <si>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</si>
  <si>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</si>
  <si>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</si>
  <si>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</si>
  <si>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</si>
  <si>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</si>
  <si>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</si>
  <si>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</si>
  <si>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</si>
  <si>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</si>
  <si>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</si>
  <si>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</si>
  <si>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</si>
  <si>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</si>
  <si>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</si>
  <si>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</si>
  <si>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</si>
  <si>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</si>
  <si>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</si>
  <si>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</si>
  <si>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</si>
  <si>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</si>
  <si>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</si>
  <si>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</si>
  <si>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</si>
  <si>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</si>
  <si>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</si>
  <si>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</si>
  <si>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</si>
  <si>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</si>
  <si>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</si>
  <si>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</si>
  <si>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</si>
  <si>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</si>
  <si>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</si>
  <si>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</si>
  <si>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</si>
  <si>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</si>
  <si>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</si>
  <si>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</si>
  <si>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</si>
  <si>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</si>
  <si>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</si>
  <si>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</si>
  <si>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</si>
  <si>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</si>
  <si>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</si>
  <si>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</si>
  <si>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</si>
  <si>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</si>
  <si>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</si>
  <si>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</si>
  <si>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</si>
  <si>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</si>
  <si>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</si>
  <si>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</si>
  <si>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</si>
  <si>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</si>
  <si>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</si>
  <si>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</si>
  <si>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</si>
  <si>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</si>
  <si>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</si>
  <si>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</si>
  <si>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</si>
  <si>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</si>
  <si>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</si>
  <si>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</si>
  <si>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</si>
  <si>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</si>
  <si>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</si>
  <si>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</si>
  <si>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</si>
  <si>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</si>
  <si>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</si>
  <si>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</si>
  <si>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</si>
  <si>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</si>
  <si>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</si>
  <si>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</si>
  <si>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</si>
  <si>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</si>
  <si>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</si>
  <si>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</si>
  <si>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</si>
  <si>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</si>
  <si>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</si>
  <si>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</si>
  <si>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</si>
  <si>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</si>
  <si>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</si>
  <si>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</si>
  <si>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</si>
  <si>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</si>
  <si>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</si>
  <si>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</si>
  <si>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</si>
  <si>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</si>
  <si>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</si>
  <si>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</si>
  <si>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</si>
  <si>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</si>
  <si>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</si>
  <si>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</si>
  <si>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</si>
  <si>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</si>
  <si>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</si>
  <si>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</si>
  <si>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</si>
  <si>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</si>
  <si>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</si>
  <si>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</si>
  <si>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</si>
  <si>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</si>
  <si>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</si>
  <si>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</si>
  <si>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</si>
  <si>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</si>
  <si>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</si>
  <si>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</si>
  <si>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</si>
  <si>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</si>
  <si>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</si>
  <si>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</si>
  <si>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</si>
  <si>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</si>
  <si>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</si>
  <si>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</si>
  <si>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</si>
  <si>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</si>
  <si>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</si>
  <si>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</si>
  <si>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</si>
  <si>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</si>
  <si>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</si>
  <si>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</si>
  <si>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</si>
  <si>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</si>
  <si>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</si>
  <si>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</si>
  <si>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</si>
  <si>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</si>
  <si>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</si>
  <si>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</si>
  <si>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</si>
  <si>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</si>
  <si>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</si>
  <si>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</si>
  <si>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</si>
  <si>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</si>
  <si>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</si>
  <si>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</si>
  <si>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</si>
  <si>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</si>
  <si>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</si>
  <si>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</si>
  <si>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</si>
  <si>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</si>
  <si>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</si>
  <si>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</si>
  <si>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</si>
  <si>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</si>
  <si>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</si>
  <si>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</si>
  <si>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</si>
  <si>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</si>
  <si>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</si>
  <si>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</si>
  <si>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</si>
  <si>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</si>
  <si>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</si>
  <si>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</si>
  <si>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</si>
  <si>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</si>
  <si>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</si>
  <si>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</si>
  <si>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</si>
  <si>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</si>
  <si>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</si>
  <si>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</si>
  <si>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</si>
  <si>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</si>
  <si>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</si>
  <si>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</si>
  <si>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</si>
  <si>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</si>
  <si>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</si>
  <si>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</si>
  <si>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</si>
  <si>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</si>
  <si>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</si>
  <si>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</si>
  <si>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</si>
  <si>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</si>
  <si>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</si>
  <si>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</si>
  <si>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</si>
  <si>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</si>
  <si>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</si>
  <si>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</si>
  <si>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</si>
  <si>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</si>
  <si>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</si>
  <si>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</si>
  <si>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</si>
  <si>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</si>
  <si>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</si>
  <si>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</si>
  <si>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</si>
  <si>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</si>
  <si>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</si>
  <si>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</si>
  <si>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</si>
  <si>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</si>
  <si>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</si>
  <si>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</si>
  <si>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</si>
  <si>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</si>
  <si>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</si>
  <si>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</si>
  <si>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</si>
  <si>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</si>
  <si>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</si>
  <si>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</si>
  <si>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</si>
  <si>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</si>
  <si>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</si>
  <si>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</si>
  <si>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</si>
  <si>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</si>
  <si>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</si>
  <si>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</si>
  <si>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</si>
  <si>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</si>
  <si>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</si>
  <si>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</si>
  <si>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</si>
  <si>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</si>
  <si>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</si>
  <si>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</si>
  <si>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</si>
  <si>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</si>
  <si>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</si>
  <si>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</si>
  <si>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</si>
  <si>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</si>
  <si>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</si>
  <si>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</si>
  <si>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</si>
  <si>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</si>
  <si>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</si>
  <si>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</si>
  <si>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</si>
  <si>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</si>
  <si>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</si>
  <si>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</si>
  <si>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</si>
  <si>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</si>
  <si>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</si>
  <si>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</si>
  <si>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</si>
  <si>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</si>
  <si>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</si>
  <si>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</si>
  <si>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</si>
  <si>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</si>
  <si>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</si>
  <si>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</si>
  <si>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</si>
  <si>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</si>
  <si>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</si>
  <si>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</si>
  <si>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</si>
  <si>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</si>
  <si>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</si>
  <si>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</si>
  <si>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</si>
  <si>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</si>
  <si>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</si>
  <si>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</si>
  <si>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</si>
  <si>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</si>
  <si>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</si>
  <si>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</si>
  <si>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</si>
  <si>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</si>
  <si>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</si>
  <si>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</si>
  <si>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</si>
  <si>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</si>
  <si>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</si>
  <si>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</si>
  <si>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</si>
  <si>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</si>
  <si>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</si>
  <si>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</si>
  <si>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</si>
  <si>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</si>
  <si>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</si>
  <si>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</si>
  <si>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</si>
  <si>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</si>
  <si>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</si>
  <si>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</si>
  <si>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</si>
  <si>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</si>
  <si>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</si>
  <si>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</si>
  <si>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</si>
  <si>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</si>
  <si>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</si>
  <si>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</si>
  <si>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</si>
  <si>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</si>
  <si>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</si>
  <si>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</si>
  <si>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</si>
  <si>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</si>
  <si>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</si>
  <si>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</si>
  <si>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</si>
  <si>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</si>
  <si>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</si>
  <si>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</si>
  <si>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</si>
  <si>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</si>
  <si>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</si>
  <si>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</si>
  <si>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</si>
  <si>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</si>
  <si>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</si>
  <si>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</si>
  <si>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</si>
  <si>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</si>
  <si>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</si>
  <si>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</si>
  <si>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</si>
  <si>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</si>
  <si>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</si>
  <si>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</si>
  <si>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</si>
  <si>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</si>
  <si>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</si>
  <si>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</si>
  <si>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</si>
  <si>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</si>
  <si>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</si>
  <si>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</si>
  <si>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</si>
  <si>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</si>
  <si>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</si>
  <si>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</si>
  <si>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</si>
  <si>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</si>
  <si>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</si>
  <si>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</si>
  <si>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</si>
  <si>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</si>
  <si>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</si>
  <si>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</si>
  <si>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</si>
  <si>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</si>
  <si>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</si>
  <si>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</si>
  <si>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</si>
  <si>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</si>
  <si>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</si>
  <si>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</si>
  <si>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</si>
  <si>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</si>
  <si>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</si>
  <si>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</si>
  <si>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</si>
  <si>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</si>
  <si>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</si>
  <si>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</si>
  <si>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</si>
  <si>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</si>
  <si>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</si>
  <si>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</si>
  <si>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</si>
  <si>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</si>
  <si>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</si>
  <si>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</si>
  <si>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</si>
  <si>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</si>
  <si>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</si>
  <si>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</si>
  <si>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</si>
  <si>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</si>
  <si>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</si>
  <si>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</si>
  <si>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</si>
  <si>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</si>
  <si>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</si>
  <si>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</si>
  <si>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</si>
  <si>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</si>
  <si>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</si>
  <si>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</si>
  <si>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</si>
  <si>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</si>
  <si>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</si>
  <si>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</si>
  <si>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</si>
  <si>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</si>
  <si>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</si>
  <si>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</si>
  <si>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</si>
  <si>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</si>
  <si>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</si>
  <si>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</si>
  <si>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</si>
  <si>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</si>
  <si>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</si>
  <si>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</si>
  <si>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</si>
  <si>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</si>
  <si>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</si>
  <si>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</si>
  <si>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</si>
  <si>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</si>
  <si>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</si>
  <si>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</si>
  <si>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</si>
  <si>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</si>
  <si>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</si>
  <si>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</si>
  <si>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</si>
  <si>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</si>
  <si>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</si>
  <si>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</si>
  <si>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</si>
  <si>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</si>
  <si>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</si>
  <si>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</si>
  <si>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</si>
  <si>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</si>
  <si>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</si>
  <si>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</si>
  <si>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</si>
  <si>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</si>
  <si>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</si>
  <si>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</si>
  <si>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</si>
  <si>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</si>
  <si>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</si>
  <si>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</si>
  <si>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</si>
  <si>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</si>
  <si>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</si>
  <si>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</si>
  <si>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</si>
  <si>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</si>
  <si>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</si>
  <si>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</si>
  <si>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</si>
  <si>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</si>
  <si>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</si>
  <si>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</si>
  <si>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</si>
  <si>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</si>
  <si>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</si>
  <si>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</si>
  <si>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</si>
  <si>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</si>
  <si>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</si>
  <si>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</si>
  <si>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</si>
  <si>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</si>
  <si>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</si>
  <si>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</si>
  <si>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</si>
  <si>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</si>
  <si>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</si>
  <si>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</si>
  <si>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</si>
  <si>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</si>
  <si>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</si>
  <si>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</si>
  <si>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</si>
  <si>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</si>
  <si>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</si>
  <si>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</si>
  <si>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</si>
  <si>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</si>
  <si>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</si>
  <si>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</si>
  <si>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</si>
  <si>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</si>
  <si>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</si>
  <si>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</si>
  <si>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</si>
  <si>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</si>
  <si>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</si>
  <si>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</si>
  <si>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</si>
  <si>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</si>
  <si>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</si>
  <si>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</si>
  <si>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</si>
  <si>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</si>
  <si>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</si>
  <si>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</si>
  <si>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</si>
  <si>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</si>
  <si>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</si>
  <si>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</si>
  <si>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</si>
  <si>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</si>
  <si>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</si>
  <si>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</si>
  <si>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</si>
  <si>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</si>
  <si>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</si>
  <si>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</si>
  <si>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</si>
  <si>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</si>
  <si>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</si>
  <si>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</si>
  <si>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</si>
  <si>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</si>
  <si>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</si>
  <si>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</si>
  <si>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</si>
  <si>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</si>
  <si>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</si>
  <si>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</si>
  <si>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</si>
  <si>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</si>
  <si>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</si>
  <si>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</si>
  <si>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</si>
  <si>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</si>
  <si>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</si>
  <si>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</si>
  <si>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</si>
  <si>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</si>
  <si>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</si>
  <si>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</si>
  <si>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</si>
  <si>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</si>
  <si>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</si>
  <si>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</si>
  <si>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</si>
  <si>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</si>
  <si>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</si>
  <si>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</si>
  <si>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</si>
  <si>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</si>
  <si>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</si>
  <si>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</si>
  <si>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</si>
  <si>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</si>
  <si>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</si>
  <si>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</si>
  <si>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</si>
  <si>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</si>
  <si>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</si>
  <si>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</si>
  <si>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</si>
  <si>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</si>
  <si>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</si>
  <si>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</si>
  <si>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</si>
  <si>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</si>
  <si>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</si>
  <si>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</si>
  <si>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</si>
  <si>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</si>
  <si>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</si>
  <si>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</si>
  <si>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</si>
  <si>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</si>
  <si>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</si>
  <si>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</si>
  <si>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</si>
  <si>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</si>
  <si>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</si>
  <si>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</si>
  <si>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</si>
  <si>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</si>
  <si>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</si>
  <si>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</si>
  <si>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</si>
  <si>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</si>
  <si>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</si>
  <si>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</si>
  <si>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</si>
  <si>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</si>
  <si>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</si>
  <si>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</si>
  <si>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</si>
  <si>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</si>
  <si>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</si>
  <si>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</si>
  <si>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</si>
  <si>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</si>
  <si>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</si>
  <si>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</si>
  <si>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</si>
  <si>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</si>
  <si>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</si>
  <si>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</si>
  <si>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</si>
  <si>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</si>
  <si>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</si>
  <si>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</si>
  <si>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</si>
  <si>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</si>
  <si>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</si>
  <si>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</si>
  <si>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</si>
  <si>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</si>
  <si>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</si>
  <si>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</si>
  <si>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</si>
  <si>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</si>
  <si>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</si>
  <si>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</si>
  <si>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</si>
  <si>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</si>
  <si>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</si>
  <si>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</si>
  <si>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</si>
  <si>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</si>
  <si>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</si>
  <si>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</si>
  <si>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</si>
  <si>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</si>
  <si>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</si>
  <si>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</si>
  <si>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</si>
  <si>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</si>
  <si>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</si>
  <si>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</si>
  <si>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</si>
  <si>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</si>
  <si>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</si>
  <si>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</si>
  <si>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</si>
  <si>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</si>
  <si>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</si>
  <si>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</si>
  <si>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</si>
  <si>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</si>
  <si>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</si>
  <si>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</si>
  <si>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</si>
  <si>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</si>
  <si>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</si>
  <si>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</si>
  <si>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</si>
  <si>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</si>
  <si>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</si>
  <si>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</si>
  <si>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</si>
  <si>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</si>
  <si>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</si>
  <si>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</si>
  <si>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</si>
  <si>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</si>
  <si>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</si>
  <si>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</si>
  <si>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</si>
  <si>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</si>
  <si>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</si>
  <si>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</si>
  <si>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</si>
  <si>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</si>
  <si>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</si>
  <si>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</si>
  <si>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</si>
  <si>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</si>
  <si>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</si>
  <si>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</si>
  <si>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</si>
  <si>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</si>
  <si>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</si>
  <si>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</si>
  <si>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</si>
  <si>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</si>
  <si>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</si>
  <si>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</si>
  <si>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</si>
  <si>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</si>
  <si>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</si>
  <si>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</si>
  <si>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</si>
  <si>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</si>
  <si>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</si>
  <si>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</si>
  <si>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</si>
  <si>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</si>
  <si>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</si>
  <si>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</si>
  <si>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</si>
  <si>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</si>
  <si>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</si>
  <si>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</si>
  <si>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</si>
  <si>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</si>
  <si>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</si>
  <si>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</si>
  <si>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</si>
  <si>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</si>
  <si>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</si>
  <si>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</si>
  <si>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</si>
  <si>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</si>
  <si>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</si>
  <si>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</si>
  <si>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</si>
  <si>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</si>
  <si>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</si>
  <si>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</si>
  <si>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</si>
  <si>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</si>
  <si>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</si>
  <si>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</si>
  <si>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</si>
  <si>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</si>
  <si>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</si>
  <si>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</si>
  <si>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</si>
  <si>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</si>
  <si>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</si>
  <si>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</si>
  <si>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</si>
  <si>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</si>
  <si>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</si>
  <si>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</si>
  <si>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</si>
  <si>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</si>
  <si>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</si>
  <si>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</si>
  <si>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</si>
  <si>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</si>
  <si>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</si>
  <si>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</si>
  <si>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</si>
  <si>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</si>
  <si>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</si>
  <si>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</si>
  <si>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</si>
  <si>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</si>
  <si>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</si>
  <si>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</si>
  <si>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</si>
  <si>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</si>
  <si>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</si>
  <si>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</si>
  <si>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</si>
  <si>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</si>
  <si>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</si>
  <si>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</si>
  <si>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</si>
  <si>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</si>
  <si>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</si>
  <si>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</si>
  <si>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</si>
  <si>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</si>
  <si>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</si>
  <si>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</si>
  <si>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</si>
  <si>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</si>
  <si>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</si>
  <si>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</si>
  <si>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</si>
  <si>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</si>
  <si>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</si>
  <si>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</si>
  <si>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</si>
  <si>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</si>
  <si>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</si>
  <si>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</si>
  <si>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</si>
  <si>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</si>
  <si>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</si>
  <si>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</si>
  <si>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</si>
  <si>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</si>
  <si>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</si>
  <si>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</si>
  <si>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</si>
  <si>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</si>
  <si>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</si>
  <si>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</si>
  <si>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</si>
  <si>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</si>
  <si>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</si>
  <si>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</si>
  <si>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</si>
  <si>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</si>
  <si>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</si>
  <si>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</si>
  <si>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</si>
  <si>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</si>
  <si>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</si>
  <si>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</si>
  <si>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</si>
  <si>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</si>
  <si>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</si>
  <si>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</si>
  <si>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</si>
  <si>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</si>
  <si>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</si>
  <si>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</si>
  <si>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</si>
  <si>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</si>
  <si>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</si>
  <si>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</si>
  <si>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</si>
  <si>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</si>
  <si>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</si>
  <si>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</si>
  <si>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</si>
  <si>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</si>
  <si>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</si>
  <si>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</si>
  <si>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</si>
  <si>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</si>
  <si>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</si>
  <si>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</si>
  <si>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</si>
  <si>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</si>
  <si>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</si>
  <si>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</si>
  <si>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</si>
  <si>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</si>
  <si>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</si>
  <si>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</si>
  <si>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</si>
  <si>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</si>
  <si>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</si>
  <si>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</si>
  <si>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</si>
  <si>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</si>
  <si>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</si>
  <si>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</si>
  <si>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</si>
  <si>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</si>
  <si>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</si>
  <si>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</si>
  <si>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</si>
  <si>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</si>
  <si>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</si>
  <si>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</si>
  <si>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</si>
  <si>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</si>
  <si>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</si>
  <si>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</si>
  <si>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</si>
  <si>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</si>
  <si>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</si>
  <si>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</si>
  <si>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</si>
  <si>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</si>
  <si>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</si>
  <si>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</si>
  <si>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</si>
  <si>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</si>
  <si>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</si>
  <si>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</si>
  <si>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</si>
  <si>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</si>
  <si>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</si>
  <si>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</si>
  <si>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</si>
  <si>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</si>
  <si>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</si>
  <si>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</si>
  <si>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</si>
  <si>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</si>
  <si>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</si>
  <si>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</si>
  <si>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</si>
  <si>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</si>
  <si>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</si>
  <si>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</si>
  <si>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</si>
  <si>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</si>
  <si>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</si>
  <si>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</si>
  <si>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</si>
  <si>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</si>
  <si>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</si>
  <si>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</si>
  <si>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</si>
  <si>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</si>
  <si>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</si>
  <si>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</si>
  <si>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</si>
  <si>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</si>
  <si>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</si>
  <si>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</si>
  <si>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</si>
  <si>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</si>
  <si>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</si>
  <si>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</si>
  <si>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</si>
  <si>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</si>
  <si>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</si>
  <si>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</si>
  <si>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</si>
  <si>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</si>
  <si>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</si>
  <si>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</si>
  <si>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</si>
  <si>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</si>
  <si>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</si>
  <si>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</si>
  <si>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</si>
  <si>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</si>
  <si>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</si>
  <si>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</si>
  <si>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</si>
  <si>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</si>
  <si>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</si>
  <si>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</si>
  <si>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</si>
  <si>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</si>
  <si>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</si>
  <si>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</si>
  <si>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</si>
  <si>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</si>
  <si>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</si>
  <si>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</si>
  <si>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</si>
  <si>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</si>
  <si>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</si>
  <si>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</si>
  <si>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</si>
  <si>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</si>
  <si>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</si>
  <si>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</si>
  <si>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</si>
  <si>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</si>
  <si>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</si>
  <si>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</si>
  <si>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</si>
  <si>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</si>
  <si>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</si>
  <si>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</si>
  <si>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</si>
  <si>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</si>
  <si>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</si>
  <si>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</si>
  <si>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</si>
  <si>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</si>
  <si>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</si>
  <si>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</si>
  <si>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</si>
  <si>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</si>
  <si>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</si>
  <si>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</si>
  <si>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</si>
  <si>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</si>
  <si>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</si>
  <si>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</si>
  <si>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</si>
  <si>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</si>
  <si>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</si>
  <si>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</si>
  <si>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</si>
  <si>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</si>
  <si>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</si>
  <si>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</si>
  <si>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</si>
  <si>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</si>
  <si>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</si>
  <si>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</si>
  <si>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</si>
  <si>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</si>
  <si>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</si>
  <si>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</si>
  <si>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</si>
  <si>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</si>
  <si>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</si>
  <si>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</si>
  <si>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</si>
  <si>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</si>
  <si>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</si>
  <si>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</si>
  <si>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</si>
  <si>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</si>
  <si>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</si>
  <si>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</si>
  <si>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</si>
  <si>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</si>
  <si>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</si>
  <si>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</si>
  <si>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</si>
  <si>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</si>
  <si>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</si>
  <si>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</si>
  <si>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</si>
  <si>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</si>
  <si>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</si>
  <si>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</si>
  <si>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</si>
  <si>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</si>
  <si>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</si>
  <si>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</si>
  <si>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</si>
  <si>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</si>
  <si>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</si>
  <si>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</si>
  <si>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</si>
  <si>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</si>
  <si>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</si>
  <si>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</si>
  <si>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</si>
  <si>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</si>
  <si>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</si>
  <si>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</si>
  <si>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</si>
  <si>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</si>
  <si>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</si>
  <si>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</si>
  <si>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</si>
  <si>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</si>
  <si>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</si>
  <si>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</si>
  <si>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</si>
  <si>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</si>
  <si>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</si>
  <si>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</si>
  <si>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</si>
  <si>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</si>
  <si>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</si>
  <si>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</si>
  <si>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</si>
  <si>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</si>
  <si>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</si>
  <si>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</si>
  <si>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</si>
  <si>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</si>
  <si>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</si>
  <si>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</si>
  <si>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</si>
  <si>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</si>
  <si>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</si>
  <si>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</si>
  <si>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</si>
  <si>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</si>
  <si>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</si>
  <si>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</si>
  <si>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</si>
  <si>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</si>
  <si>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</si>
  <si>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</si>
  <si>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</si>
  <si>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</si>
  <si>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</si>
  <si>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</si>
  <si>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</si>
  <si>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</si>
  <si>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</si>
  <si>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</si>
  <si>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</si>
  <si>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</si>
  <si>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</si>
  <si>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</si>
  <si>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</si>
  <si>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</si>
  <si>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</si>
  <si>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</si>
  <si>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</si>
  <si>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</si>
  <si>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</si>
  <si>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</si>
  <si>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</si>
  <si>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</si>
  <si>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</si>
  <si>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</si>
  <si>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</si>
  <si>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</si>
  <si>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</si>
  <si>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</si>
  <si>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</si>
  <si>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</si>
  <si>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</si>
  <si>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</si>
  <si>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</si>
  <si>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</si>
  <si>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</si>
  <si>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</si>
  <si>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</si>
  <si>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</si>
  <si>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</si>
  <si>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</si>
  <si>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</si>
  <si>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</si>
  <si>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</si>
  <si>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</si>
  <si>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</si>
  <si>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</si>
  <si>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</si>
  <si>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</si>
  <si>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</si>
  <si>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</si>
  <si>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</si>
  <si>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</si>
  <si>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</si>
  <si>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</si>
  <si>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</si>
  <si>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</si>
  <si>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</si>
  <si>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</si>
  <si>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</si>
  <si>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</si>
  <si>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</si>
  <si>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</si>
  <si>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</si>
  <si>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</si>
  <si>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</si>
  <si>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</si>
  <si>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</si>
  <si>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</si>
  <si>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</si>
  <si>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</si>
  <si>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</si>
  <si>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</si>
  <si>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</si>
  <si>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</si>
  <si>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</si>
  <si>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</si>
  <si>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</si>
  <si>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</si>
  <si>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</si>
  <si>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</si>
  <si>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</si>
  <si>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</si>
  <si>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</si>
  <si>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</si>
  <si>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</si>
  <si>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</si>
  <si>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</si>
  <si>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</si>
  <si>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</si>
  <si>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</si>
  <si>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</si>
  <si>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</si>
  <si>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</si>
  <si>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</si>
  <si>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</si>
  <si>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</si>
  <si>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</si>
  <si>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</si>
  <si>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</si>
  <si>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</si>
  <si>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</si>
  <si>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</si>
  <si>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</si>
  <si>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</si>
  <si>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</si>
  <si>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</si>
  <si>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</si>
  <si>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</si>
  <si>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</si>
  <si>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</si>
  <si>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</si>
  <si>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</si>
  <si>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</si>
  <si>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</si>
  <si>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</si>
  <si>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</si>
  <si>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</si>
  <si>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</si>
  <si>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</si>
  <si>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</si>
  <si>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</si>
  <si>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</si>
  <si>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</si>
  <si>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</si>
  <si>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</si>
  <si>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</si>
  <si>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</si>
  <si>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</si>
  <si>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</si>
  <si>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</si>
  <si>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</si>
  <si>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</si>
  <si>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</si>
  <si>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</si>
  <si>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</si>
  <si>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</si>
  <si>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</si>
  <si>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</si>
  <si>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</si>
  <si>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</si>
  <si>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</si>
  <si>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</si>
  <si>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</si>
  <si>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</si>
  <si>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</si>
  <si>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</si>
  <si>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</si>
  <si>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</si>
  <si>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</si>
  <si>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</si>
  <si>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</si>
  <si>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</si>
  <si>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</si>
  <si>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</si>
  <si>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</si>
  <si>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</si>
  <si>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</si>
  <si>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</si>
  <si>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</si>
  <si>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</si>
  <si>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</si>
  <si>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</si>
  <si>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</si>
  <si>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</si>
  <si>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</si>
  <si>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</si>
  <si>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</si>
  <si>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</si>
  <si>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</si>
  <si>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</si>
  <si>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</si>
  <si>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</si>
  <si>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</si>
  <si>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</si>
  <si>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</si>
  <si>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</si>
  <si>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</si>
  <si>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</si>
  <si>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</si>
  <si>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</si>
  <si>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</si>
  <si>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</si>
  <si>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</si>
  <si>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</si>
  <si>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</si>
  <si>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</si>
  <si>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</si>
  <si>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</si>
  <si>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</si>
  <si>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</si>
  <si>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</si>
  <si>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</si>
  <si>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</si>
  <si>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</si>
  <si>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</si>
  <si>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</si>
  <si>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</si>
  <si>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</si>
  <si>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</si>
  <si>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</si>
  <si>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</si>
  <si>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</si>
  <si>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</si>
  <si>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</si>
  <si>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</si>
  <si>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</si>
  <si>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</si>
  <si>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</si>
  <si>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</si>
  <si>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</si>
  <si>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</si>
  <si>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</si>
  <si>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</si>
  <si>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</si>
  <si>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</si>
  <si>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</si>
  <si>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</si>
  <si>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</si>
  <si>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</si>
  <si>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</si>
  <si>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</si>
  <si>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</si>
  <si>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</si>
  <si>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</si>
  <si>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</si>
  <si>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</si>
  <si>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</si>
  <si>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</si>
  <si>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</si>
  <si>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</si>
  <si>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</si>
  <si>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</si>
  <si>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</si>
  <si>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</si>
  <si>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</si>
  <si>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</si>
  <si>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</si>
  <si>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</si>
  <si>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</si>
  <si>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</si>
  <si>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</si>
  <si>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</si>
  <si>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</si>
  <si>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</si>
  <si>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</si>
  <si>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</si>
  <si>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</si>
  <si>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</si>
  <si>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</si>
  <si>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</si>
  <si>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</si>
  <si>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</si>
  <si>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</si>
  <si>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</si>
  <si>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</si>
  <si>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</si>
  <si>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</si>
  <si>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</si>
  <si>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</si>
  <si>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</si>
  <si>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</si>
  <si>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</si>
  <si>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</si>
  <si>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</si>
  <si>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</si>
  <si>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</si>
  <si>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</si>
  <si>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</si>
  <si>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</si>
  <si>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</si>
  <si>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</si>
  <si>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</si>
  <si>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</si>
  <si>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</si>
  <si>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</si>
  <si>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</si>
  <si>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</si>
  <si>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</si>
  <si>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</si>
  <si>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</si>
  <si>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</si>
  <si>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</si>
  <si>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</si>
  <si>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</si>
  <si>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</si>
  <si>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</si>
  <si>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</si>
  <si>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</si>
  <si>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</si>
  <si>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</si>
  <si>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</si>
  <si>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</si>
  <si>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</si>
  <si>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</si>
  <si>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</si>
  <si>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</si>
  <si>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</si>
  <si>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</si>
  <si>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</si>
  <si>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</si>
  <si>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</si>
  <si>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</si>
  <si>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</si>
  <si>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</si>
  <si>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</si>
  <si>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</si>
  <si>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</si>
  <si>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</si>
  <si>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</si>
  <si>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</si>
  <si>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</si>
  <si>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</si>
  <si>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</si>
  <si>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</si>
  <si>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</si>
  <si>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</si>
  <si>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</si>
  <si>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</si>
  <si>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</si>
  <si>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</si>
  <si>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</si>
  <si>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</si>
  <si>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</si>
  <si>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</si>
  <si>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</si>
  <si>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</si>
  <si>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</si>
  <si>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</si>
  <si>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</si>
  <si>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</si>
  <si>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</si>
  <si>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</si>
  <si>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</si>
  <si>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</si>
  <si>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</si>
  <si>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</si>
  <si>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</si>
  <si>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</si>
  <si>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</si>
  <si>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</si>
  <si>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</si>
  <si>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</si>
  <si>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</si>
  <si>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</si>
  <si>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</si>
  <si>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</si>
  <si>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</si>
  <si>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</si>
  <si>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</si>
  <si>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</si>
  <si>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</si>
  <si>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</si>
  <si>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</si>
  <si>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</si>
  <si>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</si>
  <si>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</si>
  <si>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</si>
  <si>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</si>
  <si>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</si>
  <si>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</si>
  <si>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</si>
  <si>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</si>
  <si>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</si>
  <si>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</si>
  <si>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</si>
  <si>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</si>
  <si>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</si>
  <si>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</si>
  <si>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</si>
  <si>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</si>
  <si>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</si>
  <si>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</si>
  <si>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</si>
  <si>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</si>
  <si>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</si>
  <si>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</si>
  <si>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</si>
  <si>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</si>
  <si>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</si>
  <si>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</si>
  <si>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</si>
  <si>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</si>
  <si>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</si>
  <si>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</si>
  <si>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</si>
  <si>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</si>
  <si>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</si>
  <si>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</si>
  <si>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</si>
  <si>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</si>
  <si>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</si>
  <si>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</si>
  <si>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</si>
  <si>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</si>
  <si>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</si>
  <si>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</si>
  <si>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</si>
  <si>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</si>
  <si>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</si>
  <si>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</si>
  <si>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</si>
  <si>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</si>
  <si>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</si>
  <si>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</si>
  <si>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</si>
  <si>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</si>
  <si>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</si>
  <si>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</si>
  <si>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</si>
  <si>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</si>
  <si>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</si>
  <si>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</si>
  <si>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</si>
  <si>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</si>
  <si>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</si>
  <si>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</si>
  <si>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</si>
  <si>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</si>
  <si>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</si>
  <si>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</si>
  <si>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</si>
  <si>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</si>
  <si>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</si>
  <si>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</si>
  <si>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</si>
  <si>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</si>
  <si>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</si>
  <si>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</si>
  <si>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</si>
  <si>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</si>
  <si>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</si>
  <si>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</si>
  <si>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</si>
  <si>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</si>
  <si>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</si>
  <si>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</si>
  <si>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</si>
  <si>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</si>
  <si>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</si>
  <si>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</si>
  <si>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</si>
  <si>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</si>
  <si>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</si>
  <si>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</si>
  <si>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</si>
  <si>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</si>
  <si>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</si>
  <si>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</si>
  <si>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</si>
  <si>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</si>
  <si>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</si>
  <si>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</si>
  <si>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</si>
  <si>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</si>
  <si>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</si>
  <si>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</si>
  <si>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</si>
  <si>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</si>
  <si>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</si>
  <si>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</si>
  <si>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</si>
  <si>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</si>
  <si>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</si>
  <si>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</si>
  <si>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</si>
  <si>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</si>
  <si>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</si>
  <si>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</si>
  <si>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</si>
  <si>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</si>
  <si>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</si>
  <si>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</si>
  <si>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</si>
  <si>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</si>
  <si>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</si>
  <si>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</si>
  <si>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</si>
  <si>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</si>
  <si>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</si>
  <si>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</si>
  <si>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</si>
  <si>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</si>
  <si>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</si>
  <si>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</si>
  <si>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</si>
  <si>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</si>
  <si>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</si>
  <si>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</si>
  <si>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</si>
  <si>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</si>
  <si>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</si>
  <si>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</si>
  <si>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</si>
  <si>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</si>
  <si>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</si>
  <si>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</si>
  <si>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</si>
  <si>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</si>
  <si>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</si>
  <si>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</si>
  <si>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</si>
  <si>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</si>
  <si>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</si>
  <si>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</si>
  <si>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</si>
  <si>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</si>
  <si>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</si>
  <si>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</si>
  <si>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</si>
  <si>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</si>
  <si>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</si>
  <si>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</si>
  <si>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</si>
  <si>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</si>
  <si>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</si>
  <si>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</si>
  <si>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</si>
  <si>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</si>
  <si>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</si>
  <si>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</si>
  <si>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</si>
  <si>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</si>
  <si>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</si>
  <si>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</si>
  <si>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</si>
  <si>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</si>
  <si>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</si>
  <si>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</si>
  <si>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</si>
  <si>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</si>
  <si>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</si>
  <si>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</si>
  <si>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</si>
  <si>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</si>
  <si>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</si>
  <si>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</si>
  <si>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</si>
  <si>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</si>
  <si>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</si>
  <si>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</si>
  <si>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</si>
  <si>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</si>
  <si>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</si>
  <si>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</si>
  <si>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</si>
  <si>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</si>
  <si>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</si>
  <si>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</si>
  <si>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</si>
  <si>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</si>
  <si>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</si>
  <si>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</si>
  <si>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</si>
  <si>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</si>
  <si>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</si>
  <si>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</si>
  <si>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</si>
  <si>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</si>
  <si>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</si>
  <si>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</si>
  <si>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</si>
  <si>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</si>
  <si>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</si>
  <si>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</si>
  <si>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</si>
  <si>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</si>
  <si>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</si>
  <si>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</si>
  <si>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</si>
  <si>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</si>
  <si>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</si>
  <si>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</si>
  <si>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</si>
  <si>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</si>
  <si>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</si>
  <si>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</si>
  <si>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</si>
  <si>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</si>
  <si>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</si>
  <si>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</si>
  <si>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</si>
  <si>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</si>
  <si>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</si>
  <si>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</si>
  <si>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</si>
  <si>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</si>
  <si>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</si>
  <si>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</si>
  <si>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</si>
  <si>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</si>
  <si>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</si>
  <si>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</si>
  <si>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</si>
  <si>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</si>
  <si>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</si>
  <si>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</si>
  <si>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</si>
  <si>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</si>
  <si>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</si>
  <si>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</si>
  <si>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</si>
  <si>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</si>
  <si>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</si>
  <si>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</si>
  <si>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</si>
  <si>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</si>
  <si>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</si>
  <si>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</si>
  <si>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</si>
  <si>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</si>
  <si>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</si>
  <si>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</si>
  <si>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</si>
  <si>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</si>
  <si>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</si>
  <si>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</si>
  <si>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</si>
  <si>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</si>
  <si>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</si>
  <si>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</si>
  <si>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</si>
  <si>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</si>
  <si>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</si>
  <si>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</si>
  <si>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</si>
  <si>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</si>
  <si>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</si>
  <si>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</si>
  <si>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</si>
  <si>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</si>
  <si>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</si>
  <si>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</si>
  <si>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</si>
  <si>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</si>
  <si>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</si>
  <si>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</si>
  <si>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</si>
  <si>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</si>
  <si>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</si>
  <si>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</si>
  <si>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</si>
  <si>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</si>
  <si>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</si>
  <si>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</si>
  <si>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</si>
  <si>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</si>
  <si>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</si>
  <si>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</si>
  <si>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</si>
  <si>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</si>
  <si>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</si>
  <si>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</si>
  <si>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</si>
  <si>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</si>
  <si>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</si>
  <si>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</si>
  <si>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</si>
  <si>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</si>
  <si>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</si>
  <si>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</si>
  <si>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</si>
  <si>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</si>
  <si>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</si>
  <si>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</si>
  <si>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</si>
  <si>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</si>
  <si>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</si>
  <si>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</si>
  <si>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</si>
  <si>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</si>
  <si>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</si>
  <si>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</si>
  <si>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</si>
  <si>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</si>
  <si>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</si>
  <si>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</si>
  <si>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</si>
  <si>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</si>
  <si>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</si>
  <si>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</si>
  <si>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</si>
  <si>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</si>
  <si>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</si>
  <si>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</si>
  <si>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</si>
  <si>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</si>
  <si>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</si>
  <si>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</si>
  <si>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</si>
  <si>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</si>
  <si>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</si>
  <si>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</si>
  <si>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</si>
  <si>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</si>
  <si>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</si>
  <si>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</si>
  <si>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</si>
  <si>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</si>
  <si>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</si>
  <si>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</si>
  <si>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</si>
  <si>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</si>
  <si>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</si>
  <si>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</si>
  <si>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</si>
  <si>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</si>
  <si>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</si>
  <si>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</si>
  <si>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</si>
  <si>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</si>
  <si>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</si>
  <si>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</si>
  <si>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</si>
  <si>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</si>
  <si>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</si>
  <si>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</si>
  <si>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</si>
  <si>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</si>
  <si>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</si>
  <si>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</si>
  <si>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</si>
  <si>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</si>
  <si>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</si>
  <si>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</si>
  <si>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</si>
  <si>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</si>
  <si>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</si>
  <si>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</si>
  <si>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</si>
  <si>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</si>
  <si>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</si>
  <si>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</si>
  <si>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</si>
  <si>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</si>
  <si>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</si>
  <si>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</si>
  <si>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</si>
  <si>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</si>
  <si>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</si>
  <si>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</si>
  <si>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</si>
  <si>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</si>
  <si>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</si>
  <si>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</si>
  <si>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</si>
  <si>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</si>
  <si>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</si>
  <si>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</si>
  <si>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</si>
  <si>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</si>
  <si>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</si>
  <si>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</si>
  <si>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</si>
  <si>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</si>
  <si>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</si>
  <si>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</si>
  <si>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</si>
  <si>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</si>
  <si>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</si>
  <si>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</si>
  <si>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</si>
  <si>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</si>
  <si>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</si>
  <si>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</si>
  <si>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</si>
  <si>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</si>
  <si>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</si>
  <si>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</si>
  <si>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</si>
  <si>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</si>
  <si>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</si>
  <si>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</si>
  <si>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</si>
  <si>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</si>
  <si>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</si>
  <si>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</si>
  <si>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</si>
  <si>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</si>
  <si>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</si>
  <si>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</si>
  <si>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</si>
  <si>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</si>
  <si>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</si>
  <si>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</si>
  <si>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</si>
  <si>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</si>
  <si>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</si>
  <si>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</si>
  <si>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</si>
  <si>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</si>
  <si>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</si>
  <si>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</si>
  <si>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</si>
  <si>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</si>
  <si>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</si>
  <si>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</si>
  <si>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</si>
  <si>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</si>
  <si>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</si>
  <si>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</si>
  <si>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</si>
  <si>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</si>
  <si>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</si>
  <si>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</si>
  <si>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</si>
  <si>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</si>
  <si>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</si>
  <si>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</si>
  <si>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</si>
  <si>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</si>
  <si>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</si>
  <si>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</si>
  <si>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</si>
  <si>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</si>
  <si>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</si>
  <si>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</si>
  <si>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</si>
  <si>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</si>
  <si>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</si>
  <si>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</si>
  <si>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</si>
  <si>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</si>
  <si>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</si>
  <si>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</si>
  <si>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</si>
  <si>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</si>
  <si>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</si>
  <si>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</si>
  <si>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</si>
  <si>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</si>
  <si>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</si>
  <si>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</si>
  <si>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</si>
  <si>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</si>
  <si>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</si>
  <si>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</si>
  <si>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</si>
  <si>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</si>
  <si>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</si>
  <si>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</si>
  <si>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</si>
  <si>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</si>
  <si>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</si>
  <si>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</si>
  <si>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</si>
  <si>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</si>
  <si>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</si>
  <si>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</si>
  <si>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</si>
  <si>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</si>
  <si>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</si>
  <si>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</si>
  <si>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</si>
  <si>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</si>
  <si>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</si>
  <si>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</si>
  <si>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</si>
  <si>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</si>
  <si>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</si>
  <si>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</si>
  <si>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</si>
  <si>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</si>
  <si>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</si>
  <si>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</si>
  <si>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</si>
  <si>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</si>
  <si>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</si>
  <si>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</si>
  <si>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</si>
  <si>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</si>
  <si>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</si>
  <si>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</si>
  <si>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</si>
  <si>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</si>
  <si>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</si>
  <si>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</si>
  <si>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</si>
  <si>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</si>
  <si>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</si>
  <si>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</si>
  <si>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</si>
  <si>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</si>
  <si>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</si>
  <si>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</si>
  <si>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</si>
  <si>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</si>
  <si>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</si>
  <si>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</si>
  <si>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</si>
  <si>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</si>
  <si>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</si>
  <si>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</si>
  <si>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</si>
  <si>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</si>
  <si>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</si>
  <si>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</si>
  <si>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</si>
  <si>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</si>
  <si>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</si>
  <si>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</si>
  <si>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</si>
  <si>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</si>
  <si>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</si>
  <si>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</si>
  <si>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</si>
  <si>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</si>
  <si>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</si>
  <si>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</si>
  <si>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</si>
  <si>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</si>
  <si>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</si>
  <si>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</si>
  <si>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</si>
  <si>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</si>
  <si>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</si>
  <si>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</si>
  <si>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</si>
  <si>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</si>
  <si>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</si>
  <si>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</si>
  <si>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</si>
  <si>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</si>
  <si>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</si>
  <si>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</si>
  <si>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</si>
  <si>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</si>
  <si>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</si>
  <si>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</si>
  <si>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</si>
  <si>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</si>
  <si>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</si>
  <si>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</si>
  <si>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</si>
  <si>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</si>
  <si>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</si>
  <si>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</si>
  <si>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</si>
  <si>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</si>
  <si>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</si>
  <si>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</si>
  <si>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</si>
  <si>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</si>
  <si>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</si>
  <si>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</si>
  <si>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</si>
  <si>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</si>
  <si>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</si>
  <si>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</si>
  <si>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</si>
  <si>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</si>
  <si>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</si>
  <si>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</si>
  <si>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</si>
  <si>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</si>
  <si>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</si>
  <si>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</si>
  <si>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</si>
  <si>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</si>
  <si>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</si>
  <si>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</si>
  <si>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</si>
  <si>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</si>
  <si>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</si>
  <si>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</si>
  <si>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</si>
  <si>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</si>
  <si>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</si>
  <si>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</si>
  <si>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</si>
  <si>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</si>
  <si>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</si>
  <si>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</si>
  <si>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</si>
  <si>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</si>
  <si>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</si>
  <si>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</si>
  <si>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</si>
  <si>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</si>
  <si>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</si>
  <si>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</si>
  <si>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</si>
  <si>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</si>
  <si>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</si>
  <si>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</si>
  <si>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</si>
  <si>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</si>
  <si>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</si>
  <si>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</si>
  <si>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</si>
  <si>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</si>
  <si>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</si>
  <si>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</si>
  <si>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</si>
  <si>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</si>
  <si>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</si>
  <si>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</si>
  <si>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</si>
  <si>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</si>
  <si>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</si>
  <si>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</si>
  <si>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</si>
  <si>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</si>
  <si>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</si>
  <si>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</si>
  <si>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</si>
  <si>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</si>
  <si>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</si>
  <si>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</si>
  <si>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</si>
  <si>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</si>
  <si>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</si>
  <si>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</si>
  <si>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</si>
  <si>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</si>
  <si>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</si>
  <si>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</si>
  <si>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</si>
  <si>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</si>
  <si>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19430_令和7年度</t>
  </si>
  <si>
    <t>19430_令和8年度</t>
  </si>
  <si>
    <t>19430_令和9年度</t>
  </si>
  <si>
    <t>19430_令和10年度</t>
  </si>
  <si>
    <t>19430_令和11年度</t>
  </si>
  <si>
    <t>19430_令和12年度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</si>
</sst>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56.898333905617335</c:v>
                </c:pt>
                <c:pt idx="1">
                  <c:v>57.623651983685932</c:v>
                </c:pt>
                <c:pt idx="2">
                  <c:v>56.828954042029359</c:v>
                </c:pt>
                <c:pt idx="3">
                  <c:v>57.85887861901233</c:v>
                </c:pt>
                <c:pt idx="4">
                  <c:v>56.70212637756822</c:v>
                </c:pt>
                <c:pt idx="5">
                  <c:v>55.734840036993113</c:v>
                </c:pt>
                <c:pt idx="6">
                  <c:v>56.148925212307006</c:v>
                </c:pt>
                <c:pt idx="7">
                  <c:v>55.925750718747054</c:v>
                </c:pt>
                <c:pt idx="8">
                  <c:v>55.544493070818099</c:v>
                </c:pt>
                <c:pt idx="9">
                  <c:v>54.907115459858659</c:v>
                </c:pt>
                <c:pt idx="10">
                  <c:v>54.308603094999306</c:v>
                </c:pt>
                <c:pt idx="11">
                  <c:v>49.649297349173594</c:v>
                </c:pt>
                <c:pt idx="12">
                  <c:v>49.906682580965033</c:v>
                </c:pt>
                <c:pt idx="13">
                  <c:v>51.690587450042038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30.498739233850468</c:v>
                </c:pt>
                <c:pt idx="1">
                  <c:v>30.203131030428441</c:v>
                </c:pt>
                <c:pt idx="2">
                  <c:v>35.531777589021701</c:v>
                </c:pt>
                <c:pt idx="3">
                  <c:v>41.509218725869033</c:v>
                </c:pt>
                <c:pt idx="4">
                  <c:v>38.326764515614833</c:v>
                </c:pt>
                <c:pt idx="5">
                  <c:v>33.17555767355821</c:v>
                </c:pt>
                <c:pt idx="6">
                  <c:v>35.541464111971891</c:v>
                </c:pt>
                <c:pt idx="7">
                  <c:v>33.540623832748267</c:v>
                </c:pt>
                <c:pt idx="8">
                  <c:v>36.775676986132993</c:v>
                </c:pt>
                <c:pt idx="9">
                  <c:v>34.47526591401509</c:v>
                </c:pt>
                <c:pt idx="10">
                  <c:v>31.077771426095612</c:v>
                </c:pt>
                <c:pt idx="11">
                  <c:v>31.149603415648009</c:v>
                </c:pt>
                <c:pt idx="12">
                  <c:v>31.368287960094221</c:v>
                </c:pt>
                <c:pt idx="13">
                  <c:v>34.710539819971515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53.825823746188988</c:v>
                </c:pt>
                <c:pt idx="1">
                  <c:v>55.735769332073062</c:v>
                </c:pt>
                <c:pt idx="2">
                  <c:v>63.435015642876969</c:v>
                </c:pt>
                <c:pt idx="3">
                  <c:v>62.417071582730337</c:v>
                </c:pt>
                <c:pt idx="4">
                  <c:v>64.541536802736346</c:v>
                </c:pt>
                <c:pt idx="5">
                  <c:v>58.498777622517252</c:v>
                </c:pt>
                <c:pt idx="6">
                  <c:v>52.588947271957927</c:v>
                </c:pt>
                <c:pt idx="7">
                  <c:v>44.66342156203163</c:v>
                </c:pt>
                <c:pt idx="8">
                  <c:v>45.141720429978228</c:v>
                </c:pt>
                <c:pt idx="9">
                  <c:v>41.959297118173843</c:v>
                </c:pt>
                <c:pt idx="10">
                  <c:v>40.782898645655848</c:v>
                </c:pt>
                <c:pt idx="11">
                  <c:v>42.942413679470754</c:v>
                </c:pt>
                <c:pt idx="12">
                  <c:v>48.08575043629417</c:v>
                </c:pt>
                <c:pt idx="13">
                  <c:v>43.787605213986843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35.93556209115485</c:v>
                </c:pt>
                <c:pt idx="1">
                  <c:v>41.887351245454369</c:v>
                </c:pt>
                <c:pt idx="2">
                  <c:v>43.077193967298712</c:v>
                </c:pt>
                <c:pt idx="3">
                  <c:v>50.277885831554109</c:v>
                </c:pt>
                <c:pt idx="4">
                  <c:v>50.400596500090721</c:v>
                </c:pt>
                <c:pt idx="5">
                  <c:v>48.27552820874218</c:v>
                </c:pt>
                <c:pt idx="6">
                  <c:v>42.345885316387964</c:v>
                </c:pt>
                <c:pt idx="7">
                  <c:v>44.476345126969157</c:v>
                </c:pt>
                <c:pt idx="8">
                  <c:v>43.554774436570547</c:v>
                </c:pt>
                <c:pt idx="9">
                  <c:v>49.36117836618611</c:v>
                </c:pt>
                <c:pt idx="10">
                  <c:v>33.414093566558122</c:v>
                </c:pt>
                <c:pt idx="11">
                  <c:v>27.900427069234549</c:v>
                </c:pt>
                <c:pt idx="12">
                  <c:v>37.327251825714967</c:v>
                </c:pt>
                <c:pt idx="13">
                  <c:v>40.786623501195933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16375</c:v>
                </c:pt>
                <c:pt idx="1">
                  <c:v>16611.5</c:v>
                </c:pt>
                <c:pt idx="2">
                  <c:v>16969</c:v>
                </c:pt>
                <c:pt idx="3">
                  <c:v>17404.5</c:v>
                </c:pt>
                <c:pt idx="4">
                  <c:v>17685</c:v>
                </c:pt>
                <c:pt idx="5">
                  <c:v>17990</c:v>
                </c:pt>
                <c:pt idx="6">
                  <c:v>18352</c:v>
                </c:pt>
                <c:pt idx="7">
                  <c:v>18641</c:v>
                </c:pt>
                <c:pt idx="8">
                  <c:v>18831</c:v>
                </c:pt>
                <c:pt idx="9">
                  <c:v>18964</c:v>
                </c:pt>
                <c:pt idx="10">
                  <c:v>19333</c:v>
                </c:pt>
                <c:pt idx="11">
                  <c:v>19621</c:v>
                </c:pt>
                <c:pt idx="12">
                  <c:v>19688</c:v>
                </c:pt>
                <c:pt idx="13">
                  <c:v>19810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4628.5</c:v>
                </c:pt>
                <c:pt idx="1">
                  <c:v>4579</c:v>
                </c:pt>
                <c:pt idx="2">
                  <c:v>4505.5</c:v>
                </c:pt>
                <c:pt idx="3">
                  <c:v>4536.5</c:v>
                </c:pt>
                <c:pt idx="4">
                  <c:v>4463</c:v>
                </c:pt>
                <c:pt idx="5">
                  <c:v>4482</c:v>
                </c:pt>
                <c:pt idx="6">
                  <c:v>4504</c:v>
                </c:pt>
                <c:pt idx="7">
                  <c:v>4601</c:v>
                </c:pt>
                <c:pt idx="8">
                  <c:v>4606</c:v>
                </c:pt>
                <c:pt idx="9">
                  <c:v>4625</c:v>
                </c:pt>
                <c:pt idx="10">
                  <c:v>4523</c:v>
                </c:pt>
                <c:pt idx="11">
                  <c:v>4550</c:v>
                </c:pt>
                <c:pt idx="12">
                  <c:v>4646</c:v>
                </c:pt>
                <c:pt idx="13">
                  <c:v>4758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9054</c:v>
                </c:pt>
                <c:pt idx="1">
                  <c:v>9214</c:v>
                </c:pt>
                <c:pt idx="2">
                  <c:v>9365</c:v>
                </c:pt>
                <c:pt idx="3">
                  <c:v>9578</c:v>
                </c:pt>
                <c:pt idx="4">
                  <c:v>9656</c:v>
                </c:pt>
                <c:pt idx="5">
                  <c:v>9832</c:v>
                </c:pt>
                <c:pt idx="6">
                  <c:v>9995</c:v>
                </c:pt>
                <c:pt idx="7">
                  <c:v>10131</c:v>
                </c:pt>
                <c:pt idx="8">
                  <c:v>10286</c:v>
                </c:pt>
                <c:pt idx="9">
                  <c:v>10457</c:v>
                </c:pt>
                <c:pt idx="10">
                  <c:v>10782</c:v>
                </c:pt>
                <c:pt idx="11">
                  <c:v>10985</c:v>
                </c:pt>
                <c:pt idx="12">
                  <c:v>11122</c:v>
                </c:pt>
                <c:pt idx="13">
                  <c:v>11396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c:v>
                </c:pt>
                <c:pt idx="1">
                  <c:v>88</c:v>
                </c:pt>
                <c:pt idx="2">
                  <c:v>88</c:v>
                </c:pt>
                <c:pt idx="3">
                  <c:v>88</c:v>
                </c:pt>
                <c:pt idx="4">
                  <c:v>88</c:v>
                </c:pt>
                <c:pt idx="5">
                  <c:v>64</c:v>
                </c:pt>
                <c:pt idx="6">
                  <c:v>64</c:v>
                </c:pt>
                <c:pt idx="7">
                  <c:v>64</c:v>
                </c:pt>
                <c:pt idx="8">
                  <c:v>64</c:v>
                </c:pt>
                <c:pt idx="9">
                  <c:v>64</c:v>
                </c:pt>
                <c:pt idx="10">
                  <c:v>64</c:v>
                </c:pt>
                <c:pt idx="11">
                  <c:v>41</c:v>
                </c:pt>
                <c:pt idx="12">
                  <c:v>41</c:v>
                </c:pt>
                <c:pt idx="13">
                  <c:v>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896</c:v>
                </c:pt>
                <c:pt idx="1">
                  <c:v>896</c:v>
                </c:pt>
                <c:pt idx="2">
                  <c:v>896</c:v>
                </c:pt>
                <c:pt idx="3">
                  <c:v>896</c:v>
                </c:pt>
                <c:pt idx="4">
                  <c:v>896</c:v>
                </c:pt>
                <c:pt idx="5">
                  <c:v>743</c:v>
                </c:pt>
                <c:pt idx="6">
                  <c:v>743</c:v>
                </c:pt>
                <c:pt idx="7">
                  <c:v>743</c:v>
                </c:pt>
                <c:pt idx="8">
                  <c:v>743</c:v>
                </c:pt>
                <c:pt idx="9">
                  <c:v>743</c:v>
                </c:pt>
                <c:pt idx="10">
                  <c:v>743</c:v>
                </c:pt>
                <c:pt idx="11">
                  <c:v>728</c:v>
                </c:pt>
                <c:pt idx="12">
                  <c:v>728</c:v>
                </c:pt>
                <c:pt idx="13">
                  <c:v>728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513.71119999999996</c:v>
                </c:pt>
                <c:pt idx="1">
                  <c:v>725.59299999999996</c:v>
                </c:pt>
                <c:pt idx="2">
                  <c:v>801.59529999999995</c:v>
                </c:pt>
                <c:pt idx="3">
                  <c:v>753.58130000000006</c:v>
                </c:pt>
                <c:pt idx="4">
                  <c:v>661.02059999999994</c:v>
                </c:pt>
                <c:pt idx="5">
                  <c:v>796.74339999999995</c:v>
                </c:pt>
                <c:pt idx="6">
                  <c:v>784.77390000000003</c:v>
                </c:pt>
                <c:pt idx="7">
                  <c:v>782.13480000000004</c:v>
                </c:pt>
                <c:pt idx="8">
                  <c:v>913.43309999999997</c:v>
                </c:pt>
                <c:pt idx="9">
                  <c:v>1070.7906</c:v>
                </c:pt>
                <c:pt idx="10">
                  <c:v>702.00900000000001</c:v>
                </c:pt>
                <c:pt idx="11">
                  <c:v>622.26710000000003</c:v>
                </c:pt>
                <c:pt idx="12">
                  <c:v>914.50720000000001</c:v>
                </c:pt>
                <c:pt idx="13">
                  <c:v>1045.9041999999999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18.335000000000001</c:v>
                </c:pt>
                <c:pt idx="1">
                  <c:v>21.138999999999999</c:v>
                </c:pt>
                <c:pt idx="2">
                  <c:v>21.701000000000001</c:v>
                </c:pt>
                <c:pt idx="3">
                  <c:v>10.512</c:v>
                </c:pt>
                <c:pt idx="4">
                  <c:v>10.211</c:v>
                </c:pt>
                <c:pt idx="5">
                  <c:v>22.806999999999999</c:v>
                </c:pt>
                <c:pt idx="6">
                  <c:v>22.826000000000001</c:v>
                </c:pt>
                <c:pt idx="7">
                  <c:v>23.372</c:v>
                </c:pt>
                <c:pt idx="8">
                  <c:v>20.684999999999999</c:v>
                </c:pt>
                <c:pt idx="9">
                  <c:v>19.253</c:v>
                </c:pt>
                <c:pt idx="10">
                  <c:v>21.658999999999999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18.335000000000001</c:v>
                </c:pt>
                <c:pt idx="1">
                  <c:v>21.138999999999999</c:v>
                </c:pt>
                <c:pt idx="2">
                  <c:v>21.701000000000001</c:v>
                </c:pt>
                <c:pt idx="3">
                  <c:v>10.512</c:v>
                </c:pt>
                <c:pt idx="4">
                  <c:v>10.211</c:v>
                </c:pt>
                <c:pt idx="5">
                  <c:v>22.806999999999999</c:v>
                </c:pt>
                <c:pt idx="6">
                  <c:v>22.826000000000001</c:v>
                </c:pt>
                <c:pt idx="7">
                  <c:v>23.372</c:v>
                </c:pt>
                <c:pt idx="8">
                  <c:v>20.684999999999999</c:v>
                </c:pt>
                <c:pt idx="9">
                  <c:v>19.253</c:v>
                </c:pt>
                <c:pt idx="10">
                  <c:v>21.658999999999999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63.435015642876969</c:v>
                </c:pt>
                <c:pt idx="1">
                  <c:v>62.417071582730337</c:v>
                </c:pt>
                <c:pt idx="2">
                  <c:v>64.541536802736346</c:v>
                </c:pt>
                <c:pt idx="3">
                  <c:v>58.498777622517252</c:v>
                </c:pt>
                <c:pt idx="4">
                  <c:v>52.588947271957927</c:v>
                </c:pt>
                <c:pt idx="5">
                  <c:v>44.66342156203163</c:v>
                </c:pt>
                <c:pt idx="6">
                  <c:v>45.141720429978228</c:v>
                </c:pt>
                <c:pt idx="7">
                  <c:v>41.959297118173843</c:v>
                </c:pt>
                <c:pt idx="8">
                  <c:v>40.782898645655848</c:v>
                </c:pt>
                <c:pt idx="9">
                  <c:v>42.942413679470754</c:v>
                </c:pt>
                <c:pt idx="10">
                  <c:v>48.08575043629417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43.077193967298712</c:v>
                </c:pt>
                <c:pt idx="1">
                  <c:v>50.277885831554109</c:v>
                </c:pt>
                <c:pt idx="2">
                  <c:v>50.400596500090721</c:v>
                </c:pt>
                <c:pt idx="3">
                  <c:v>48.27552820874218</c:v>
                </c:pt>
                <c:pt idx="4">
                  <c:v>42.345885316387964</c:v>
                </c:pt>
                <c:pt idx="5">
                  <c:v>44.476345126969157</c:v>
                </c:pt>
                <c:pt idx="6">
                  <c:v>43.554774436570547</c:v>
                </c:pt>
                <c:pt idx="7">
                  <c:v>49.36117836618611</c:v>
                </c:pt>
                <c:pt idx="8">
                  <c:v>33.414093566558122</c:v>
                </c:pt>
                <c:pt idx="9">
                  <c:v>27.900427069234549</c:v>
                </c:pt>
                <c:pt idx="10">
                  <c:v>37.327251825714967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0.4256312519779884</c:v>
                </c:pt>
                <c:pt idx="1">
                  <c:v>0.42044329530525498</c:v>
                </c:pt>
                <c:pt idx="2">
                  <c:v>0.4305703008884218</c:v>
                </c:pt>
                <c:pt idx="3">
                  <c:v>0.21775007731756707</c:v>
                </c:pt>
                <c:pt idx="4">
                  <c:v>0.2411332275546573</c:v>
                </c:pt>
                <c:pt idx="5">
                  <c:v>0.51278943750642181</c:v>
                </c:pt>
                <c:pt idx="6">
                  <c:v>0.52407572522828327</c:v>
                </c:pt>
                <c:pt idx="7">
                  <c:v>0.47348950680663898</c:v>
                </c:pt>
                <c:pt idx="8">
                  <c:v>0.61905016093874232</c:v>
                </c:pt>
                <c:pt idx="9">
                  <c:v>0.69006112172490874</c:v>
                </c:pt>
                <c:pt idx="10">
                  <c:v>0.58024630640177433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21.658999999999999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21.658999999999999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8.2210000000000001</c:v>
                </c:pt>
                <c:pt idx="18">
                  <c:v>0</c:v>
                </c:pt>
                <c:pt idx="19">
                  <c:v>2.9260000000000002</c:v>
                </c:pt>
                <c:pt idx="20">
                  <c:v>0</c:v>
                </c:pt>
                <c:pt idx="21">
                  <c:v>0</c:v>
                </c:pt>
                <c:pt idx="22">
                  <c:v>10.512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29.911477103568689</c:v>
                </c:pt>
                <c:pt idx="2">
                  <c:v>2.1513905640763511</c:v>
                </c:pt>
                <c:pt idx="3">
                  <c:v>1.1065308174668269</c:v>
                </c:pt>
                <c:pt idx="4">
                  <c:v>42.913133482382179</c:v>
                </c:pt>
                <c:pt idx="5">
                  <c:v>31.890067099163531</c:v>
                </c:pt>
                <c:pt idx="7">
                  <c:v>57.168363910257973</c:v>
                </c:pt>
                <c:pt idx="8">
                  <c:v>1.50850108526091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33.169398485111863</c:v>
                </c:pt>
                <c:pt idx="4" formatCode="#,##0">
                  <c:v>42.913133482382179</c:v>
                </c:pt>
                <c:pt idx="5" formatCode="#,##0">
                  <c:v>31.890067099163531</c:v>
                </c:pt>
                <c:pt idx="6" formatCode="#,##0">
                  <c:v>58.676864995518883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21.658999999999999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21.658999999999999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富士河口湖町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8.2210000000000001</c:v>
                </c:pt>
                <c:pt idx="13">
                  <c:v>0</c:v>
                </c:pt>
                <c:pt idx="14">
                  <c:v>2.9260000000000002</c:v>
                </c:pt>
                <c:pt idx="15">
                  <c:v>0</c:v>
                </c:pt>
                <c:pt idx="16">
                  <c:v>0</c:v>
                </c:pt>
                <c:pt idx="17">
                  <c:v>10.512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富士河口湖町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富士河口湖町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富士河口湖町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19,453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6719.7999999999965</c:v>
                </c:pt>
                <c:pt idx="1">
                  <c:v>12283.400000000005</c:v>
                </c:pt>
                <c:pt idx="2">
                  <c:v>0</c:v>
                </c:pt>
                <c:pt idx="3">
                  <c:v>80</c:v>
                </c:pt>
                <c:pt idx="4">
                  <c:v>0</c:v>
                </c:pt>
                <c:pt idx="5">
                  <c:v>370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27,326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8064.5663759999952</c:v>
                </c:pt>
                <c:pt idx="1">
                  <c:v>16247.990184000008</c:v>
                </c:pt>
                <c:pt idx="2">
                  <c:v>0</c:v>
                </c:pt>
                <c:pt idx="3">
                  <c:v>420.48</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富士河口湖町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23.270483124000002</c:v>
                </c:pt>
                <c:pt idx="1">
                  <c:v>0.5959271519999999</c:v>
                </c:pt>
                <c:pt idx="2">
                  <c:v>0.94991616000000012</c:v>
                </c:pt>
                <c:pt idx="3">
                  <c:v>0</c:v>
                </c:pt>
                <c:pt idx="4">
                  <c:v>4.1410352399999999</c:v>
                </c:pt>
                <c:pt idx="5">
                  <c:v>18.696900710000001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460,333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富士河口湖町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447209</c:v>
                </c:pt>
                <c:pt idx="1">
                  <c:v>9100</c:v>
                </c:pt>
                <c:pt idx="2">
                  <c:v>4024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370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80</c:v>
                </c:pt>
                <c:pt idx="1">
                  <c:v>80</c:v>
                </c:pt>
                <c:pt idx="2">
                  <c:v>80</c:v>
                </c:pt>
                <c:pt idx="3">
                  <c:v>80</c:v>
                </c:pt>
                <c:pt idx="4">
                  <c:v>80</c:v>
                </c:pt>
                <c:pt idx="5">
                  <c:v>80</c:v>
                </c:pt>
                <c:pt idx="6">
                  <c:v>80</c:v>
                </c:pt>
                <c:pt idx="7">
                  <c:v>80</c:v>
                </c:pt>
                <c:pt idx="8">
                  <c:v>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7529.4</c:v>
                </c:pt>
                <c:pt idx="1">
                  <c:v>8386.7999999999993</c:v>
                </c:pt>
                <c:pt idx="2">
                  <c:v>8603.6000000000022</c:v>
                </c:pt>
                <c:pt idx="3">
                  <c:v>9004</c:v>
                </c:pt>
                <c:pt idx="4">
                  <c:v>9251.7999999999993</c:v>
                </c:pt>
                <c:pt idx="5">
                  <c:v>10634.000000000009</c:v>
                </c:pt>
                <c:pt idx="6">
                  <c:v>12135.500000000009</c:v>
                </c:pt>
                <c:pt idx="7">
                  <c:v>12185.000000000005</c:v>
                </c:pt>
                <c:pt idx="8">
                  <c:v>12283.400000000005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3335.2</c:v>
                </c:pt>
                <c:pt idx="1">
                  <c:v>3648.6</c:v>
                </c:pt>
                <c:pt idx="2">
                  <c:v>3929.5</c:v>
                </c:pt>
                <c:pt idx="3">
                  <c:v>4194.3000000000011</c:v>
                </c:pt>
                <c:pt idx="4">
                  <c:v>4638.0000000000009</c:v>
                </c:pt>
                <c:pt idx="5">
                  <c:v>5099.2000000000062</c:v>
                </c:pt>
                <c:pt idx="6">
                  <c:v>5564.200000000008</c:v>
                </c:pt>
                <c:pt idx="7">
                  <c:v>6109.7000000000062</c:v>
                </c:pt>
                <c:pt idx="8">
                  <c:v>6719.7999999999965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7.7841101556441111E-2</c:v>
                </c:pt>
                <c:pt idx="1">
                  <c:v>8.7898026741996593E-2</c:v>
                </c:pt>
                <c:pt idx="2">
                  <c:v>8.5984357175418163E-2</c:v>
                </c:pt>
                <c:pt idx="3">
                  <c:v>9.187019821101422E-2</c:v>
                </c:pt>
                <c:pt idx="4">
                  <c:v>0.11198488507500221</c:v>
                </c:pt>
                <c:pt idx="5">
                  <c:v>0.12504033203475645</c:v>
                </c:pt>
                <c:pt idx="6">
                  <c:v>0.12711567312959254</c:v>
                </c:pt>
                <c:pt idx="7">
                  <c:v>0.13129163133531571</c:v>
                </c:pt>
                <c:pt idx="8">
                  <c:v>0.15029626724125469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45.79121076064289</c:v>
                </c:pt>
                <c:pt idx="2">
                  <c:v>2.18871352189002</c:v>
                </c:pt>
                <c:pt idx="3">
                  <c:v>2.4206722175578061</c:v>
                </c:pt>
                <c:pt idx="4">
                  <c:v>64.541536802736346</c:v>
                </c:pt>
                <c:pt idx="5">
                  <c:v>38.326764515614833</c:v>
                </c:pt>
                <c:pt idx="7">
                  <c:v>54.662200473221134</c:v>
                </c:pt>
                <c:pt idx="8">
                  <c:v>2.0399259043470899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50.400596500090721</c:v>
                </c:pt>
                <c:pt idx="4" formatCode="#,##0">
                  <c:v>64.541536802736346</c:v>
                </c:pt>
                <c:pt idx="5" formatCode="#,##0">
                  <c:v>38.326764515614833</c:v>
                </c:pt>
                <c:pt idx="6" formatCode="#,##0">
                  <c:v>56.70212637756822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748</c:v>
                </c:pt>
                <c:pt idx="1">
                  <c:v>806</c:v>
                </c:pt>
                <c:pt idx="2">
                  <c:v>860</c:v>
                </c:pt>
                <c:pt idx="3">
                  <c:v>909</c:v>
                </c:pt>
                <c:pt idx="4">
                  <c:v>983</c:v>
                </c:pt>
                <c:pt idx="5">
                  <c:v>1051</c:v>
                </c:pt>
                <c:pt idx="6">
                  <c:v>1120</c:v>
                </c:pt>
                <c:pt idx="7">
                  <c:v>1199</c:v>
                </c:pt>
                <c:pt idx="8">
                  <c:v>1285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181814.20644423904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27325.996560000003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689342.40100000007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646402.30900000001</c:v>
                </c:pt>
                <c:pt idx="1">
                  <c:v>16553.531999999999</c:v>
                </c:pt>
                <c:pt idx="2">
                  <c:v>26386.560000000005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24312.556560000005</c:v>
                </c:pt>
                <c:pt idx="1">
                  <c:v>0</c:v>
                </c:pt>
                <c:pt idx="2">
                  <c:v>420.48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38.08561768558981</c:v>
                </c:pt>
                <c:pt idx="2">
                  <c:v>1.9385826355954605</c:v>
                </c:pt>
                <c:pt idx="3">
                  <c:v>0.76242318001066611</c:v>
                </c:pt>
                <c:pt idx="4">
                  <c:v>43.787605213986843</c:v>
                </c:pt>
                <c:pt idx="5">
                  <c:v>34.710539819971515</c:v>
                </c:pt>
                <c:pt idx="7">
                  <c:v>50.11493611533993</c:v>
                </c:pt>
                <c:pt idx="8">
                  <c:v>1.5756513347021104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40.786623501195933</c:v>
                </c:pt>
                <c:pt idx="4">
                  <c:v>43.787605213986843</c:v>
                </c:pt>
                <c:pt idx="5">
                  <c:v>34.710539819971515</c:v>
                </c:pt>
                <c:pt idx="6">
                  <c:v>51.690587450042038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富士河口湖町</c:v>
                </c:pt>
              </c:strCache>
            </c:strRef>
          </c:cat>
          <c:val>
            <c:numRef>
              <c:f>①CO2排出量の現状把握!$AX$43:$AX$45</c:f>
              <c:numCache>
                <c:formatCode>0%</c:formatCode>
                <c:ptCount val="3"/>
                <c:pt idx="0">
                  <c:v>0.42072759503743129</c:v>
                </c:pt>
                <c:pt idx="1">
                  <c:v>0.22971129711870666</c:v>
                </c:pt>
                <c:pt idx="2">
                  <c:v>0.23855264559137626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富士河口湖町</c:v>
                </c:pt>
              </c:strCache>
            </c:strRef>
          </c:cat>
          <c:val>
            <c:numRef>
              <c:f>①CO2排出量の現状把握!$AY$43:$AY$45</c:f>
              <c:numCache>
                <c:formatCode>0%</c:formatCode>
                <c:ptCount val="3"/>
                <c:pt idx="0">
                  <c:v>0.19118662390594171</c:v>
                </c:pt>
                <c:pt idx="1">
                  <c:v>0.21498021970629475</c:v>
                </c:pt>
                <c:pt idx="2">
                  <c:v>0.25610477581212426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富士河口湖町</c:v>
                </c:pt>
              </c:strCache>
            </c:strRef>
          </c:cat>
          <c:val>
            <c:numRef>
              <c:f>①CO2排出量の現状把握!$AZ$43:$AZ$45</c:f>
              <c:numCache>
                <c:formatCode>0%</c:formatCode>
                <c:ptCount val="3"/>
                <c:pt idx="0">
                  <c:v>0.18034974026133399</c:v>
                </c:pt>
                <c:pt idx="1">
                  <c:v>0.21787316473018156</c:v>
                </c:pt>
                <c:pt idx="2">
                  <c:v>0.20301487088570169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富士河口湖町</c:v>
                </c:pt>
              </c:strCache>
            </c:strRef>
          </c:cat>
          <c:val>
            <c:numRef>
              <c:f>①CO2排出量の現状把握!$BA$43:$BA$45</c:f>
              <c:numCache>
                <c:formatCode>0%</c:formatCode>
                <c:ptCount val="3"/>
                <c:pt idx="0">
                  <c:v>0.19226168778726088</c:v>
                </c:pt>
                <c:pt idx="1">
                  <c:v>0.31719441619481009</c:v>
                </c:pt>
                <c:pt idx="2">
                  <c:v>0.30232770771079781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富士河口湖町</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11392</c:v>
                </c:pt>
                <c:pt idx="1">
                  <c:v>11392</c:v>
                </c:pt>
                <c:pt idx="2">
                  <c:v>11392</c:v>
                </c:pt>
                <c:pt idx="3">
                  <c:v>11392</c:v>
                </c:pt>
                <c:pt idx="4">
                  <c:v>11392</c:v>
                </c:pt>
                <c:pt idx="5">
                  <c:v>10730</c:v>
                </c:pt>
                <c:pt idx="6">
                  <c:v>10730</c:v>
                </c:pt>
                <c:pt idx="7">
                  <c:v>10730</c:v>
                </c:pt>
                <c:pt idx="8">
                  <c:v>10730</c:v>
                </c:pt>
                <c:pt idx="9">
                  <c:v>10730</c:v>
                </c:pt>
                <c:pt idx="10">
                  <c:v>10730</c:v>
                </c:pt>
                <c:pt idx="11">
                  <c:v>11544</c:v>
                </c:pt>
                <c:pt idx="12">
                  <c:v>11544</c:v>
                </c:pt>
                <c:pt idx="13">
                  <c:v>11544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25897</c:v>
                </c:pt>
                <c:pt idx="1">
                  <c:v>26010</c:v>
                </c:pt>
                <c:pt idx="2">
                  <c:v>26109</c:v>
                </c:pt>
                <c:pt idx="3">
                  <c:v>26306</c:v>
                </c:pt>
                <c:pt idx="4">
                  <c:v>26371</c:v>
                </c:pt>
                <c:pt idx="5">
                  <c:v>26503</c:v>
                </c:pt>
                <c:pt idx="6">
                  <c:v>26532</c:v>
                </c:pt>
                <c:pt idx="7">
                  <c:v>26555</c:v>
                </c:pt>
                <c:pt idx="8">
                  <c:v>26518</c:v>
                </c:pt>
                <c:pt idx="9">
                  <c:v>26473</c:v>
                </c:pt>
                <c:pt idx="10">
                  <c:v>26674</c:v>
                </c:pt>
                <c:pt idx="11">
                  <c:v>26714</c:v>
                </c:pt>
                <c:pt idx="12">
                  <c:v>26716</c:v>
                </c:pt>
                <c:pt idx="13">
                  <c:v>26765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富士河口湖町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2101</v>
      </c>
      <c r="B9" s="70">
        <v>1</v>
      </c>
      <c r="C9" s="70">
        <v>1</v>
      </c>
      <c r="D9" s="70">
        <v>1</v>
      </c>
      <c r="E9" s="70">
        <v>1990</v>
      </c>
      <c r="F9" s="70" t="s">
        <v>787</v>
      </c>
      <c r="G9" s="1073" t="s">
        <v>2102</v>
      </c>
      <c r="H9" s="70" t="s">
        <v>2103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2104</v>
      </c>
      <c r="B10" s="70">
        <v>2</v>
      </c>
      <c r="C10" s="70">
        <v>2</v>
      </c>
      <c r="D10" s="70">
        <v>1</v>
      </c>
      <c r="E10" s="70">
        <v>2005</v>
      </c>
      <c r="F10" s="70" t="s">
        <v>789</v>
      </c>
      <c r="G10" s="1073" t="s">
        <v>2102</v>
      </c>
      <c r="H10" s="70" t="s">
        <v>2103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2105</v>
      </c>
      <c r="B11" s="70">
        <v>3</v>
      </c>
      <c r="C11" s="70">
        <v>3</v>
      </c>
      <c r="D11" s="70">
        <v>1</v>
      </c>
      <c r="E11" s="70">
        <v>2006</v>
      </c>
      <c r="F11" s="70" t="s">
        <v>790</v>
      </c>
      <c r="G11" s="1073" t="s">
        <v>2102</v>
      </c>
      <c r="H11" s="70" t="s">
        <v>2103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2106</v>
      </c>
      <c r="B12" s="70">
        <v>4</v>
      </c>
      <c r="C12" s="70">
        <v>4</v>
      </c>
      <c r="D12" s="70">
        <v>1</v>
      </c>
      <c r="E12" s="70">
        <v>2007</v>
      </c>
      <c r="F12" s="70" t="s">
        <v>791</v>
      </c>
      <c r="G12" s="1073" t="s">
        <v>2102</v>
      </c>
      <c r="H12" s="70" t="s">
        <v>2103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2107</v>
      </c>
      <c r="B13" s="70">
        <v>5</v>
      </c>
      <c r="C13" s="70">
        <v>5</v>
      </c>
      <c r="D13" s="70">
        <v>1</v>
      </c>
      <c r="E13" s="70">
        <v>2008</v>
      </c>
      <c r="F13" s="70" t="s">
        <v>792</v>
      </c>
      <c r="G13" s="1073" t="s">
        <v>2102</v>
      </c>
      <c r="H13" s="70" t="s">
        <v>2103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2108</v>
      </c>
      <c r="B14" s="70">
        <v>6</v>
      </c>
      <c r="C14" s="70">
        <v>6</v>
      </c>
      <c r="D14" s="70">
        <v>1</v>
      </c>
      <c r="E14" s="70">
        <v>2009</v>
      </c>
      <c r="F14" s="70" t="s">
        <v>176</v>
      </c>
      <c r="G14" s="1073" t="s">
        <v>2102</v>
      </c>
      <c r="H14" s="70" t="s">
        <v>2103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5.45</v>
      </c>
      <c r="AJ14" s="73">
        <v>0</v>
      </c>
      <c r="AK14" s="73">
        <v>0</v>
      </c>
      <c r="AL14" s="73">
        <v>0</v>
      </c>
      <c r="AM14" s="73">
        <v>0</v>
      </c>
      <c r="AN14" s="73">
        <v>0</v>
      </c>
      <c r="AO14" s="73">
        <v>11.5</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5.45</v>
      </c>
      <c r="EK14" s="73">
        <v>0</v>
      </c>
      <c r="EL14" s="73">
        <v>0</v>
      </c>
      <c r="EM14" s="73">
        <v>0</v>
      </c>
      <c r="EN14" s="73">
        <v>0</v>
      </c>
      <c r="EO14" s="73">
        <v>0</v>
      </c>
      <c r="EP14" s="73">
        <v>11.5</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2109</v>
      </c>
      <c r="B15" s="70">
        <v>7</v>
      </c>
      <c r="C15" s="70">
        <v>7</v>
      </c>
      <c r="D15" s="70">
        <v>1</v>
      </c>
      <c r="E15" s="70">
        <v>2010</v>
      </c>
      <c r="F15" s="70" t="s">
        <v>177</v>
      </c>
      <c r="G15" s="1073" t="s">
        <v>2102</v>
      </c>
      <c r="H15" s="70" t="s">
        <v>2103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8.5229999999999997</v>
      </c>
      <c r="AJ15" s="73">
        <v>0</v>
      </c>
      <c r="AK15" s="73">
        <v>0</v>
      </c>
      <c r="AL15" s="73">
        <v>0</v>
      </c>
      <c r="AM15" s="73">
        <v>0</v>
      </c>
      <c r="AN15" s="73">
        <v>7.657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8.5229999999999997</v>
      </c>
      <c r="EK15" s="73">
        <v>0</v>
      </c>
      <c r="EL15" s="73">
        <v>0</v>
      </c>
      <c r="EM15" s="73">
        <v>0</v>
      </c>
      <c r="EN15" s="73">
        <v>0</v>
      </c>
      <c r="EO15" s="73">
        <v>7.657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16.18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16.18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2110</v>
      </c>
      <c r="B16" s="70">
        <v>8</v>
      </c>
      <c r="C16" s="70">
        <v>8</v>
      </c>
      <c r="D16" s="70">
        <v>1</v>
      </c>
      <c r="E16" s="70">
        <v>2011</v>
      </c>
      <c r="F16" s="70" t="s">
        <v>178</v>
      </c>
      <c r="G16" s="1073" t="s">
        <v>2102</v>
      </c>
      <c r="H16" s="70" t="s">
        <v>2103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8.2390000000000008</v>
      </c>
      <c r="AJ16" s="73">
        <v>0</v>
      </c>
      <c r="AK16" s="73">
        <v>2.2519999999999998</v>
      </c>
      <c r="AL16" s="73">
        <v>0</v>
      </c>
      <c r="AM16" s="73">
        <v>0</v>
      </c>
      <c r="AN16" s="73">
        <v>7.8440000000000003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8.2390000000000008</v>
      </c>
      <c r="EK16" s="73">
        <v>0</v>
      </c>
      <c r="EL16" s="73">
        <v>2.2519999999999998</v>
      </c>
      <c r="EM16" s="73">
        <v>0</v>
      </c>
      <c r="EN16" s="73">
        <v>0</v>
      </c>
      <c r="EO16" s="73">
        <v>7.8440000000000003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18.335000000000001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18.335000000000001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2111</v>
      </c>
      <c r="B17" s="70">
        <v>9</v>
      </c>
      <c r="C17" s="70">
        <v>9</v>
      </c>
      <c r="D17" s="70">
        <v>1</v>
      </c>
      <c r="E17" s="70">
        <v>2012</v>
      </c>
      <c r="F17" s="70" t="s">
        <v>179</v>
      </c>
      <c r="G17" s="1073" t="s">
        <v>2102</v>
      </c>
      <c r="H17" s="70" t="s">
        <v>2103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9.0540000000000003</v>
      </c>
      <c r="AJ17" s="73">
        <v>0</v>
      </c>
      <c r="AK17" s="73">
        <v>2.415</v>
      </c>
      <c r="AL17" s="73">
        <v>0</v>
      </c>
      <c r="AM17" s="73">
        <v>0</v>
      </c>
      <c r="AN17" s="73">
        <v>9.67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9.0540000000000003</v>
      </c>
      <c r="EK17" s="73">
        <v>0</v>
      </c>
      <c r="EL17" s="73">
        <v>2.415</v>
      </c>
      <c r="EM17" s="73">
        <v>0</v>
      </c>
      <c r="EN17" s="73">
        <v>0</v>
      </c>
      <c r="EO17" s="73">
        <v>9.67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21.138999999999999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21.138999999999999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2112</v>
      </c>
      <c r="B18" s="70">
        <v>10</v>
      </c>
      <c r="C18" s="70">
        <v>10</v>
      </c>
      <c r="D18" s="70">
        <v>1</v>
      </c>
      <c r="E18" s="70">
        <v>2013</v>
      </c>
      <c r="F18" s="70" t="s">
        <v>180</v>
      </c>
      <c r="G18" s="1073" t="s">
        <v>2102</v>
      </c>
      <c r="H18" s="70" t="s">
        <v>2103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9.1530000000000005</v>
      </c>
      <c r="AJ18" s="73">
        <v>0</v>
      </c>
      <c r="AK18" s="73">
        <v>0</v>
      </c>
      <c r="AL18" s="73">
        <v>0</v>
      </c>
      <c r="AM18" s="73">
        <v>0</v>
      </c>
      <c r="AN18" s="73">
        <v>12.548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9.1530000000000005</v>
      </c>
      <c r="EK18" s="73">
        <v>0</v>
      </c>
      <c r="EL18" s="73">
        <v>0</v>
      </c>
      <c r="EM18" s="73">
        <v>0</v>
      </c>
      <c r="EN18" s="73">
        <v>0</v>
      </c>
      <c r="EO18" s="73">
        <v>12.548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21.701000000000001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21.701000000000001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2113</v>
      </c>
      <c r="B19" s="70">
        <v>11</v>
      </c>
      <c r="C19" s="70">
        <v>11</v>
      </c>
      <c r="D19" s="70">
        <v>1</v>
      </c>
      <c r="E19" s="70">
        <v>2014</v>
      </c>
      <c r="F19" s="70" t="s">
        <v>181</v>
      </c>
      <c r="G19" s="1073" t="s">
        <v>2102</v>
      </c>
      <c r="H19" s="70" t="s">
        <v>2103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10.512</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10.512</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10.512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10.512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2114</v>
      </c>
      <c r="B20" s="70">
        <v>12</v>
      </c>
      <c r="C20" s="70">
        <v>12</v>
      </c>
      <c r="D20" s="70">
        <v>1</v>
      </c>
      <c r="E20" s="70">
        <v>2015</v>
      </c>
      <c r="F20" s="70" t="s">
        <v>182</v>
      </c>
      <c r="G20" s="1073" t="s">
        <v>2102</v>
      </c>
      <c r="H20" s="70" t="s">
        <v>2103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10.211</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10.211</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10.211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10.211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2115</v>
      </c>
      <c r="B21" s="70">
        <v>13</v>
      </c>
      <c r="C21" s="70">
        <v>13</v>
      </c>
      <c r="D21" s="70">
        <v>1</v>
      </c>
      <c r="E21" s="70">
        <v>2016</v>
      </c>
      <c r="F21" s="70" t="s">
        <v>155</v>
      </c>
      <c r="G21" s="1073" t="s">
        <v>2102</v>
      </c>
      <c r="H21" s="70" t="s">
        <v>2103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10.404999999999999</v>
      </c>
      <c r="AJ21" s="73">
        <v>0</v>
      </c>
      <c r="AK21" s="73">
        <v>0</v>
      </c>
      <c r="AL21" s="73">
        <v>0</v>
      </c>
      <c r="AM21" s="73">
        <v>0</v>
      </c>
      <c r="AN21" s="73">
        <v>12.401999999999999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10.404999999999999</v>
      </c>
      <c r="EK21" s="73">
        <v>0</v>
      </c>
      <c r="EL21" s="73">
        <v>0</v>
      </c>
      <c r="EM21" s="73">
        <v>0</v>
      </c>
      <c r="EN21" s="73">
        <v>0</v>
      </c>
      <c r="EO21" s="73">
        <v>12.401999999999999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22.806999999999999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22.806999999999999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2116</v>
      </c>
      <c r="B22" s="70">
        <v>14</v>
      </c>
      <c r="C22" s="70">
        <v>14</v>
      </c>
      <c r="D22" s="70">
        <v>1</v>
      </c>
      <c r="E22" s="70">
        <v>2017</v>
      </c>
      <c r="F22" s="70" t="s">
        <v>156</v>
      </c>
      <c r="G22" s="1073" t="s">
        <v>2102</v>
      </c>
      <c r="H22" s="70" t="s">
        <v>2103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10.746</v>
      </c>
      <c r="AJ22" s="73">
        <v>0</v>
      </c>
      <c r="AK22" s="73">
        <v>0</v>
      </c>
      <c r="AL22" s="73">
        <v>0</v>
      </c>
      <c r="AM22" s="73">
        <v>0</v>
      </c>
      <c r="AN22" s="73">
        <v>12.08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10.746</v>
      </c>
      <c r="EK22" s="73">
        <v>0</v>
      </c>
      <c r="EL22" s="73">
        <v>0</v>
      </c>
      <c r="EM22" s="73">
        <v>0</v>
      </c>
      <c r="EN22" s="73">
        <v>0</v>
      </c>
      <c r="EO22" s="73">
        <v>12.08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22.826000000000001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22.826000000000001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2117</v>
      </c>
      <c r="B23" s="70">
        <v>15</v>
      </c>
      <c r="C23" s="70">
        <v>15</v>
      </c>
      <c r="D23" s="70">
        <v>1</v>
      </c>
      <c r="E23" s="70">
        <v>2018</v>
      </c>
      <c r="F23" s="70" t="s">
        <v>183</v>
      </c>
      <c r="G23" s="1073" t="s">
        <v>2102</v>
      </c>
      <c r="H23" s="70" t="s">
        <v>2103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10.811999999999999</v>
      </c>
      <c r="AJ23" s="73">
        <v>0</v>
      </c>
      <c r="AK23" s="73">
        <v>0</v>
      </c>
      <c r="AL23" s="73">
        <v>0</v>
      </c>
      <c r="AM23" s="73">
        <v>0</v>
      </c>
      <c r="AN23" s="73">
        <v>12.56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10.811999999999999</v>
      </c>
      <c r="EK23" s="73">
        <v>0</v>
      </c>
      <c r="EL23" s="73">
        <v>0</v>
      </c>
      <c r="EM23" s="73">
        <v>0</v>
      </c>
      <c r="EN23" s="73">
        <v>0</v>
      </c>
      <c r="EO23" s="73">
        <v>12.56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23.372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23.372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2118</v>
      </c>
      <c r="B24" s="70">
        <v>16</v>
      </c>
      <c r="C24" s="70">
        <v>16</v>
      </c>
      <c r="D24" s="70">
        <v>1</v>
      </c>
      <c r="E24" s="70">
        <v>2019</v>
      </c>
      <c r="F24" s="70" t="s">
        <v>158</v>
      </c>
      <c r="G24" s="1073" t="s">
        <v>2102</v>
      </c>
      <c r="H24" s="70" t="s">
        <v>2103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9.266</v>
      </c>
      <c r="AJ24" s="73">
        <v>0</v>
      </c>
      <c r="AK24" s="73">
        <v>0</v>
      </c>
      <c r="AL24" s="73">
        <v>0</v>
      </c>
      <c r="AM24" s="73">
        <v>0</v>
      </c>
      <c r="AN24" s="73">
        <v>11.419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9.266</v>
      </c>
      <c r="EK24" s="73">
        <v>0</v>
      </c>
      <c r="EL24" s="73">
        <v>0</v>
      </c>
      <c r="EM24" s="73">
        <v>0</v>
      </c>
      <c r="EN24" s="73">
        <v>0</v>
      </c>
      <c r="EO24" s="73">
        <v>11.419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20.684999999999999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20.684999999999999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2119</v>
      </c>
      <c r="B25" s="70">
        <v>17</v>
      </c>
      <c r="C25" s="70">
        <v>17</v>
      </c>
      <c r="D25" s="70">
        <v>1</v>
      </c>
      <c r="E25" s="70">
        <v>2020</v>
      </c>
      <c r="F25" s="70" t="s">
        <v>159</v>
      </c>
      <c r="G25" s="1073" t="s">
        <v>2102</v>
      </c>
      <c r="H25" s="70" t="s">
        <v>2103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5.742</v>
      </c>
      <c r="AJ25" s="73">
        <v>0</v>
      </c>
      <c r="AK25" s="73">
        <v>3.0739999999999998</v>
      </c>
      <c r="AL25" s="73">
        <v>0</v>
      </c>
      <c r="AM25" s="73">
        <v>0</v>
      </c>
      <c r="AN25" s="73">
        <v>10.436999999999999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5.742</v>
      </c>
      <c r="EK25" s="73">
        <v>0</v>
      </c>
      <c r="EL25" s="73">
        <v>3.0739999999999998</v>
      </c>
      <c r="EM25" s="73">
        <v>0</v>
      </c>
      <c r="EN25" s="73">
        <v>0</v>
      </c>
      <c r="EO25" s="73">
        <v>10.436999999999999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19.253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19.253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2120</v>
      </c>
      <c r="B26" s="70">
        <v>18</v>
      </c>
      <c r="C26" s="70">
        <v>18</v>
      </c>
      <c r="D26" s="70">
        <v>1</v>
      </c>
      <c r="E26" s="70">
        <v>2021</v>
      </c>
      <c r="F26" s="70" t="s">
        <v>160</v>
      </c>
      <c r="G26" s="1073" t="s">
        <v>2102</v>
      </c>
      <c r="H26" s="70" t="s">
        <v>2103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8.2210000000000001</v>
      </c>
      <c r="AJ26" s="73">
        <v>0</v>
      </c>
      <c r="AK26" s="73">
        <v>2.9260000000000002</v>
      </c>
      <c r="AL26" s="73">
        <v>0</v>
      </c>
      <c r="AM26" s="73">
        <v>0</v>
      </c>
      <c r="AN26" s="73">
        <v>10.512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8.2210000000000001</v>
      </c>
      <c r="EK26" s="73">
        <v>0</v>
      </c>
      <c r="EL26" s="73">
        <v>2.9260000000000002</v>
      </c>
      <c r="EM26" s="73">
        <v>0</v>
      </c>
      <c r="EN26" s="73">
        <v>0</v>
      </c>
      <c r="EO26" s="73">
        <v>10.512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21.658999999999999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21.658999999999999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2121</v>
      </c>
      <c r="B27" s="70">
        <v>19</v>
      </c>
      <c r="C27" s="70">
        <v>19</v>
      </c>
      <c r="D27" s="70">
        <v>1</v>
      </c>
      <c r="E27" s="70">
        <v>2022</v>
      </c>
      <c r="F27" s="70" t="s">
        <v>161</v>
      </c>
      <c r="G27" s="1073" t="s">
        <v>2102</v>
      </c>
      <c r="H27" s="70" t="s">
        <v>2103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2122</v>
      </c>
      <c r="B28" s="70">
        <v>20</v>
      </c>
      <c r="C28" s="70">
        <v>20</v>
      </c>
      <c r="D28" s="70">
        <v>1</v>
      </c>
      <c r="E28" s="70">
        <v>2023</v>
      </c>
      <c r="F28" s="70" t="s">
        <v>1539</v>
      </c>
      <c r="G28" s="1073" t="s">
        <v>2102</v>
      </c>
      <c r="H28" s="70" t="s">
        <v>2103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2123</v>
      </c>
      <c r="B29" s="70">
        <v>21</v>
      </c>
      <c r="C29" s="70">
        <v>21</v>
      </c>
      <c r="D29" s="70">
        <v>1</v>
      </c>
      <c r="E29" s="70">
        <v>2024</v>
      </c>
      <c r="F29" s="70" t="s">
        <v>1554</v>
      </c>
      <c r="G29" s="1073" t="s">
        <v>2102</v>
      </c>
      <c r="H29" s="70" t="s">
        <v>2103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2102</v>
      </c>
      <c r="H30" s="70" t="s">
        <v>2103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2102</v>
      </c>
      <c r="H31" s="70" t="s">
        <v>2103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2102</v>
      </c>
      <c r="H32" s="70" t="s">
        <v>2103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2102</v>
      </c>
      <c r="H33" s="70" t="s">
        <v>2103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2102</v>
      </c>
      <c r="H34" s="70" t="s">
        <v>2103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2102</v>
      </c>
      <c r="H35" s="70" t="s">
        <v>2103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2334</v>
      </c>
      <c r="B10" s="70">
        <v>2</v>
      </c>
      <c r="C10" s="70">
        <v>18</v>
      </c>
      <c r="D10" s="70">
        <v>2</v>
      </c>
      <c r="E10" s="70">
        <v>2024</v>
      </c>
      <c r="F10" s="70" t="s">
        <v>1554</v>
      </c>
      <c r="G10" s="1073" t="s">
        <v>2331</v>
      </c>
      <c r="H10" s="70" t="s">
        <v>2332</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1690</v>
      </c>
      <c r="B26" s="70">
        <v>18</v>
      </c>
      <c r="C26" s="70">
        <v>18</v>
      </c>
      <c r="D26" s="70">
        <v>18</v>
      </c>
      <c r="E26" s="70">
        <v>2024</v>
      </c>
      <c r="F26" s="70" t="s">
        <v>1554</v>
      </c>
      <c r="G26" s="1073" t="s">
        <v>1669</v>
      </c>
      <c r="H26" s="70" t="s">
        <v>1670</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2123</v>
      </c>
      <c r="B29" s="70">
        <v>21</v>
      </c>
      <c r="C29" s="70">
        <v>18</v>
      </c>
      <c r="D29" s="70">
        <v>21</v>
      </c>
      <c r="E29" s="70">
        <v>2024</v>
      </c>
      <c r="F29" s="70" t="s">
        <v>1554</v>
      </c>
      <c r="G29" s="1073" t="s">
        <v>2102</v>
      </c>
      <c r="H29" s="70" t="s">
        <v>2103</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2338</v>
      </c>
      <c r="B30" s="70">
        <v>22</v>
      </c>
      <c r="C30" s="70">
        <v>18</v>
      </c>
      <c r="D30" s="70">
        <v>22</v>
      </c>
      <c r="E30" s="70">
        <v>2024</v>
      </c>
      <c r="F30" s="70" t="s">
        <v>1554</v>
      </c>
      <c r="G30" s="1073" t="s">
        <v>2335</v>
      </c>
      <c r="H30" s="70" t="s">
        <v>2336</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1655</v>
      </c>
      <c r="B31" s="70">
        <v>23</v>
      </c>
      <c r="C31" s="70">
        <v>18</v>
      </c>
      <c r="D31" s="70">
        <v>23</v>
      </c>
      <c r="E31" s="70">
        <v>2024</v>
      </c>
      <c r="F31" s="70" t="s">
        <v>1554</v>
      </c>
      <c r="G31" s="1073" t="s">
        <v>1652</v>
      </c>
      <c r="H31" s="70" t="s">
        <v>1653</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1656</v>
      </c>
      <c r="H32" s="70" t="s">
        <v>1657</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2333</v>
      </c>
      <c r="B190" s="70">
        <v>182</v>
      </c>
      <c r="C190" s="70">
        <v>16</v>
      </c>
      <c r="D190" s="70">
        <v>2</v>
      </c>
      <c r="E190" s="70">
        <v>2022</v>
      </c>
      <c r="F190" s="70" t="s">
        <v>161</v>
      </c>
      <c r="G190" s="1073" t="s">
        <v>2331</v>
      </c>
      <c r="H190" s="70" t="s">
        <v>2332</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1688</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2121</v>
      </c>
      <c r="B209" s="70">
        <v>201</v>
      </c>
      <c r="C209" s="70">
        <v>16</v>
      </c>
      <c r="D209" s="70">
        <v>21</v>
      </c>
      <c r="E209" s="70">
        <v>2022</v>
      </c>
      <c r="F209" s="70" t="s">
        <v>161</v>
      </c>
      <c r="G209" s="1073" t="s">
        <v>2102</v>
      </c>
      <c r="H209" s="70" t="s">
        <v>2103</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2337</v>
      </c>
      <c r="B210" s="70">
        <v>202</v>
      </c>
      <c r="C210" s="70">
        <v>16</v>
      </c>
      <c r="D210" s="70">
        <v>22</v>
      </c>
      <c r="E210" s="70">
        <v>2022</v>
      </c>
      <c r="F210" s="70" t="s">
        <v>161</v>
      </c>
      <c r="G210" s="1073" t="s">
        <v>2335</v>
      </c>
      <c r="H210" s="70" t="s">
        <v>2336</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1654</v>
      </c>
      <c r="B211" s="70">
        <v>203</v>
      </c>
      <c r="C211" s="70">
        <v>16</v>
      </c>
      <c r="D211" s="70">
        <v>23</v>
      </c>
      <c r="E211" s="70">
        <v>2022</v>
      </c>
      <c r="F211" s="70" t="s">
        <v>161</v>
      </c>
      <c r="G211" s="1073" t="s">
        <v>1652</v>
      </c>
      <c r="H211" s="70" t="s">
        <v>1653</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2102</v>
      </c>
      <c r="H6" s="77" t="s">
        <v>2103</v>
      </c>
      <c r="I6" s="77" t="s">
        <v>2396</v>
      </c>
      <c r="J6" s="77" t="s">
        <v>2397</v>
      </c>
      <c r="K6" s="1080">
        <v>29</v>
      </c>
      <c r="L6" s="1081">
        <v>22</v>
      </c>
      <c r="M6" s="1044"/>
      <c r="N6" s="988">
        <v>1</v>
      </c>
      <c r="O6" s="77" t="s">
        <v>1669</v>
      </c>
      <c r="P6" s="77" t="s">
        <v>1670</v>
      </c>
      <c r="Q6" s="77" t="s">
        <v>1501</v>
      </c>
      <c r="R6" s="16"/>
      <c r="S6" s="77">
        <v>1</v>
      </c>
      <c r="T6" s="77" t="s">
        <v>2102</v>
      </c>
      <c r="U6" s="77" t="s">
        <v>2103</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2331</v>
      </c>
      <c r="AE7" s="77" t="s">
        <v>2332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2375</v>
      </c>
      <c r="AE9" s="77" t="s">
        <v>2376</v>
      </c>
      <c r="AF9" s="77" t="s">
        <v>1501</v>
      </c>
    </row>
    <row r="10" spans="1:32" ht="12">
      <c r="A10" s="16"/>
      <c r="B10" s="16"/>
      <c r="C10" s="16"/>
      <c r="D10" s="16"/>
      <c r="F10" s="75" t="s">
        <v>1501</v>
      </c>
      <c r="G10" s="76" t="s">
        <v>2102</v>
      </c>
      <c r="H10" s="77" t="s">
        <v>2103</v>
      </c>
      <c r="I10" s="77" t="s">
        <v>2396</v>
      </c>
      <c r="J10" s="77" t="s">
        <v>2397</v>
      </c>
      <c r="K10" s="1079">
        <v>29</v>
      </c>
      <c r="L10" s="1045">
        <v>22</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1632</v>
      </c>
      <c r="AE11" s="77" t="s">
        <v>1633</v>
      </c>
      <c r="AF11" s="77" t="s">
        <v>1501</v>
      </c>
    </row>
    <row r="12" spans="1:32" ht="12">
      <c r="A12" s="16"/>
      <c r="B12" s="16"/>
      <c r="C12" s="16"/>
      <c r="D12" s="16"/>
      <c r="F12" s="75" t="s">
        <v>1505</v>
      </c>
      <c r="G12" s="76" t="s">
        <v>2102</v>
      </c>
      <c r="H12" s="77"/>
      <c r="I12" s="77" t="s">
        <v>2102</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2102</v>
      </c>
      <c r="AE26" s="77" t="s">
        <v>2103</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2335</v>
      </c>
      <c r="AE27" s="77" t="s">
        <v>2336</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1652</v>
      </c>
      <c r="AE28" s="77" t="s">
        <v>1653</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富士河口湖町</v>
      </c>
      <c r="K4" s="70" t="str">
        <f>HLOOKUP(K3,比較地域マスタ!$E$5:$L$6,2,0)</f>
        <v>19430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富士河口湖町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33.169398485111863</v>
      </c>
      <c r="BB5" s="29"/>
      <c r="BC5" s="17"/>
      <c r="BD5" s="1005">
        <f>SUM(BC6:BC8)</f>
        <v>50.400596500090721</v>
      </c>
      <c r="BE5" s="29"/>
      <c r="BF5" s="17"/>
      <c r="BG5" s="1005">
        <f>AK35</f>
        <v>40.786623501195933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29.911477103568689</v>
      </c>
      <c r="BA6" s="17"/>
      <c r="BB6" s="29"/>
      <c r="BC6" s="1005">
        <f>O32</f>
        <v>45.79121076064289</v>
      </c>
      <c r="BD6" s="17"/>
      <c r="BE6" s="29"/>
      <c r="BF6" s="1005">
        <f>AK36</f>
        <v>38.08561768558981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2.1513905640763511</v>
      </c>
      <c r="BA7" s="17"/>
      <c r="BB7" s="29"/>
      <c r="BC7" s="1005">
        <f>O33</f>
        <v>2.18871352189002</v>
      </c>
      <c r="BD7" s="17"/>
      <c r="BE7" s="29"/>
      <c r="BF7" s="1005">
        <f t="shared" ref="BF7:BF8" si="0">AK37</f>
        <v>1.9385826355954605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1.1065308174668269</v>
      </c>
      <c r="BA8" s="17"/>
      <c r="BB8" s="29"/>
      <c r="BC8" s="1005">
        <f>O34</f>
        <v>2.4206722175578061</v>
      </c>
      <c r="BD8" s="17"/>
      <c r="BE8" s="29"/>
      <c r="BF8" s="1005">
        <f t="shared" si="0"/>
        <v>0.76242318001066611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166.64946406217646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42.913133482382179</v>
      </c>
      <c r="BA9" s="1005">
        <f>AZ9</f>
        <v>42.913133482382179</v>
      </c>
      <c r="BB9" s="29"/>
      <c r="BC9" s="1005">
        <f>O35</f>
        <v>64.541536802736346</v>
      </c>
      <c r="BD9" s="1005">
        <f>BC9</f>
        <v>64.541536802736346</v>
      </c>
      <c r="BE9" s="29"/>
      <c r="BF9" s="1005">
        <f>AK39</f>
        <v>43.787605213986843</v>
      </c>
      <c r="BG9" s="1005">
        <f>AK39</f>
        <v>43.787605213986843</v>
      </c>
      <c r="BH9" s="29"/>
    </row>
    <row r="10" spans="1:62" ht="17.100000000000001" customHeight="1" thickBot="1">
      <c r="B10" s="323"/>
      <c r="C10" s="324"/>
      <c r="D10" s="326"/>
      <c r="E10" s="326"/>
      <c r="F10" s="326"/>
      <c r="G10" s="325"/>
      <c r="H10" s="325"/>
      <c r="I10" s="326"/>
      <c r="J10" s="327"/>
      <c r="K10" s="334"/>
      <c r="L10" s="246" t="s">
        <v>114</v>
      </c>
      <c r="M10" s="246"/>
      <c r="N10" s="563"/>
      <c r="O10" s="906">
        <f>SUM(O11:O13)</f>
        <v>33.169398485111863</v>
      </c>
      <c r="P10" s="453">
        <f t="shared" ref="P10:P22" si="1">O10/$O$9</f>
        <v>0.19903693463266375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31.890067099163531</v>
      </c>
      <c r="BA10" s="1005">
        <f>AZ10</f>
        <v>31.890067099163531</v>
      </c>
      <c r="BB10" s="29"/>
      <c r="BC10" s="1005">
        <f>O36</f>
        <v>38.326764515614833</v>
      </c>
      <c r="BD10" s="1005">
        <f>BC10</f>
        <v>38.326764515614833</v>
      </c>
      <c r="BE10" s="29"/>
      <c r="BF10" s="1005">
        <f>AK40</f>
        <v>34.710539819971515</v>
      </c>
      <c r="BG10" s="1005">
        <f>AK40</f>
        <v>34.710539819971515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29.911477103568689</v>
      </c>
      <c r="P11" s="454">
        <f t="shared" si="1"/>
        <v>0.17948738852474677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58.676864995518883</v>
      </c>
      <c r="BB11" s="29"/>
      <c r="BC11" s="1005"/>
      <c r="BD11" s="1005">
        <f>SUM(BC12:BC14)</f>
        <v>56.70212637756822</v>
      </c>
      <c r="BE11" s="29"/>
      <c r="BF11" s="17"/>
      <c r="BG11" s="1005">
        <f>AK41</f>
        <v>51.690587450042038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2.1513905640763511</v>
      </c>
      <c r="P12" s="454">
        <f t="shared" si="1"/>
        <v>1.2909675864746095E-2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57.168363910257973</v>
      </c>
      <c r="BA12" s="17"/>
      <c r="BB12" s="29"/>
      <c r="BC12" s="1005">
        <f>O38</f>
        <v>54.662200473221134</v>
      </c>
      <c r="BD12" s="17"/>
      <c r="BE12" s="29"/>
      <c r="BF12" s="1005">
        <f>AK42</f>
        <v>50.11493611533993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1.1065308174668269</v>
      </c>
      <c r="P13" s="454">
        <f t="shared" si="1"/>
        <v>6.6398702431709191E-3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1.50850108526091</v>
      </c>
      <c r="BA13" s="17"/>
      <c r="BB13" s="29"/>
      <c r="BC13" s="1005">
        <f>O41</f>
        <v>2.0399259043470899</v>
      </c>
      <c r="BD13" s="17"/>
      <c r="BE13" s="29"/>
      <c r="BF13" s="1005">
        <f>AK45</f>
        <v>1.5756513347021104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42.913133482382179</v>
      </c>
      <c r="P14" s="453">
        <f t="shared" si="1"/>
        <v>0.25750537947347618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31.890067099163531</v>
      </c>
      <c r="P15" s="453">
        <f t="shared" si="1"/>
        <v>0.19136015395324305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58.676864995518883</v>
      </c>
      <c r="P16" s="453">
        <f t="shared" si="1"/>
        <v>0.35209753194061699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57.168363910257973</v>
      </c>
      <c r="P17" s="454">
        <f t="shared" si="1"/>
        <v>0.34304559112730548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32.206078256376102</v>
      </c>
      <c r="P18" s="454">
        <f t="shared" si="1"/>
        <v>0.1932564166204585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24.962285653881871</v>
      </c>
      <c r="P19" s="454">
        <f t="shared" si="1"/>
        <v>0.14978917450684695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1.50850108526091</v>
      </c>
      <c r="P20" s="454">
        <f t="shared" si="1"/>
        <v>9.051940813311541E-3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35.93556209115485</v>
      </c>
      <c r="AZ22" s="1005">
        <f t="shared" si="3"/>
        <v>41.887351245454369</v>
      </c>
      <c r="BA22" s="1005">
        <f t="shared" si="3"/>
        <v>43.077193967298712</v>
      </c>
      <c r="BB22" s="1005">
        <f t="shared" si="3"/>
        <v>50.277885831554109</v>
      </c>
      <c r="BC22" s="1005">
        <f t="shared" si="3"/>
        <v>50.400596500090721</v>
      </c>
      <c r="BD22" s="1005">
        <f t="shared" si="3"/>
        <v>48.27552820874218</v>
      </c>
      <c r="BE22" s="1005">
        <f t="shared" si="3"/>
        <v>42.345885316387964</v>
      </c>
      <c r="BF22" s="1005">
        <f t="shared" si="3"/>
        <v>44.476345126969157</v>
      </c>
      <c r="BG22" s="1005">
        <f t="shared" si="3"/>
        <v>43.554774436570547</v>
      </c>
      <c r="BH22" s="1005">
        <f t="shared" si="3"/>
        <v>49.36117836618611</v>
      </c>
      <c r="BI22" s="1005">
        <f t="shared" si="3"/>
        <v>33.414093566558122</v>
      </c>
      <c r="BJ22" s="1005">
        <f t="shared" si="3"/>
        <v>27.900427069234549</v>
      </c>
      <c r="BK22" s="1005">
        <f t="shared" si="3"/>
        <v>37.327251825714967</v>
      </c>
      <c r="BL22" s="1005">
        <f t="shared" si="3"/>
        <v>40.786623501195933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53.825823746188988</v>
      </c>
      <c r="AZ23" s="1005">
        <f t="shared" ref="AZ23:BL23" si="4">Y39</f>
        <v>55.735769332073062</v>
      </c>
      <c r="BA23" s="1005">
        <f t="shared" si="4"/>
        <v>63.435015642876969</v>
      </c>
      <c r="BB23" s="1005">
        <f t="shared" si="4"/>
        <v>62.417071582730337</v>
      </c>
      <c r="BC23" s="1005">
        <f t="shared" si="4"/>
        <v>64.541536802736346</v>
      </c>
      <c r="BD23" s="1005">
        <f t="shared" si="4"/>
        <v>58.498777622517252</v>
      </c>
      <c r="BE23" s="1005">
        <f t="shared" si="4"/>
        <v>52.588947271957927</v>
      </c>
      <c r="BF23" s="1005">
        <f t="shared" si="4"/>
        <v>44.66342156203163</v>
      </c>
      <c r="BG23" s="1005">
        <f t="shared" si="4"/>
        <v>45.141720429978228</v>
      </c>
      <c r="BH23" s="1005">
        <f t="shared" si="4"/>
        <v>41.959297118173843</v>
      </c>
      <c r="BI23" s="1005">
        <f t="shared" si="4"/>
        <v>40.782898645655848</v>
      </c>
      <c r="BJ23" s="1005">
        <f t="shared" si="4"/>
        <v>42.942413679470754</v>
      </c>
      <c r="BK23" s="1005">
        <f t="shared" si="4"/>
        <v>48.08575043629417</v>
      </c>
      <c r="BL23" s="1005">
        <f t="shared" si="4"/>
        <v>43.787605213986843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30.498739233850468</v>
      </c>
      <c r="AZ24" s="1005">
        <f t="shared" ref="AZ24:BL24" si="5">Y40</f>
        <v>30.203131030428441</v>
      </c>
      <c r="BA24" s="1005">
        <f t="shared" si="5"/>
        <v>35.531777589021701</v>
      </c>
      <c r="BB24" s="1005">
        <f t="shared" si="5"/>
        <v>41.509218725869033</v>
      </c>
      <c r="BC24" s="1005">
        <f t="shared" si="5"/>
        <v>38.326764515614833</v>
      </c>
      <c r="BD24" s="1005">
        <f t="shared" si="5"/>
        <v>33.17555767355821</v>
      </c>
      <c r="BE24" s="1005">
        <f t="shared" si="5"/>
        <v>35.541464111971891</v>
      </c>
      <c r="BF24" s="1005">
        <f t="shared" si="5"/>
        <v>33.540623832748267</v>
      </c>
      <c r="BG24" s="1005">
        <f t="shared" si="5"/>
        <v>36.775676986132993</v>
      </c>
      <c r="BH24" s="1005">
        <f t="shared" si="5"/>
        <v>34.47526591401509</v>
      </c>
      <c r="BI24" s="1005">
        <f t="shared" si="5"/>
        <v>31.077771426095612</v>
      </c>
      <c r="BJ24" s="1005">
        <f t="shared" si="5"/>
        <v>31.149603415648009</v>
      </c>
      <c r="BK24" s="1005">
        <f t="shared" si="5"/>
        <v>31.368287960094221</v>
      </c>
      <c r="BL24" s="1005">
        <f t="shared" si="5"/>
        <v>34.710539819971515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56.898333905617335</v>
      </c>
      <c r="AZ25" s="1005">
        <f t="shared" ref="AZ25:BL25" si="6">Y41</f>
        <v>57.623651983685932</v>
      </c>
      <c r="BA25" s="1005">
        <f t="shared" si="6"/>
        <v>56.828954042029359</v>
      </c>
      <c r="BB25" s="1005">
        <f t="shared" si="6"/>
        <v>57.85887861901233</v>
      </c>
      <c r="BC25" s="1005">
        <f t="shared" si="6"/>
        <v>56.70212637756822</v>
      </c>
      <c r="BD25" s="1005">
        <f t="shared" si="6"/>
        <v>55.734840036993113</v>
      </c>
      <c r="BE25" s="1005">
        <f t="shared" si="6"/>
        <v>56.148925212307006</v>
      </c>
      <c r="BF25" s="1005">
        <f t="shared" si="6"/>
        <v>55.925750718747054</v>
      </c>
      <c r="BG25" s="1005">
        <f t="shared" si="6"/>
        <v>55.544493070818099</v>
      </c>
      <c r="BH25" s="1005">
        <f t="shared" si="6"/>
        <v>54.907115459858659</v>
      </c>
      <c r="BI25" s="1005">
        <f t="shared" si="6"/>
        <v>54.308603094999306</v>
      </c>
      <c r="BJ25" s="1005">
        <f t="shared" si="6"/>
        <v>49.649297349173594</v>
      </c>
      <c r="BK25" s="1005">
        <f t="shared" si="6"/>
        <v>49.906682580965033</v>
      </c>
      <c r="BL25" s="1005">
        <f t="shared" si="6"/>
        <v>51.690587450042038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177.15845897681163</v>
      </c>
      <c r="AZ27" s="1005">
        <f t="shared" si="8"/>
        <v>185.4499035916418</v>
      </c>
      <c r="BA27" s="1005">
        <f t="shared" si="8"/>
        <v>198.87294124122673</v>
      </c>
      <c r="BB27" s="1005">
        <f t="shared" si="8"/>
        <v>212.06305475916582</v>
      </c>
      <c r="BC27" s="1005">
        <f t="shared" si="8"/>
        <v>209.97102419601012</v>
      </c>
      <c r="BD27" s="1005">
        <f t="shared" si="8"/>
        <v>195.68470354181076</v>
      </c>
      <c r="BE27" s="1005">
        <f t="shared" si="8"/>
        <v>186.6252219126248</v>
      </c>
      <c r="BF27" s="1005">
        <f t="shared" si="8"/>
        <v>178.60614124049613</v>
      </c>
      <c r="BG27" s="1005">
        <f t="shared" si="8"/>
        <v>181.01666492349986</v>
      </c>
      <c r="BH27" s="1005">
        <f t="shared" si="8"/>
        <v>180.7028568582337</v>
      </c>
      <c r="BI27" s="1005">
        <f t="shared" si="8"/>
        <v>159.58336673330888</v>
      </c>
      <c r="BJ27" s="1005">
        <f t="shared" si="8"/>
        <v>151.64174151352691</v>
      </c>
      <c r="BK27" s="1005">
        <f t="shared" si="8"/>
        <v>166.68797280306839</v>
      </c>
      <c r="BL27" s="1005">
        <f t="shared" si="8"/>
        <v>170.97535598519633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209.97102419601012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50.400596500090721</v>
      </c>
      <c r="P31" s="453">
        <f t="shared" ref="P31:P43" si="9">O31/$O$30</f>
        <v>0.24003596064303256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45.79121076064289</v>
      </c>
      <c r="P32" s="454">
        <f t="shared" si="9"/>
        <v>0.21808347573661555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2.18871352189002</v>
      </c>
      <c r="P33" s="454">
        <f t="shared" si="9"/>
        <v>1.0423883629994742E-2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2.4206722175578061</v>
      </c>
      <c r="P34" s="454">
        <f t="shared" si="9"/>
        <v>1.1528601276422235E-2</v>
      </c>
      <c r="Q34" s="328"/>
      <c r="R34" s="13"/>
      <c r="S34" s="323"/>
      <c r="T34" s="563" t="s">
        <v>112</v>
      </c>
      <c r="U34" s="332"/>
      <c r="V34" s="332"/>
      <c r="W34" s="332"/>
      <c r="X34" s="893">
        <f>X35+X39+X40+X41+X47</f>
        <v>177.15845897681163</v>
      </c>
      <c r="Y34" s="894">
        <f t="shared" ref="Y34:AK34" si="10">Y35+Y39+Y40+Y41+Y47</f>
        <v>185.4499035916418</v>
      </c>
      <c r="Z34" s="894">
        <f t="shared" si="10"/>
        <v>198.87294124122673</v>
      </c>
      <c r="AA34" s="894">
        <f t="shared" si="10"/>
        <v>212.06305475916582</v>
      </c>
      <c r="AB34" s="894">
        <f t="shared" si="10"/>
        <v>209.97102419601012</v>
      </c>
      <c r="AC34" s="894">
        <f t="shared" si="10"/>
        <v>195.68470354181076</v>
      </c>
      <c r="AD34" s="894">
        <f t="shared" si="10"/>
        <v>186.6252219126248</v>
      </c>
      <c r="AE34" s="894">
        <f t="shared" si="10"/>
        <v>178.60614124049613</v>
      </c>
      <c r="AF34" s="894">
        <f t="shared" si="10"/>
        <v>181.01666492349986</v>
      </c>
      <c r="AG34" s="894">
        <f t="shared" si="10"/>
        <v>180.7028568582337</v>
      </c>
      <c r="AH34" s="894">
        <f t="shared" si="10"/>
        <v>159.58336673330888</v>
      </c>
      <c r="AI34" s="894">
        <f t="shared" si="10"/>
        <v>151.64174151352691</v>
      </c>
      <c r="AJ34" s="894">
        <f t="shared" si="10"/>
        <v>166.68797280306839</v>
      </c>
      <c r="AK34" s="895">
        <f t="shared" si="10"/>
        <v>170.97535598519633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64.541536802736346</v>
      </c>
      <c r="P35" s="453">
        <f t="shared" si="9"/>
        <v>0.30738306416263489</v>
      </c>
      <c r="Q35" s="328"/>
      <c r="R35" s="13"/>
      <c r="S35" s="323"/>
      <c r="T35" s="334"/>
      <c r="U35" s="246" t="s">
        <v>114</v>
      </c>
      <c r="V35" s="344"/>
      <c r="W35" s="344"/>
      <c r="X35" s="896">
        <f>SUM(X36:X38)</f>
        <v>35.93556209115485</v>
      </c>
      <c r="Y35" s="897">
        <f t="shared" ref="Y35:AK35" si="11">SUM(Y36:Y38)</f>
        <v>41.887351245454369</v>
      </c>
      <c r="Z35" s="897">
        <f t="shared" si="11"/>
        <v>43.077193967298712</v>
      </c>
      <c r="AA35" s="897">
        <f t="shared" si="11"/>
        <v>50.277885831554109</v>
      </c>
      <c r="AB35" s="897">
        <f t="shared" si="11"/>
        <v>50.400596500090721</v>
      </c>
      <c r="AC35" s="897">
        <f t="shared" si="11"/>
        <v>48.27552820874218</v>
      </c>
      <c r="AD35" s="897">
        <f t="shared" si="11"/>
        <v>42.345885316387964</v>
      </c>
      <c r="AE35" s="897">
        <f t="shared" si="11"/>
        <v>44.476345126969157</v>
      </c>
      <c r="AF35" s="897">
        <f t="shared" si="11"/>
        <v>43.554774436570547</v>
      </c>
      <c r="AG35" s="897">
        <f t="shared" si="11"/>
        <v>49.36117836618611</v>
      </c>
      <c r="AH35" s="897">
        <f t="shared" si="11"/>
        <v>33.414093566558122</v>
      </c>
      <c r="AI35" s="897">
        <f t="shared" si="11"/>
        <v>27.900427069234549</v>
      </c>
      <c r="AJ35" s="897">
        <f t="shared" si="11"/>
        <v>37.327251825714967</v>
      </c>
      <c r="AK35" s="898">
        <f t="shared" si="11"/>
        <v>40.786623501195933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38.326764515614833</v>
      </c>
      <c r="P36" s="453">
        <f t="shared" si="9"/>
        <v>0.18253358844331016</v>
      </c>
      <c r="Q36" s="328"/>
      <c r="R36" s="13"/>
      <c r="S36" s="356" t="s">
        <v>184</v>
      </c>
      <c r="T36" s="335"/>
      <c r="U36" s="346"/>
      <c r="V36" s="336" t="s">
        <v>184</v>
      </c>
      <c r="W36" s="357"/>
      <c r="X36" s="899">
        <f>VLOOKUP(年度マスタ!$K$4&amp;"_"&amp;X$33,データシート1!$A:$BT,MATCH("aa_"&amp;$S36,データシート1!$A$1:$BT$1,0),0)</f>
        <v>30.97775551963079</v>
      </c>
      <c r="Y36" s="900">
        <f>VLOOKUP(年度マスタ!$K$4&amp;"_"&amp;Y$33,データシート1!$A:$BT,MATCH("aa_"&amp;$S36,データシート1!$A$1:$BT$1,0),0)</f>
        <v>37.010389207616711</v>
      </c>
      <c r="Z36" s="900">
        <f>VLOOKUP(年度マスタ!$K$4&amp;"_"&amp;Z$33,データシート1!$A:$BT,MATCH("aa_"&amp;$S36,データシート1!$A$1:$BT$1,0),0)</f>
        <v>37.749592161636308</v>
      </c>
      <c r="AA36" s="900">
        <f>VLOOKUP(年度マスタ!$K$4&amp;"_"&amp;AA$33,データシート1!$A:$BT,MATCH("aa_"&amp;$S36,データシート1!$A$1:$BT$1,0),0)</f>
        <v>45.093632614123401</v>
      </c>
      <c r="AB36" s="900">
        <f>VLOOKUP(年度マスタ!$K$4&amp;"_"&amp;AB$33,データシート1!$A:$BT,MATCH("aa_"&amp;$S36,データシート1!$A$1:$BT$1,0),0)</f>
        <v>45.79121076064289</v>
      </c>
      <c r="AC36" s="900">
        <f>VLOOKUP(年度マスタ!$K$4&amp;"_"&amp;AC$33,データシート1!$A:$BT,MATCH("aa_"&amp;$S36,データシート1!$A$1:$BT$1,0),0)</f>
        <v>44.475151689101232</v>
      </c>
      <c r="AD36" s="900">
        <f>VLOOKUP(年度マスタ!$K$4&amp;"_"&amp;AD$33,データシート1!$A:$BT,MATCH("aa_"&amp;$S36,データシート1!$A$1:$BT$1,0),0)</f>
        <v>38.671800708936978</v>
      </c>
      <c r="AE36" s="900">
        <f>VLOOKUP(年度マスタ!$K$4&amp;"_"&amp;AE$33,データシート1!$A:$BT,MATCH("aa_"&amp;$S36,データシート1!$A$1:$BT$1,0),0)</f>
        <v>40.331398649048161</v>
      </c>
      <c r="AF36" s="900">
        <f>VLOOKUP(年度マスタ!$K$4&amp;"_"&amp;AF$33,データシート1!$A:$BT,MATCH("aa_"&amp;$S36,データシート1!$A$1:$BT$1,0),0)</f>
        <v>39.553235626124128</v>
      </c>
      <c r="AG36" s="900">
        <f>VLOOKUP(年度マスタ!$K$4&amp;"_"&amp;AG$33,データシート1!$A:$BT,MATCH("aa_"&amp;$S36,データシート1!$A$1:$BT$1,0),0)</f>
        <v>45.680522656983101</v>
      </c>
      <c r="AH36" s="900">
        <f>VLOOKUP(年度マスタ!$K$4&amp;"_"&amp;AH$33,データシート1!$A:$BT,MATCH("aa_"&amp;$S36,データシート1!$A$1:$BT$1,0),0)</f>
        <v>29.905923568362333</v>
      </c>
      <c r="AI36" s="900">
        <f>VLOOKUP(年度マスタ!$K$4&amp;"_"&amp;AI$33,データシート1!$A:$BT,MATCH("aa_"&amp;$S36,データシート1!$A$1:$BT$1,0),0)</f>
        <v>24.9192115756242</v>
      </c>
      <c r="AJ36" s="900">
        <f>VLOOKUP(年度マスタ!$K$4&amp;"_"&amp;AJ$33,データシート1!$A:$BT,MATCH("aa_"&amp;$S36,データシート1!$A$1:$BT$1,0),0)</f>
        <v>34.351691751752647</v>
      </c>
      <c r="AK36" s="901">
        <f>VLOOKUP(年度マスタ!$K$4&amp;"_"&amp;AK$33,データシート1!$A:$BT,MATCH("aa_"&amp;$S36,データシート1!$A$1:$BT$1,0),0)</f>
        <v>38.08561768558981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56.70212637756822</v>
      </c>
      <c r="P37" s="453">
        <f t="shared" si="9"/>
        <v>0.27004738675102236</v>
      </c>
      <c r="Q37" s="328"/>
      <c r="R37" s="13"/>
      <c r="S37" s="356" t="s">
        <v>187</v>
      </c>
      <c r="T37" s="335"/>
      <c r="U37" s="346"/>
      <c r="V37" s="336" t="s">
        <v>194</v>
      </c>
      <c r="W37" s="357"/>
      <c r="X37" s="899">
        <f>VLOOKUP(年度マスタ!$K$4&amp;"_"&amp;X$33,データシート1!$A:$BT,MATCH("aa_"&amp;$S37,データシート1!$A$1:$BT$1,0),0)</f>
        <v>1.927045185789193</v>
      </c>
      <c r="Y37" s="900">
        <f>VLOOKUP(年度マスタ!$K$4&amp;"_"&amp;Y$33,データシート1!$A:$BT,MATCH("aa_"&amp;$S37,データシート1!$A$1:$BT$1,0),0)</f>
        <v>2.0221210203860731</v>
      </c>
      <c r="Z37" s="900">
        <f>VLOOKUP(年度マスタ!$K$4&amp;"_"&amp;Z$33,データシート1!$A:$BT,MATCH("aa_"&amp;$S37,データシート1!$A$1:$BT$1,0),0)</f>
        <v>2.3346822022407459</v>
      </c>
      <c r="AA37" s="900">
        <f>VLOOKUP(年度マスタ!$K$4&amp;"_"&amp;AA$33,データシート1!$A:$BT,MATCH("aa_"&amp;$S37,データシート1!$A$1:$BT$1,0),0)</f>
        <v>2.2352007548373289</v>
      </c>
      <c r="AB37" s="900">
        <f>VLOOKUP(年度マスタ!$K$4&amp;"_"&amp;AB$33,データシート1!$A:$BT,MATCH("aa_"&amp;$S37,データシート1!$A$1:$BT$1,0),0)</f>
        <v>2.18871352189002</v>
      </c>
      <c r="AC37" s="900">
        <f>VLOOKUP(年度マスタ!$K$4&amp;"_"&amp;AC$33,データシート1!$A:$BT,MATCH("aa_"&amp;$S37,データシート1!$A$1:$BT$1,0),0)</f>
        <v>1.968380320781296</v>
      </c>
      <c r="AD37" s="900">
        <f>VLOOKUP(年度マスタ!$K$4&amp;"_"&amp;AD$33,データシート1!$A:$BT,MATCH("aa_"&amp;$S37,データシート1!$A$1:$BT$1,0),0)</f>
        <v>1.825710047670164</v>
      </c>
      <c r="AE37" s="900">
        <f>VLOOKUP(年度マスタ!$K$4&amp;"_"&amp;AE$33,データシート1!$A:$BT,MATCH("aa_"&amp;$S37,データシート1!$A$1:$BT$1,0),0)</f>
        <v>1.9969209598591777</v>
      </c>
      <c r="AF37" s="900">
        <f>VLOOKUP(年度マスタ!$K$4&amp;"_"&amp;AF$33,データシート1!$A:$BT,MATCH("aa_"&amp;$S37,データシート1!$A$1:$BT$1,0),0)</f>
        <v>1.999021918898801</v>
      </c>
      <c r="AG37" s="900">
        <f>VLOOKUP(年度マスタ!$K$4&amp;"_"&amp;AG$33,データシート1!$A:$BT,MATCH("aa_"&amp;$S37,データシート1!$A$1:$BT$1,0),0)</f>
        <v>1.9086108246648152</v>
      </c>
      <c r="AH37" s="900">
        <f>VLOOKUP(年度マスタ!$K$4&amp;"_"&amp;AH$33,データシート1!$A:$BT,MATCH("aa_"&amp;$S37,データシート1!$A$1:$BT$1,0),0)</f>
        <v>1.7219235676692508</v>
      </c>
      <c r="AI37" s="900">
        <f>VLOOKUP(年度マスタ!$K$4&amp;"_"&amp;AI$33,データシート1!$A:$BT,MATCH("aa_"&amp;$S37,データシート1!$A$1:$BT$1,0),0)</f>
        <v>1.948897518782061</v>
      </c>
      <c r="AJ37" s="900">
        <f>VLOOKUP(年度マスタ!$K$4&amp;"_"&amp;AJ$33,データシート1!$A:$BT,MATCH("aa_"&amp;$S37,データシート1!$A$1:$BT$1,0),0)</f>
        <v>2.0389805593383263</v>
      </c>
      <c r="AK37" s="901">
        <f>VLOOKUP(年度マスタ!$K$4&amp;"_"&amp;AK$33,データシート1!$A:$BT,MATCH("aa_"&amp;$S37,データシート1!$A$1:$BT$1,0),0)</f>
        <v>1.9385826355954605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54.662200473221134</v>
      </c>
      <c r="P38" s="454">
        <f t="shared" si="9"/>
        <v>0.26033211335957196</v>
      </c>
      <c r="Q38" s="328"/>
      <c r="R38" s="13"/>
      <c r="S38" s="356" t="s">
        <v>188</v>
      </c>
      <c r="T38" s="335"/>
      <c r="U38" s="348"/>
      <c r="V38" s="358" t="s">
        <v>197</v>
      </c>
      <c r="W38" s="358"/>
      <c r="X38" s="899">
        <f>VLOOKUP(年度マスタ!$K$4&amp;"_"&amp;X$33,データシート1!$A:$BT,MATCH("aa_"&amp;$S38,データシート1!$A$1:$BT$1,0),0)</f>
        <v>3.030761385734869</v>
      </c>
      <c r="Y38" s="900">
        <f>VLOOKUP(年度マスタ!$K$4&amp;"_"&amp;Y$33,データシート1!$A:$BT,MATCH("aa_"&amp;$S38,データシート1!$A$1:$BT$1,0),0)</f>
        <v>2.8548410174515841</v>
      </c>
      <c r="Z38" s="900">
        <f>VLOOKUP(年度マスタ!$K$4&amp;"_"&amp;Z$33,データシート1!$A:$BT,MATCH("aa_"&amp;$S38,データシート1!$A$1:$BT$1,0),0)</f>
        <v>2.992919603421655</v>
      </c>
      <c r="AA38" s="900">
        <f>VLOOKUP(年度マスタ!$K$4&amp;"_"&amp;AA$33,データシート1!$A:$BT,MATCH("aa_"&amp;$S38,データシート1!$A$1:$BT$1,0),0)</f>
        <v>2.9490524625933761</v>
      </c>
      <c r="AB38" s="900">
        <f>VLOOKUP(年度マスタ!$K$4&amp;"_"&amp;AB$33,データシート1!$A:$BT,MATCH("aa_"&amp;$S38,データシート1!$A$1:$BT$1,0),0)</f>
        <v>2.4206722175578061</v>
      </c>
      <c r="AC38" s="900">
        <f>VLOOKUP(年度マスタ!$K$4&amp;"_"&amp;AC$33,データシート1!$A:$BT,MATCH("aa_"&amp;$S38,データシート1!$A$1:$BT$1,0),0)</f>
        <v>1.831996198859654</v>
      </c>
      <c r="AD38" s="900">
        <f>VLOOKUP(年度マスタ!$K$4&amp;"_"&amp;AD$33,データシート1!$A:$BT,MATCH("aa_"&amp;$S38,データシート1!$A$1:$BT$1,0),0)</f>
        <v>1.848374559780819</v>
      </c>
      <c r="AE38" s="900">
        <f>VLOOKUP(年度マスタ!$K$4&amp;"_"&amp;AE$33,データシート1!$A:$BT,MATCH("aa_"&amp;$S38,データシート1!$A$1:$BT$1,0),0)</f>
        <v>2.148025518061822</v>
      </c>
      <c r="AF38" s="900">
        <f>VLOOKUP(年度マスタ!$K$4&amp;"_"&amp;AF$33,データシート1!$A:$BT,MATCH("aa_"&amp;$S38,データシート1!$A$1:$BT$1,0),0)</f>
        <v>2.0025168915476224</v>
      </c>
      <c r="AG38" s="900">
        <f>VLOOKUP(年度マスタ!$K$4&amp;"_"&amp;AG$33,データシート1!$A:$BT,MATCH("aa_"&amp;$S38,データシート1!$A$1:$BT$1,0),0)</f>
        <v>1.7720448845381989</v>
      </c>
      <c r="AH38" s="900">
        <f>VLOOKUP(年度マスタ!$K$4&amp;"_"&amp;AH$33,データシート1!$A:$BT,MATCH("aa_"&amp;$S38,データシート1!$A$1:$BT$1,0),0)</f>
        <v>1.7862464305265391</v>
      </c>
      <c r="AI38" s="900">
        <f>VLOOKUP(年度マスタ!$K$4&amp;"_"&amp;AI$33,データシート1!$A:$BT,MATCH("aa_"&amp;$S38,データシート1!$A$1:$BT$1,0),0)</f>
        <v>1.0323179748282885</v>
      </c>
      <c r="AJ38" s="900">
        <f>VLOOKUP(年度マスタ!$K$4&amp;"_"&amp;AJ$33,データシート1!$A:$BT,MATCH("aa_"&amp;$S38,データシート1!$A$1:$BT$1,0),0)</f>
        <v>0.9365795146239948</v>
      </c>
      <c r="AK38" s="901">
        <f>VLOOKUP(年度マスタ!$K$4&amp;"_"&amp;AK$33,データシート1!$A:$BT,MATCH("aa_"&amp;$S38,データシート1!$A$1:$BT$1,0),0)</f>
        <v>0.76242318001066611</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32.367891298763979</v>
      </c>
      <c r="P39" s="454">
        <f t="shared" si="9"/>
        <v>0.15415408589210014</v>
      </c>
      <c r="Q39" s="328"/>
      <c r="R39" s="13"/>
      <c r="S39" s="356" t="s">
        <v>189</v>
      </c>
      <c r="T39" s="335"/>
      <c r="U39" s="343" t="s">
        <v>199</v>
      </c>
      <c r="V39" s="344"/>
      <c r="W39" s="344"/>
      <c r="X39" s="896">
        <f>VLOOKUP(年度マスタ!$K$4&amp;"_"&amp;X$33,データシート1!$A:$BT,MATCH("aa_"&amp;$S39,データシート1!$A$1:$BT$1,0),0)</f>
        <v>53.825823746188988</v>
      </c>
      <c r="Y39" s="897">
        <f>VLOOKUP(年度マスタ!$K$4&amp;"_"&amp;Y$33,データシート1!$A:$BT,MATCH("aa_"&amp;$S39,データシート1!$A$1:$BT$1,0),0)</f>
        <v>55.735769332073062</v>
      </c>
      <c r="Z39" s="897">
        <f>VLOOKUP(年度マスタ!$K$4&amp;"_"&amp;Z$33,データシート1!$A:$BT,MATCH("aa_"&amp;$S39,データシート1!$A$1:$BT$1,0),0)</f>
        <v>63.435015642876969</v>
      </c>
      <c r="AA39" s="897">
        <f>VLOOKUP(年度マスタ!$K$4&amp;"_"&amp;AA$33,データシート1!$A:$BT,MATCH("aa_"&amp;$S39,データシート1!$A$1:$BT$1,0),0)</f>
        <v>62.417071582730337</v>
      </c>
      <c r="AB39" s="897">
        <f>VLOOKUP(年度マスタ!$K$4&amp;"_"&amp;AB$33,データシート1!$A:$BT,MATCH("aa_"&amp;$S39,データシート1!$A$1:$BT$1,0),0)</f>
        <v>64.541536802736346</v>
      </c>
      <c r="AC39" s="897">
        <f>VLOOKUP(年度マスタ!$K$4&amp;"_"&amp;AC$33,データシート1!$A:$BT,MATCH("aa_"&amp;$S39,データシート1!$A$1:$BT$1,0),0)</f>
        <v>58.498777622517252</v>
      </c>
      <c r="AD39" s="897">
        <f>VLOOKUP(年度マスタ!$K$4&amp;"_"&amp;AD$33,データシート1!$A:$BT,MATCH("aa_"&amp;$S39,データシート1!$A$1:$BT$1,0),0)</f>
        <v>52.588947271957927</v>
      </c>
      <c r="AE39" s="897">
        <f>VLOOKUP(年度マスタ!$K$4&amp;"_"&amp;AE$33,データシート1!$A:$BT,MATCH("aa_"&amp;$S39,データシート1!$A$1:$BT$1,0),0)</f>
        <v>44.66342156203163</v>
      </c>
      <c r="AF39" s="897">
        <f>VLOOKUP(年度マスタ!$K$4&amp;"_"&amp;AF$33,データシート1!$A:$BT,MATCH("aa_"&amp;$S39,データシート1!$A$1:$BT$1,0),0)</f>
        <v>45.141720429978228</v>
      </c>
      <c r="AG39" s="897">
        <f>VLOOKUP(年度マスタ!$K$4&amp;"_"&amp;AG$33,データシート1!$A:$BT,MATCH("aa_"&amp;$S39,データシート1!$A$1:$BT$1,0),0)</f>
        <v>41.959297118173843</v>
      </c>
      <c r="AH39" s="897">
        <f>VLOOKUP(年度マスタ!$K$4&amp;"_"&amp;AH$33,データシート1!$A:$BT,MATCH("aa_"&amp;$S39,データシート1!$A$1:$BT$1,0),0)</f>
        <v>40.782898645655848</v>
      </c>
      <c r="AI39" s="897">
        <f>VLOOKUP(年度マスタ!$K$4&amp;"_"&amp;AI$33,データシート1!$A:$BT,MATCH("aa_"&amp;$S39,データシート1!$A$1:$BT$1,0),0)</f>
        <v>42.942413679470754</v>
      </c>
      <c r="AJ39" s="897">
        <f>VLOOKUP(年度マスタ!$K$4&amp;"_"&amp;AJ$33,データシート1!$A:$BT,MATCH("aa_"&amp;$S39,データシート1!$A$1:$BT$1,0),0)</f>
        <v>48.08575043629417</v>
      </c>
      <c r="AK39" s="898">
        <f>VLOOKUP(年度マスタ!$K$4&amp;"_"&amp;AK$33,データシート1!$A:$BT,MATCH("aa_"&amp;$S39,データシート1!$A$1:$BT$1,0),0)</f>
        <v>43.787605213986843</v>
      </c>
      <c r="AL39" s="330"/>
      <c r="AW39" s="17" t="str">
        <f>年度マスタ!K4</f>
        <v>19430</v>
      </c>
      <c r="AX39" s="17" t="s">
        <v>200</v>
      </c>
      <c r="AY39" s="17">
        <f>VLOOKUP($AW39&amp;"_"&amp;$AY$34,データシート1!$A:$BT,MATCH($AY$31&amp;"_"&amp;AY$36,データシート1!$A$1:$BT$1,0),0)</f>
        <v>38.08561768558981</v>
      </c>
      <c r="AZ39" s="17">
        <f>VLOOKUP($AW39&amp;"_"&amp;$AY$34,データシート1!$A:$BT,MATCH($AY$31&amp;"_"&amp;AZ$36,データシート1!$A$1:$BT$1,0),0)</f>
        <v>1.9385826355954605</v>
      </c>
      <c r="BA39" s="17">
        <f>VLOOKUP($AW39&amp;"_"&amp;$AY$34,データシート1!$A:$BT,MATCH($AY$31&amp;"_"&amp;BA$36,データシート1!$A$1:$BT$1,0),0)</f>
        <v>0.76242318001066611</v>
      </c>
      <c r="BB39" s="17">
        <f>VLOOKUP($AW39&amp;"_"&amp;$AY$34,データシート1!$A:$BT,MATCH($AY$31&amp;"_"&amp;BB$36,データシート1!$A$1:$BT$1,0),0)</f>
        <v>43.787605213986843</v>
      </c>
      <c r="BC39" s="17">
        <f>VLOOKUP($AW39&amp;"_"&amp;$AY$34,データシート1!$A:$BT,MATCH($AY$31&amp;"_"&amp;BC$36,データシート1!$A$1:$BT$1,0),0)</f>
        <v>34.710539819971515</v>
      </c>
      <c r="BD39" s="17">
        <f>VLOOKUP($AW39&amp;"_"&amp;$AY$34,データシート1!$A:$BT,MATCH($AY$31&amp;"_"&amp;BD$36,データシート1!$A$1:$BT$1,0),0)</f>
        <v>28.338337840588764</v>
      </c>
      <c r="BE39" s="17">
        <f>VLOOKUP($AW39&amp;"_"&amp;$AY$34,データシート1!$A:$BT,MATCH($AY$31&amp;"_"&amp;BE$36,データシート1!$A$1:$BT$1,0),0)</f>
        <v>21.776598274751162</v>
      </c>
      <c r="BF39" s="17">
        <f>VLOOKUP($AW39&amp;"_"&amp;$AY$34,データシート1!$A:$BT,MATCH($AY$31&amp;"_"&amp;BF$36,データシート1!$A$1:$BT$1,0),0)</f>
        <v>1.5756513347021104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22.294309174457158</v>
      </c>
      <c r="P40" s="454">
        <f t="shared" si="9"/>
        <v>0.10617802746747185</v>
      </c>
      <c r="Q40" s="328"/>
      <c r="R40" s="13"/>
      <c r="S40" s="356" t="s">
        <v>165</v>
      </c>
      <c r="T40" s="335"/>
      <c r="U40" s="343" t="s">
        <v>165</v>
      </c>
      <c r="V40" s="344"/>
      <c r="W40" s="344"/>
      <c r="X40" s="896">
        <f>VLOOKUP(年度マスタ!$K$4&amp;"_"&amp;X$33,データシート1!$A:$BT,MATCH("aa_"&amp;$S40,データシート1!$A$1:$BT$1,0),0)</f>
        <v>30.498739233850468</v>
      </c>
      <c r="Y40" s="897">
        <f>VLOOKUP(年度マスタ!$K$4&amp;"_"&amp;Y$33,データシート1!$A:$BT,MATCH("aa_"&amp;$S40,データシート1!$A$1:$BT$1,0),0)</f>
        <v>30.203131030428441</v>
      </c>
      <c r="Z40" s="897">
        <f>VLOOKUP(年度マスタ!$K$4&amp;"_"&amp;Z$33,データシート1!$A:$BT,MATCH("aa_"&amp;$S40,データシート1!$A$1:$BT$1,0),0)</f>
        <v>35.531777589021701</v>
      </c>
      <c r="AA40" s="897">
        <f>VLOOKUP(年度マスタ!$K$4&amp;"_"&amp;AA$33,データシート1!$A:$BT,MATCH("aa_"&amp;$S40,データシート1!$A$1:$BT$1,0),0)</f>
        <v>41.509218725869033</v>
      </c>
      <c r="AB40" s="897">
        <f>VLOOKUP(年度マスタ!$K$4&amp;"_"&amp;AB$33,データシート1!$A:$BT,MATCH("aa_"&amp;$S40,データシート1!$A$1:$BT$1,0),0)</f>
        <v>38.326764515614833</v>
      </c>
      <c r="AC40" s="897">
        <f>VLOOKUP(年度マスタ!$K$4&amp;"_"&amp;AC$33,データシート1!$A:$BT,MATCH("aa_"&amp;$S40,データシート1!$A$1:$BT$1,0),0)</f>
        <v>33.17555767355821</v>
      </c>
      <c r="AD40" s="897">
        <f>VLOOKUP(年度マスタ!$K$4&amp;"_"&amp;AD$33,データシート1!$A:$BT,MATCH("aa_"&amp;$S40,データシート1!$A$1:$BT$1,0),0)</f>
        <v>35.541464111971891</v>
      </c>
      <c r="AE40" s="897">
        <f>VLOOKUP(年度マスタ!$K$4&amp;"_"&amp;AE$33,データシート1!$A:$BT,MATCH("aa_"&amp;$S40,データシート1!$A$1:$BT$1,0),0)</f>
        <v>33.540623832748267</v>
      </c>
      <c r="AF40" s="897">
        <f>VLOOKUP(年度マスタ!$K$4&amp;"_"&amp;AF$33,データシート1!$A:$BT,MATCH("aa_"&amp;$S40,データシート1!$A$1:$BT$1,0),0)</f>
        <v>36.775676986132993</v>
      </c>
      <c r="AG40" s="897">
        <f>VLOOKUP(年度マスタ!$K$4&amp;"_"&amp;AG$33,データシート1!$A:$BT,MATCH("aa_"&amp;$S40,データシート1!$A$1:$BT$1,0),0)</f>
        <v>34.47526591401509</v>
      </c>
      <c r="AH40" s="897">
        <f>VLOOKUP(年度マスタ!$K$4&amp;"_"&amp;AH$33,データシート1!$A:$BT,MATCH("aa_"&amp;$S40,データシート1!$A$1:$BT$1,0),0)</f>
        <v>31.077771426095612</v>
      </c>
      <c r="AI40" s="897">
        <f>VLOOKUP(年度マスタ!$K$4&amp;"_"&amp;AI$33,データシート1!$A:$BT,MATCH("aa_"&amp;$S40,データシート1!$A$1:$BT$1,0),0)</f>
        <v>31.149603415648009</v>
      </c>
      <c r="AJ40" s="897">
        <f>VLOOKUP(年度マスタ!$K$4&amp;"_"&amp;AJ$33,データシート1!$A:$BT,MATCH("aa_"&amp;$S40,データシート1!$A$1:$BT$1,0),0)</f>
        <v>31.368287960094221</v>
      </c>
      <c r="AK40" s="898">
        <f>VLOOKUP(年度マスタ!$K$4&amp;"_"&amp;AK$33,データシート1!$A:$BT,MATCH("aa_"&amp;$S40,データシート1!$A$1:$BT$1,0),0)</f>
        <v>34.710539819971515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2.0399259043470899</v>
      </c>
      <c r="P41" s="454">
        <f t="shared" si="9"/>
        <v>9.7152733914504224E-3</v>
      </c>
      <c r="Q41" s="328"/>
      <c r="R41" s="13"/>
      <c r="S41" s="356" t="s">
        <v>201</v>
      </c>
      <c r="T41" s="335"/>
      <c r="U41" s="246" t="s">
        <v>128</v>
      </c>
      <c r="V41" s="344"/>
      <c r="W41" s="344"/>
      <c r="X41" s="896">
        <f>X42+X45+X46</f>
        <v>56.898333905617335</v>
      </c>
      <c r="Y41" s="897">
        <f t="shared" ref="Y41:AH41" si="12">Y42+Y45+Y46</f>
        <v>57.623651983685932</v>
      </c>
      <c r="Z41" s="897">
        <f t="shared" si="12"/>
        <v>56.828954042029359</v>
      </c>
      <c r="AA41" s="897">
        <f t="shared" si="12"/>
        <v>57.85887861901233</v>
      </c>
      <c r="AB41" s="897">
        <f t="shared" si="12"/>
        <v>56.70212637756822</v>
      </c>
      <c r="AC41" s="897">
        <f t="shared" si="12"/>
        <v>55.734840036993113</v>
      </c>
      <c r="AD41" s="897">
        <f t="shared" si="12"/>
        <v>56.148925212307006</v>
      </c>
      <c r="AE41" s="897">
        <f t="shared" si="12"/>
        <v>55.925750718747054</v>
      </c>
      <c r="AF41" s="897">
        <f t="shared" si="12"/>
        <v>55.544493070818099</v>
      </c>
      <c r="AG41" s="897">
        <f t="shared" si="12"/>
        <v>54.907115459858659</v>
      </c>
      <c r="AH41" s="897">
        <f t="shared" si="12"/>
        <v>54.308603094999306</v>
      </c>
      <c r="AI41" s="897">
        <f>AI42+AI45+AI46</f>
        <v>49.649297349173594</v>
      </c>
      <c r="AJ41" s="897">
        <f>AJ42+AJ45+AJ46</f>
        <v>49.906682580965033</v>
      </c>
      <c r="AK41" s="898">
        <f>AK42+AK45+AK46</f>
        <v>51.690587450042038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55.388607216256617</v>
      </c>
      <c r="Y42" s="900">
        <f t="shared" ref="Y42:AK42" si="13">SUM(Y43:Y44)</f>
        <v>56.041230472796911</v>
      </c>
      <c r="Z42" s="900">
        <f t="shared" si="13"/>
        <v>54.996701657577987</v>
      </c>
      <c r="AA42" s="900">
        <f t="shared" si="13"/>
        <v>55.853152872627071</v>
      </c>
      <c r="AB42" s="900">
        <f t="shared" si="13"/>
        <v>54.662200473221134</v>
      </c>
      <c r="AC42" s="900">
        <f t="shared" si="13"/>
        <v>53.767855937972513</v>
      </c>
      <c r="AD42" s="900">
        <f t="shared" si="13"/>
        <v>54.221267581319125</v>
      </c>
      <c r="AE42" s="900">
        <f t="shared" si="13"/>
        <v>54.050117219155624</v>
      </c>
      <c r="AF42" s="900">
        <f t="shared" si="13"/>
        <v>53.733240928490829</v>
      </c>
      <c r="AG42" s="900">
        <f t="shared" si="13"/>
        <v>53.229234657784652</v>
      </c>
      <c r="AH42" s="900">
        <f t="shared" si="13"/>
        <v>52.662544698883337</v>
      </c>
      <c r="AI42" s="900">
        <f t="shared" si="13"/>
        <v>48.074220584294856</v>
      </c>
      <c r="AJ42" s="900">
        <f t="shared" si="13"/>
        <v>48.346812619735132</v>
      </c>
      <c r="AK42" s="901">
        <f t="shared" si="13"/>
        <v>50.11493611533993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32.392104554679541</v>
      </c>
      <c r="Y43" s="900">
        <f>VLOOKUP(年度マスタ!$K$4&amp;"_"&amp;Y$33,データシート1!$A:$BT,MATCH("aa_"&amp;$S43,データシート1!$A$1:$BT$1,0),0)</f>
        <v>32.707948282118409</v>
      </c>
      <c r="Z43" s="900">
        <f>VLOOKUP(年度マスタ!$K$4&amp;"_"&amp;Z$33,データシート1!$A:$BT,MATCH("aa_"&amp;$S43,データシート1!$A$1:$BT$1,0),0)</f>
        <v>32.70142531814858</v>
      </c>
      <c r="AA43" s="900">
        <f>VLOOKUP(年度マスタ!$K$4&amp;"_"&amp;AA$33,データシート1!$A:$BT,MATCH("aa_"&amp;$S43,データシート1!$A$1:$BT$1,0),0)</f>
        <v>33.276752490422169</v>
      </c>
      <c r="AB43" s="900">
        <f>VLOOKUP(年度マスタ!$K$4&amp;"_"&amp;AB$33,データシート1!$A:$BT,MATCH("aa_"&amp;$S43,データシート1!$A$1:$BT$1,0),0)</f>
        <v>32.367891298763979</v>
      </c>
      <c r="AC43" s="900">
        <f>VLOOKUP(年度マスタ!$K$4&amp;"_"&amp;AC$33,データシート1!$A:$BT,MATCH("aa_"&amp;$S43,データシート1!$A$1:$BT$1,0),0)</f>
        <v>31.262259097301712</v>
      </c>
      <c r="AD43" s="900">
        <f>VLOOKUP(年度マスタ!$K$4&amp;"_"&amp;AD$33,データシート1!$A:$BT,MATCH("aa_"&amp;$S43,データシート1!$A$1:$BT$1,0),0)</f>
        <v>31.587333487559349</v>
      </c>
      <c r="AE43" s="900">
        <f>VLOOKUP(年度マスタ!$K$4&amp;"_"&amp;AE$33,データシート1!$A:$BT,MATCH("aa_"&amp;$S43,データシート1!$A$1:$BT$1,0),0)</f>
        <v>31.69513760054226</v>
      </c>
      <c r="AF43" s="900">
        <f>VLOOKUP(年度マスタ!$K$4&amp;"_"&amp;AF$33,データシート1!$A:$BT,MATCH("aa_"&amp;$S43,データシート1!$A$1:$BT$1,0),0)</f>
        <v>31.495732404758666</v>
      </c>
      <c r="AG43" s="900">
        <f>VLOOKUP(年度マスタ!$K$4&amp;"_"&amp;AG$33,データシート1!$A:$BT,MATCH("aa_"&amp;$S43,データシート1!$A$1:$BT$1,0),0)</f>
        <v>31.122265753924101</v>
      </c>
      <c r="AH43" s="900">
        <f>VLOOKUP(年度マスタ!$K$4&amp;"_"&amp;AH$33,データシート1!$A:$BT,MATCH("aa_"&amp;$S43,データシート1!$A$1:$BT$1,0),0)</f>
        <v>30.88008081342722</v>
      </c>
      <c r="AI43" s="900">
        <f>VLOOKUP(年度マスタ!$K$4&amp;"_"&amp;AI$33,データシート1!$A:$BT,MATCH("aa_"&amp;$S43,データシート1!$A$1:$BT$1,0),0)</f>
        <v>27.458354584324567</v>
      </c>
      <c r="AJ43" s="900">
        <f>VLOOKUP(年度マスタ!$K$4&amp;"_"&amp;AJ$33,データシート1!$A:$BT,MATCH("aa_"&amp;$S43,データシート1!$A$1:$BT$1,0),0)</f>
        <v>26.758663016771695</v>
      </c>
      <c r="AK43" s="901">
        <f>VLOOKUP(年度マスタ!$K$4&amp;"_"&amp;AK$33,データシート1!$A:$BT,MATCH("aa_"&amp;$S43,データシート1!$A$1:$BT$1,0),0)</f>
        <v>28.338337840588764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22.996502661577079</v>
      </c>
      <c r="Y44" s="900">
        <f>VLOOKUP(年度マスタ!$K$4&amp;"_"&amp;Y$33,データシート1!$A:$BT,MATCH("aa_"&amp;$S44,データシート1!$A$1:$BT$1,0),0)</f>
        <v>23.333282190678499</v>
      </c>
      <c r="Z44" s="900">
        <f>VLOOKUP(年度マスタ!$K$4&amp;"_"&amp;Z$33,データシート1!$A:$BT,MATCH("aa_"&amp;$S44,データシート1!$A$1:$BT$1,0),0)</f>
        <v>22.29527633942941</v>
      </c>
      <c r="AA44" s="900">
        <f>VLOOKUP(年度マスタ!$K$4&amp;"_"&amp;AA$33,データシート1!$A:$BT,MATCH("aa_"&amp;$S44,データシート1!$A$1:$BT$1,0),0)</f>
        <v>22.576400382204902</v>
      </c>
      <c r="AB44" s="900">
        <f>VLOOKUP(年度マスタ!$K$4&amp;"_"&amp;AB$33,データシート1!$A:$BT,MATCH("aa_"&amp;$S44,データシート1!$A$1:$BT$1,0),0)</f>
        <v>22.294309174457158</v>
      </c>
      <c r="AC44" s="900">
        <f>VLOOKUP(年度マスタ!$K$4&amp;"_"&amp;AC$33,データシート1!$A:$BT,MATCH("aa_"&amp;$S44,データシート1!$A$1:$BT$1,0),0)</f>
        <v>22.505596840670798</v>
      </c>
      <c r="AD44" s="900">
        <f>VLOOKUP(年度マスタ!$K$4&amp;"_"&amp;AD$33,データシート1!$A:$BT,MATCH("aa_"&amp;$S44,データシート1!$A$1:$BT$1,0),0)</f>
        <v>22.633934093759777</v>
      </c>
      <c r="AE44" s="900">
        <f>VLOOKUP(年度マスタ!$K$4&amp;"_"&amp;AE$33,データシート1!$A:$BT,MATCH("aa_"&amp;$S44,データシート1!$A$1:$BT$1,0),0)</f>
        <v>22.354979618613363</v>
      </c>
      <c r="AF44" s="900">
        <f>VLOOKUP(年度マスタ!$K$4&amp;"_"&amp;AF$33,データシート1!$A:$BT,MATCH("aa_"&amp;$S44,データシート1!$A$1:$BT$1,0),0)</f>
        <v>22.237508523732163</v>
      </c>
      <c r="AG44" s="900">
        <f>VLOOKUP(年度マスタ!$K$4&amp;"_"&amp;AG$33,データシート1!$A:$BT,MATCH("aa_"&amp;$S44,データシート1!$A$1:$BT$1,0),0)</f>
        <v>22.106968903860551</v>
      </c>
      <c r="AH44" s="900">
        <f>VLOOKUP(年度マスタ!$K$4&amp;"_"&amp;AH$33,データシート1!$A:$BT,MATCH("aa_"&amp;$S44,データシート1!$A$1:$BT$1,0),0)</f>
        <v>21.782463885456121</v>
      </c>
      <c r="AI44" s="900">
        <f>VLOOKUP(年度マスタ!$K$4&amp;"_"&amp;AI$33,データシート1!$A:$BT,MATCH("aa_"&amp;$S44,データシート1!$A$1:$BT$1,0),0)</f>
        <v>20.615865999970289</v>
      </c>
      <c r="AJ44" s="900">
        <f>VLOOKUP(年度マスタ!$K$4&amp;"_"&amp;AJ$33,データシート1!$A:$BT,MATCH("aa_"&amp;$S44,データシート1!$A$1:$BT$1,0),0)</f>
        <v>21.588149602963441</v>
      </c>
      <c r="AK44" s="901">
        <f>VLOOKUP(年度マスタ!$K$4&amp;"_"&amp;AK$33,データシート1!$A:$BT,MATCH("aa_"&amp;$S44,データシート1!$A$1:$BT$1,0),0)</f>
        <v>21.776598274751162</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1.50972668936072</v>
      </c>
      <c r="Y45" s="900">
        <f>VLOOKUP(年度マスタ!$K$4&amp;"_"&amp;Y$33,データシート1!$A:$BT,MATCH("aa_"&amp;$S45,データシート1!$A$1:$BT$1,0),0)</f>
        <v>1.5824215108890201</v>
      </c>
      <c r="Z45" s="900">
        <f>VLOOKUP(年度マスタ!$K$4&amp;"_"&amp;Z$33,データシート1!$A:$BT,MATCH("aa_"&amp;$S45,データシート1!$A$1:$BT$1,0),0)</f>
        <v>1.8322523844513701</v>
      </c>
      <c r="AA45" s="900">
        <f>VLOOKUP(年度マスタ!$K$4&amp;"_"&amp;AA$33,データシート1!$A:$BT,MATCH("aa_"&amp;$S45,データシート1!$A$1:$BT$1,0),0)</f>
        <v>2.0057257463852598</v>
      </c>
      <c r="AB45" s="900">
        <f>VLOOKUP(年度マスタ!$K$4&amp;"_"&amp;AB$33,データシート1!$A:$BT,MATCH("aa_"&amp;$S45,データシート1!$A$1:$BT$1,0),0)</f>
        <v>2.0399259043470899</v>
      </c>
      <c r="AC45" s="900">
        <f>VLOOKUP(年度マスタ!$K$4&amp;"_"&amp;AC$33,データシート1!$A:$BT,MATCH("aa_"&amp;$S45,データシート1!$A$1:$BT$1,0),0)</f>
        <v>1.9669840990206</v>
      </c>
      <c r="AD45" s="900">
        <f>VLOOKUP(年度マスタ!$K$4&amp;"_"&amp;AD$33,データシート1!$A:$BT,MATCH("aa_"&amp;$S45,データシート1!$A$1:$BT$1,0),0)</f>
        <v>1.9276576309878799</v>
      </c>
      <c r="AE45" s="900">
        <f>VLOOKUP(年度マスタ!$K$4&amp;"_"&amp;AE$33,データシート1!$A:$BT,MATCH("aa_"&amp;$S45,データシート1!$A$1:$BT$1,0),0)</f>
        <v>1.8756334995914328</v>
      </c>
      <c r="AF45" s="900">
        <f>VLOOKUP(年度マスタ!$K$4&amp;"_"&amp;AF$33,データシート1!$A:$BT,MATCH("aa_"&amp;$S45,データシート1!$A$1:$BT$1,0),0)</f>
        <v>1.8112521423272701</v>
      </c>
      <c r="AG45" s="900">
        <f>VLOOKUP(年度マスタ!$K$4&amp;"_"&amp;AG$33,データシート1!$A:$BT,MATCH("aa_"&amp;$S45,データシート1!$A$1:$BT$1,0),0)</f>
        <v>1.6778808020740099</v>
      </c>
      <c r="AH45" s="900">
        <f>VLOOKUP(年度マスタ!$K$4&amp;"_"&amp;AH$33,データシート1!$A:$BT,MATCH("aa_"&amp;$S45,データシート1!$A$1:$BT$1,0),0)</f>
        <v>1.64605839611597</v>
      </c>
      <c r="AI45" s="900">
        <f>VLOOKUP(年度マスタ!$K$4&amp;"_"&amp;AI$33,データシート1!$A:$BT,MATCH("aa_"&amp;$S45,データシート1!$A$1:$BT$1,0),0)</f>
        <v>1.57507676487874</v>
      </c>
      <c r="AJ45" s="900">
        <f>VLOOKUP(年度マスタ!$K$4&amp;"_"&amp;AJ$33,データシート1!$A:$BT,MATCH("aa_"&amp;$S45,データシート1!$A$1:$BT$1,0),0)</f>
        <v>1.5598699612299001</v>
      </c>
      <c r="AK45" s="901">
        <f>VLOOKUP(年度マスタ!$K$4&amp;"_"&amp;AK$33,データシート1!$A:$BT,MATCH("aa_"&amp;$S45,データシート1!$A$1:$BT$1,0),0)</f>
        <v>1.5756513347021104</v>
      </c>
      <c r="AL45" s="330"/>
      <c r="AW45" s="17" t="str">
        <f>AW48</f>
        <v>富士河口湖町</v>
      </c>
      <c r="AX45" s="1010">
        <f t="shared" ref="AX45:BB45" si="15">AX48/$BC48</f>
        <v>0.23855264559137626</v>
      </c>
      <c r="AY45" s="1010">
        <f t="shared" si="15"/>
        <v>0.25610477581212426</v>
      </c>
      <c r="AZ45" s="1010">
        <f t="shared" si="15"/>
        <v>0.20301487088570169</v>
      </c>
      <c r="BA45" s="1010">
        <f t="shared" si="15"/>
        <v>0.30232770771079781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富士河口湖町</v>
      </c>
      <c r="AX48" s="1011">
        <f>SUM(AY39:BA39)</f>
        <v>40.786623501195933</v>
      </c>
      <c r="AY48" s="1011">
        <f>BB39</f>
        <v>43.787605213986843</v>
      </c>
      <c r="AZ48" s="1011">
        <f>BC39</f>
        <v>34.710539819971515</v>
      </c>
      <c r="BA48" s="1011">
        <f>SUM(BD39:BG39)</f>
        <v>51.690587450042038</v>
      </c>
      <c r="BB48" s="1011">
        <f>BH39</f>
        <v>0</v>
      </c>
      <c r="BC48" s="1011">
        <f>SUM(AX48:BB48)</f>
        <v>170.97535598519633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170.97535598519633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40.786623501195933</v>
      </c>
      <c r="P52" s="453">
        <f t="shared" ref="P52:P64" si="18">O52/$O$51</f>
        <v>0.23855264559137626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38.08561768558981</v>
      </c>
      <c r="P53" s="454">
        <f t="shared" si="18"/>
        <v>0.2227550132364538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1.9385826355954605</v>
      </c>
      <c r="P54" s="454">
        <f t="shared" si="18"/>
        <v>1.1338374612089183E-2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0.76242318001066611</v>
      </c>
      <c r="P55" s="454">
        <f t="shared" si="18"/>
        <v>4.4592577428332978E-3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43.787605213986843</v>
      </c>
      <c r="P56" s="453">
        <f t="shared" si="18"/>
        <v>0.25610477581212426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34.710539819971515</v>
      </c>
      <c r="P57" s="453">
        <f t="shared" si="18"/>
        <v>0.20301487088570169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51.690587450042038</v>
      </c>
      <c r="P58" s="453">
        <f t="shared" si="18"/>
        <v>0.30232770771079781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50.11493611533993</v>
      </c>
      <c r="P59" s="454">
        <f t="shared" si="18"/>
        <v>0.29311204428595583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28.338337840588764</v>
      </c>
      <c r="P60" s="454">
        <f t="shared" si="18"/>
        <v>0.1657451606244493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21.776598274751162</v>
      </c>
      <c r="P61" s="454">
        <f t="shared" si="18"/>
        <v>0.1273668836615065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1.5756513347021104</v>
      </c>
      <c r="P62" s="454">
        <f t="shared" si="18"/>
        <v>9.2156634248419748E-3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富士河口湖町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513.71119999999996</v>
      </c>
      <c r="AI7" s="78">
        <f>VLOOKUP(年度マスタ!$K$4&amp;"_"&amp;$AG7,データシート1!$A:$BT,MATCH("ab_"&amp;AI$2,データシート1!$A$1:$BT$1,0),0)</f>
        <v>896</v>
      </c>
      <c r="AJ7" s="78">
        <f>VLOOKUP(年度マスタ!$K$4&amp;"_"&amp;$AG7,データシート1!$A:$BT,MATCH("ab_"&amp;AJ$2,データシート1!$A$1:$BT$1,0),0)</f>
        <v>88</v>
      </c>
      <c r="AK7" s="78">
        <f>VLOOKUP(年度マスタ!$K$4&amp;"_"&amp;$AG7,データシート1!$A:$BT,MATCH("ab_"&amp;AK$2,データシート1!$A$1:$BT$1,0),0)</f>
        <v>11392</v>
      </c>
      <c r="AL7" s="78">
        <f>VLOOKUP(年度マスタ!$K$4&amp;"_"&amp;$AG7,データシート1!$A:$BT,MATCH("ab_"&amp;AL$2,データシート1!$A$1:$BT$1,0),0)</f>
        <v>9054</v>
      </c>
      <c r="AM7" s="78">
        <f>VLOOKUP(年度マスタ!$K$4&amp;"_"&amp;$AG7,データシート1!$A:$BT,MATCH("ab_"&amp;AM$2,データシート1!$A$1:$BT$1,0),0)</f>
        <v>16375</v>
      </c>
      <c r="AN7" s="78">
        <f>VLOOKUP(年度マスタ!$K$4&amp;"_"&amp;$AG7,データシート1!$A:$BT,MATCH("ab_"&amp;AN$2,データシート1!$A$1:$BT$1,0),0)</f>
        <v>4628.5</v>
      </c>
      <c r="AO7" s="78">
        <f>VLOOKUP(年度マスタ!$K$4&amp;"_"&amp;$AG7,データシート1!$A:$BT,MATCH("ab_"&amp;AO$2,データシート1!$A$1:$BT$1,0),0)</f>
        <v>25897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725.59299999999996</v>
      </c>
      <c r="AI8" s="78">
        <f>VLOOKUP(年度マスタ!$K$4&amp;"_"&amp;$AG8,データシート1!$A:$BT,MATCH("ab_"&amp;AI$2,データシート1!$A$1:$BT$1,0),0)</f>
        <v>896</v>
      </c>
      <c r="AJ8" s="78">
        <f>VLOOKUP(年度マスタ!$K$4&amp;"_"&amp;$AG8,データシート1!$A:$BT,MATCH("ab_"&amp;AJ$2,データシート1!$A$1:$BT$1,0),0)</f>
        <v>88</v>
      </c>
      <c r="AK8" s="78">
        <f>VLOOKUP(年度マスタ!$K$4&amp;"_"&amp;$AG8,データシート1!$A:$BT,MATCH("ab_"&amp;AK$2,データシート1!$A$1:$BT$1,0),0)</f>
        <v>11392</v>
      </c>
      <c r="AL8" s="78">
        <f>VLOOKUP(年度マスタ!$K$4&amp;"_"&amp;$AG8,データシート1!$A:$BT,MATCH("ab_"&amp;AL$2,データシート1!$A$1:$BT$1,0),0)</f>
        <v>9214</v>
      </c>
      <c r="AM8" s="78">
        <f>VLOOKUP(年度マスタ!$K$4&amp;"_"&amp;$AG8,データシート1!$A:$BT,MATCH("ab_"&amp;AM$2,データシート1!$A$1:$BT$1,0),0)</f>
        <v>16611.5</v>
      </c>
      <c r="AN8" s="78">
        <f>VLOOKUP(年度マスタ!$K$4&amp;"_"&amp;$AG8,データシート1!$A:$BT,MATCH("ab_"&amp;AN$2,データシート1!$A$1:$BT$1,0),0)</f>
        <v>4579</v>
      </c>
      <c r="AO8" s="78">
        <f>VLOOKUP(年度マスタ!$K$4&amp;"_"&amp;$AG8,データシート1!$A:$BT,MATCH("ab_"&amp;AO$2,データシート1!$A$1:$BT$1,0),0)</f>
        <v>26010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801.59529999999995</v>
      </c>
      <c r="AI9" s="78">
        <f>VLOOKUP(年度マスタ!$K$4&amp;"_"&amp;$AG9,データシート1!$A:$BT,MATCH("ab_"&amp;AI$2,データシート1!$A$1:$BT$1,0),0)</f>
        <v>896</v>
      </c>
      <c r="AJ9" s="78">
        <f>VLOOKUP(年度マスタ!$K$4&amp;"_"&amp;$AG9,データシート1!$A:$BT,MATCH("ab_"&amp;AJ$2,データシート1!$A$1:$BT$1,0),0)</f>
        <v>88</v>
      </c>
      <c r="AK9" s="78">
        <f>VLOOKUP(年度マスタ!$K$4&amp;"_"&amp;$AG9,データシート1!$A:$BT,MATCH("ab_"&amp;AK$2,データシート1!$A$1:$BT$1,0),0)</f>
        <v>11392</v>
      </c>
      <c r="AL9" s="78">
        <f>VLOOKUP(年度マスタ!$K$4&amp;"_"&amp;$AG9,データシート1!$A:$BT,MATCH("ab_"&amp;AL$2,データシート1!$A$1:$BT$1,0),0)</f>
        <v>9365</v>
      </c>
      <c r="AM9" s="78">
        <f>VLOOKUP(年度マスタ!$K$4&amp;"_"&amp;$AG9,データシート1!$A:$BT,MATCH("ab_"&amp;AM$2,データシート1!$A$1:$BT$1,0),0)</f>
        <v>16969</v>
      </c>
      <c r="AN9" s="78">
        <f>VLOOKUP(年度マスタ!$K$4&amp;"_"&amp;$AG9,データシート1!$A:$BT,MATCH("ab_"&amp;AN$2,データシート1!$A$1:$BT$1,0),0)</f>
        <v>4505.5</v>
      </c>
      <c r="AO9" s="78">
        <f>VLOOKUP(年度マスタ!$K$4&amp;"_"&amp;$AG9,データシート1!$A:$BT,MATCH("ab_"&amp;AO$2,データシート1!$A$1:$BT$1,0),0)</f>
        <v>26109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753.58130000000006</v>
      </c>
      <c r="AI10" s="78">
        <f>VLOOKUP(年度マスタ!$K$4&amp;"_"&amp;$AG10,データシート1!$A:$BT,MATCH("ab_"&amp;AI$2,データシート1!$A$1:$BT$1,0),0)</f>
        <v>896</v>
      </c>
      <c r="AJ10" s="78">
        <f>VLOOKUP(年度マスタ!$K$4&amp;"_"&amp;$AG10,データシート1!$A:$BT,MATCH("ab_"&amp;AJ$2,データシート1!$A$1:$BT$1,0),0)</f>
        <v>88</v>
      </c>
      <c r="AK10" s="78">
        <f>VLOOKUP(年度マスタ!$K$4&amp;"_"&amp;$AG10,データシート1!$A:$BT,MATCH("ab_"&amp;AK$2,データシート1!$A$1:$BT$1,0),0)</f>
        <v>11392</v>
      </c>
      <c r="AL10" s="78">
        <f>VLOOKUP(年度マスタ!$K$4&amp;"_"&amp;$AG10,データシート1!$A:$BT,MATCH("ab_"&amp;AL$2,データシート1!$A$1:$BT$1,0),0)</f>
        <v>9578</v>
      </c>
      <c r="AM10" s="78">
        <f>VLOOKUP(年度マスタ!$K$4&amp;"_"&amp;$AG10,データシート1!$A:$BT,MATCH("ab_"&amp;AM$2,データシート1!$A$1:$BT$1,0),0)</f>
        <v>17404.5</v>
      </c>
      <c r="AN10" s="78">
        <f>VLOOKUP(年度マスタ!$K$4&amp;"_"&amp;$AG10,データシート1!$A:$BT,MATCH("ab_"&amp;AN$2,データシート1!$A$1:$BT$1,0),0)</f>
        <v>4536.5</v>
      </c>
      <c r="AO10" s="78">
        <f>VLOOKUP(年度マスタ!$K$4&amp;"_"&amp;$AG10,データシート1!$A:$BT,MATCH("ab_"&amp;AO$2,データシート1!$A$1:$BT$1,0),0)</f>
        <v>26306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661.02059999999994</v>
      </c>
      <c r="AI11" s="78">
        <f>VLOOKUP(年度マスタ!$K$4&amp;"_"&amp;$AG11,データシート1!$A:$BT,MATCH("ab_"&amp;AI$2,データシート1!$A$1:$BT$1,0),0)</f>
        <v>896</v>
      </c>
      <c r="AJ11" s="78">
        <f>VLOOKUP(年度マスタ!$K$4&amp;"_"&amp;$AG11,データシート1!$A:$BT,MATCH("ab_"&amp;AJ$2,データシート1!$A$1:$BT$1,0),0)</f>
        <v>88</v>
      </c>
      <c r="AK11" s="78">
        <f>VLOOKUP(年度マスタ!$K$4&amp;"_"&amp;$AG11,データシート1!$A:$BT,MATCH("ab_"&amp;AK$2,データシート1!$A$1:$BT$1,0),0)</f>
        <v>11392</v>
      </c>
      <c r="AL11" s="78">
        <f>VLOOKUP(年度マスタ!$K$4&amp;"_"&amp;$AG11,データシート1!$A:$BT,MATCH("ab_"&amp;AL$2,データシート1!$A$1:$BT$1,0),0)</f>
        <v>9656</v>
      </c>
      <c r="AM11" s="78">
        <f>VLOOKUP(年度マスタ!$K$4&amp;"_"&amp;$AG11,データシート1!$A:$BT,MATCH("ab_"&amp;AM$2,データシート1!$A$1:$BT$1,0),0)</f>
        <v>17685</v>
      </c>
      <c r="AN11" s="78">
        <f>VLOOKUP(年度マスタ!$K$4&amp;"_"&amp;$AG11,データシート1!$A:$BT,MATCH("ab_"&amp;AN$2,データシート1!$A$1:$BT$1,0),0)</f>
        <v>4463</v>
      </c>
      <c r="AO11" s="78">
        <f>VLOOKUP(年度マスタ!$K$4&amp;"_"&amp;$AG11,データシート1!$A:$BT,MATCH("ab_"&amp;AO$2,データシート1!$A$1:$BT$1,0),0)</f>
        <v>26371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796.74339999999995</v>
      </c>
      <c r="AI12" s="78">
        <f>VLOOKUP(年度マスタ!$K$4&amp;"_"&amp;$AG12,データシート1!$A:$BT,MATCH("ab_"&amp;AI$2,データシート1!$A$1:$BT$1,0),0)</f>
        <v>743</v>
      </c>
      <c r="AJ12" s="78">
        <f>VLOOKUP(年度マスタ!$K$4&amp;"_"&amp;$AG12,データシート1!$A:$BT,MATCH("ab_"&amp;AJ$2,データシート1!$A$1:$BT$1,0),0)</f>
        <v>64</v>
      </c>
      <c r="AK12" s="78">
        <f>VLOOKUP(年度マスタ!$K$4&amp;"_"&amp;$AG12,データシート1!$A:$BT,MATCH("ab_"&amp;AK$2,データシート1!$A$1:$BT$1,0),0)</f>
        <v>10730</v>
      </c>
      <c r="AL12" s="78">
        <f>VLOOKUP(年度マスタ!$K$4&amp;"_"&amp;$AG12,データシート1!$A:$BT,MATCH("ab_"&amp;AL$2,データシート1!$A$1:$BT$1,0),0)</f>
        <v>9832</v>
      </c>
      <c r="AM12" s="78">
        <f>VLOOKUP(年度マスタ!$K$4&amp;"_"&amp;$AG12,データシート1!$A:$BT,MATCH("ab_"&amp;AM$2,データシート1!$A$1:$BT$1,0),0)</f>
        <v>17990</v>
      </c>
      <c r="AN12" s="78">
        <f>VLOOKUP(年度マスタ!$K$4&amp;"_"&amp;$AG12,データシート1!$A:$BT,MATCH("ab_"&amp;AN$2,データシート1!$A$1:$BT$1,0),0)</f>
        <v>4482</v>
      </c>
      <c r="AO12" s="78">
        <f>VLOOKUP(年度マスタ!$K$4&amp;"_"&amp;$AG12,データシート1!$A:$BT,MATCH("ab_"&amp;AO$2,データシート1!$A$1:$BT$1,0),0)</f>
        <v>26503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784.77390000000003</v>
      </c>
      <c r="AI13" s="78">
        <f>VLOOKUP(年度マスタ!$K$4&amp;"_"&amp;$AG13,データシート1!$A:$BT,MATCH("ab_"&amp;AI$2,データシート1!$A$1:$BT$1,0),0)</f>
        <v>743</v>
      </c>
      <c r="AJ13" s="78">
        <f>VLOOKUP(年度マスタ!$K$4&amp;"_"&amp;$AG13,データシート1!$A:$BT,MATCH("ab_"&amp;AJ$2,データシート1!$A$1:$BT$1,0),0)</f>
        <v>64</v>
      </c>
      <c r="AK13" s="78">
        <f>VLOOKUP(年度マスタ!$K$4&amp;"_"&amp;$AG13,データシート1!$A:$BT,MATCH("ab_"&amp;AK$2,データシート1!$A$1:$BT$1,0),0)</f>
        <v>10730</v>
      </c>
      <c r="AL13" s="78">
        <f>VLOOKUP(年度マスタ!$K$4&amp;"_"&amp;$AG13,データシート1!$A:$BT,MATCH("ab_"&amp;AL$2,データシート1!$A$1:$BT$1,0),0)</f>
        <v>9995</v>
      </c>
      <c r="AM13" s="78">
        <f>VLOOKUP(年度マスタ!$K$4&amp;"_"&amp;$AG13,データシート1!$A:$BT,MATCH("ab_"&amp;AM$2,データシート1!$A$1:$BT$1,0),0)</f>
        <v>18352</v>
      </c>
      <c r="AN13" s="78">
        <f>VLOOKUP(年度マスタ!$K$4&amp;"_"&amp;$AG13,データシート1!$A:$BT,MATCH("ab_"&amp;AN$2,データシート1!$A$1:$BT$1,0),0)</f>
        <v>4504</v>
      </c>
      <c r="AO13" s="78">
        <f>VLOOKUP(年度マスタ!$K$4&amp;"_"&amp;$AG13,データシート1!$A:$BT,MATCH("ab_"&amp;AO$2,データシート1!$A$1:$BT$1,0),0)</f>
        <v>26532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782.13480000000004</v>
      </c>
      <c r="AI14" s="78">
        <f>VLOOKUP(年度マスタ!$K$4&amp;"_"&amp;$AG14,データシート1!$A:$BT,MATCH("ab_"&amp;AI$2,データシート1!$A$1:$BT$1,0),0)</f>
        <v>743</v>
      </c>
      <c r="AJ14" s="78">
        <f>VLOOKUP(年度マスタ!$K$4&amp;"_"&amp;$AG14,データシート1!$A:$BT,MATCH("ab_"&amp;AJ$2,データシート1!$A$1:$BT$1,0),0)</f>
        <v>64</v>
      </c>
      <c r="AK14" s="78">
        <f>VLOOKUP(年度マスタ!$K$4&amp;"_"&amp;$AG14,データシート1!$A:$BT,MATCH("ab_"&amp;AK$2,データシート1!$A$1:$BT$1,0),0)</f>
        <v>10730</v>
      </c>
      <c r="AL14" s="78">
        <f>VLOOKUP(年度マスタ!$K$4&amp;"_"&amp;$AG14,データシート1!$A:$BT,MATCH("ab_"&amp;AL$2,データシート1!$A$1:$BT$1,0),0)</f>
        <v>10131</v>
      </c>
      <c r="AM14" s="78">
        <f>VLOOKUP(年度マスタ!$K$4&amp;"_"&amp;$AG14,データシート1!$A:$BT,MATCH("ab_"&amp;AM$2,データシート1!$A$1:$BT$1,0),0)</f>
        <v>18641</v>
      </c>
      <c r="AN14" s="78">
        <f>VLOOKUP(年度マスタ!$K$4&amp;"_"&amp;$AG14,データシート1!$A:$BT,MATCH("ab_"&amp;AN$2,データシート1!$A$1:$BT$1,0),0)</f>
        <v>4601</v>
      </c>
      <c r="AO14" s="78">
        <f>VLOOKUP(年度マスタ!$K$4&amp;"_"&amp;$AG14,データシート1!$A:$BT,MATCH("ab_"&amp;AO$2,データシート1!$A$1:$BT$1,0),0)</f>
        <v>26555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913.43309999999997</v>
      </c>
      <c r="AI15" s="78">
        <f>VLOOKUP(年度マスタ!$K$4&amp;"_"&amp;$AG15,データシート1!$A:$BT,MATCH("ab_"&amp;AI$2,データシート1!$A$1:$BT$1,0),0)</f>
        <v>743</v>
      </c>
      <c r="AJ15" s="78">
        <f>VLOOKUP(年度マスタ!$K$4&amp;"_"&amp;$AG15,データシート1!$A:$BT,MATCH("ab_"&amp;AJ$2,データシート1!$A$1:$BT$1,0),0)</f>
        <v>64</v>
      </c>
      <c r="AK15" s="78">
        <f>VLOOKUP(年度マスタ!$K$4&amp;"_"&amp;$AG15,データシート1!$A:$BT,MATCH("ab_"&amp;AK$2,データシート1!$A$1:$BT$1,0),0)</f>
        <v>10730</v>
      </c>
      <c r="AL15" s="78">
        <f>VLOOKUP(年度マスタ!$K$4&amp;"_"&amp;$AG15,データシート1!$A:$BT,MATCH("ab_"&amp;AL$2,データシート1!$A$1:$BT$1,0),0)</f>
        <v>10286</v>
      </c>
      <c r="AM15" s="78">
        <f>VLOOKUP(年度マスタ!$K$4&amp;"_"&amp;$AG15,データシート1!$A:$BT,MATCH("ab_"&amp;AM$2,データシート1!$A$1:$BT$1,0),0)</f>
        <v>18831</v>
      </c>
      <c r="AN15" s="78">
        <f>VLOOKUP(年度マスタ!$K$4&amp;"_"&amp;$AG15,データシート1!$A:$BT,MATCH("ab_"&amp;AN$2,データシート1!$A$1:$BT$1,0),0)</f>
        <v>4606</v>
      </c>
      <c r="AO15" s="78">
        <f>VLOOKUP(年度マスタ!$K$4&amp;"_"&amp;$AG15,データシート1!$A:$BT,MATCH("ab_"&amp;AO$2,データシート1!$A$1:$BT$1,0),0)</f>
        <v>26518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1070.7906</v>
      </c>
      <c r="AI16" s="78">
        <f>VLOOKUP(年度マスタ!$K$4&amp;"_"&amp;$AG16,データシート1!$A:$BT,MATCH("ab_"&amp;AI$2,データシート1!$A$1:$BT$1,0),0)</f>
        <v>743</v>
      </c>
      <c r="AJ16" s="78">
        <f>VLOOKUP(年度マスタ!$K$4&amp;"_"&amp;$AG16,データシート1!$A:$BT,MATCH("ab_"&amp;AJ$2,データシート1!$A$1:$BT$1,0),0)</f>
        <v>64</v>
      </c>
      <c r="AK16" s="78">
        <f>VLOOKUP(年度マスタ!$K$4&amp;"_"&amp;$AG16,データシート1!$A:$BT,MATCH("ab_"&amp;AK$2,データシート1!$A$1:$BT$1,0),0)</f>
        <v>10730</v>
      </c>
      <c r="AL16" s="78">
        <f>VLOOKUP(年度マスタ!$K$4&amp;"_"&amp;$AG16,データシート1!$A:$BT,MATCH("ab_"&amp;AL$2,データシート1!$A$1:$BT$1,0),0)</f>
        <v>10457</v>
      </c>
      <c r="AM16" s="78">
        <f>VLOOKUP(年度マスタ!$K$4&amp;"_"&amp;$AG16,データシート1!$A:$BT,MATCH("ab_"&amp;AM$2,データシート1!$A$1:$BT$1,0),0)</f>
        <v>18964</v>
      </c>
      <c r="AN16" s="78">
        <f>VLOOKUP(年度マスタ!$K$4&amp;"_"&amp;$AG16,データシート1!$A:$BT,MATCH("ab_"&amp;AN$2,データシート1!$A$1:$BT$1,0),0)</f>
        <v>4625</v>
      </c>
      <c r="AO16" s="78">
        <f>VLOOKUP(年度マスタ!$K$4&amp;"_"&amp;$AG16,データシート1!$A:$BT,MATCH("ab_"&amp;AO$2,データシート1!$A$1:$BT$1,0),0)</f>
        <v>26473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702.00900000000001</v>
      </c>
      <c r="AI17" s="151">
        <f>VLOOKUP(年度マスタ!$K$4&amp;"_"&amp;$AG17,データシート1!$A:$BT,MATCH("ab_"&amp;AI$2,データシート1!$A$1:$BT$1,0),0)</f>
        <v>743</v>
      </c>
      <c r="AJ17" s="151">
        <f>VLOOKUP(年度マスタ!$K$4&amp;"_"&amp;$AG17,データシート1!$A:$BT,MATCH("ab_"&amp;AJ$2,データシート1!$A$1:$BT$1,0),0)</f>
        <v>64</v>
      </c>
      <c r="AK17" s="151">
        <f>VLOOKUP(年度マスタ!$K$4&amp;"_"&amp;$AG17,データシート1!$A:$BT,MATCH("ab_"&amp;AK$2,データシート1!$A$1:$BT$1,0),0)</f>
        <v>10730</v>
      </c>
      <c r="AL17" s="151">
        <f>VLOOKUP(年度マスタ!$K$4&amp;"_"&amp;$AG17,データシート1!$A:$BT,MATCH("ab_"&amp;AL$2,データシート1!$A$1:$BT$1,0),0)</f>
        <v>10782</v>
      </c>
      <c r="AM17" s="151">
        <f>VLOOKUP(年度マスタ!$K$4&amp;"_"&amp;$AG17,データシート1!$A:$BT,MATCH("ab_"&amp;AM$2,データシート1!$A$1:$BT$1,0),0)</f>
        <v>19333</v>
      </c>
      <c r="AN17" s="151">
        <f>VLOOKUP(年度マスタ!$K$4&amp;"_"&amp;$AG17,データシート1!$A:$BT,MATCH("ab_"&amp;AN$2,データシート1!$A$1:$BT$1,0),0)</f>
        <v>4523</v>
      </c>
      <c r="AO17" s="151">
        <f>VLOOKUP(年度マスタ!$K$4&amp;"_"&amp;$AG17,データシート1!$A:$BT,MATCH("ab_"&amp;AO$2,データシート1!$A$1:$BT$1,0),0)</f>
        <v>26674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622.26710000000003</v>
      </c>
      <c r="AI18" s="78">
        <f>VLOOKUP(年度マスタ!$K$4&amp;"_"&amp;$AG18,データシート1!$A:$BT,MATCH("ab_"&amp;AI$2,データシート1!$A$1:$BT$1,0),0)</f>
        <v>728</v>
      </c>
      <c r="AJ18" s="78">
        <f>VLOOKUP(年度マスタ!$K$4&amp;"_"&amp;$AG18,データシート1!$A:$BT,MATCH("ab_"&amp;AJ$2,データシート1!$A$1:$BT$1,0),0)</f>
        <v>41</v>
      </c>
      <c r="AK18" s="78">
        <f>VLOOKUP(年度マスタ!$K$4&amp;"_"&amp;$AG18,データシート1!$A:$BT,MATCH("ab_"&amp;AK$2,データシート1!$A$1:$BT$1,0),0)</f>
        <v>11544</v>
      </c>
      <c r="AL18" s="78">
        <f>VLOOKUP(年度マスタ!$K$4&amp;"_"&amp;$AG18,データシート1!$A:$BT,MATCH("ab_"&amp;AL$2,データシート1!$A$1:$BT$1,0),0)</f>
        <v>10985</v>
      </c>
      <c r="AM18" s="78">
        <f>VLOOKUP(年度マスタ!$K$4&amp;"_"&amp;$AG18,データシート1!$A:$BT,MATCH("ab_"&amp;AM$2,データシート1!$A$1:$BT$1,0),0)</f>
        <v>19621</v>
      </c>
      <c r="AN18" s="78">
        <f>VLOOKUP(年度マスタ!$K$4&amp;"_"&amp;$AG18,データシート1!$A:$BT,MATCH("ab_"&amp;AN$2,データシート1!$A$1:$BT$1,0),0)</f>
        <v>4550</v>
      </c>
      <c r="AO18" s="78">
        <f>VLOOKUP(年度マスタ!$K$4&amp;"_"&amp;$AG18,データシート1!$A:$BT,MATCH("ab_"&amp;AO$2,データシート1!$A$1:$BT$1,0),0)</f>
        <v>26714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914.50720000000001</v>
      </c>
      <c r="AI19" s="78">
        <f>VLOOKUP(年度マスタ!$K$4&amp;"_"&amp;$AG19,データシート1!$A:$BT,MATCH("ab_"&amp;AI$2,データシート1!$A$1:$BT$1,0),0)</f>
        <v>728</v>
      </c>
      <c r="AJ19" s="78">
        <f>VLOOKUP(年度マスタ!$K$4&amp;"_"&amp;$AG19,データシート1!$A:$BT,MATCH("ab_"&amp;AJ$2,データシート1!$A$1:$BT$1,0),0)</f>
        <v>41</v>
      </c>
      <c r="AK19" s="78">
        <f>VLOOKUP(年度マスタ!$K$4&amp;"_"&amp;$AG19,データシート1!$A:$BT,MATCH("ab_"&amp;AK$2,データシート1!$A$1:$BT$1,0),0)</f>
        <v>11544</v>
      </c>
      <c r="AL19" s="78">
        <f>VLOOKUP(年度マスタ!$K$4&amp;"_"&amp;$AG19,データシート1!$A:$BT,MATCH("ab_"&amp;AL$2,データシート1!$A$1:$BT$1,0),0)</f>
        <v>11122</v>
      </c>
      <c r="AM19" s="78">
        <f>VLOOKUP(年度マスタ!$K$4&amp;"_"&amp;$AG19,データシート1!$A:$BT,MATCH("ab_"&amp;AM$2,データシート1!$A$1:$BT$1,0),0)</f>
        <v>19688</v>
      </c>
      <c r="AN19" s="78">
        <f>VLOOKUP(年度マスタ!$K$4&amp;"_"&amp;$AG19,データシート1!$A:$BT,MATCH("ab_"&amp;AN$2,データシート1!$A$1:$BT$1,0),0)</f>
        <v>4646</v>
      </c>
      <c r="AO19" s="78">
        <f>VLOOKUP(年度マスタ!$K$4&amp;"_"&amp;$AG19,データシート1!$A:$BT,MATCH("ab_"&amp;AO$2,データシート1!$A$1:$BT$1,0),0)</f>
        <v>26716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1045.9041999999999</v>
      </c>
      <c r="AI20" s="78">
        <f>VLOOKUP(年度マスタ!$K$4&amp;"_"&amp;$AG20,データシート1!$A:$BT,MATCH("ab_"&amp;AI$2,データシート1!$A$1:$BT$1,0),0)</f>
        <v>728</v>
      </c>
      <c r="AJ20" s="78">
        <f>VLOOKUP(年度マスタ!$K$4&amp;"_"&amp;$AG20,データシート1!$A:$BT,MATCH("ab_"&amp;AJ$2,データシート1!$A$1:$BT$1,0),0)</f>
        <v>41</v>
      </c>
      <c r="AK20" s="78">
        <f>VLOOKUP(年度マスタ!$K$4&amp;"_"&amp;$AG20,データシート1!$A:$BT,MATCH("ab_"&amp;AK$2,データシート1!$A$1:$BT$1,0),0)</f>
        <v>11544</v>
      </c>
      <c r="AL20" s="78">
        <f>VLOOKUP(年度マスタ!$K$4&amp;"_"&amp;$AG20,データシート1!$A:$BT,MATCH("ab_"&amp;AL$2,データシート1!$A$1:$BT$1,0),0)</f>
        <v>11396</v>
      </c>
      <c r="AM20" s="78">
        <f>VLOOKUP(年度マスタ!$K$4&amp;"_"&amp;$AG20,データシート1!$A:$BT,MATCH("ab_"&amp;AM$2,データシート1!$A$1:$BT$1,0),0)</f>
        <v>19810</v>
      </c>
      <c r="AN20" s="78">
        <f>VLOOKUP(年度マスタ!$K$4&amp;"_"&amp;$AG20,データシート1!$A:$BT,MATCH("ab_"&amp;AN$2,データシート1!$A$1:$BT$1,0),0)</f>
        <v>4758</v>
      </c>
      <c r="AO20" s="78">
        <f>VLOOKUP(年度マスタ!$K$4&amp;"_"&amp;$AG20,データシート1!$A:$BT,MATCH("ab_"&amp;AO$2,データシート1!$A$1:$BT$1,0),0)</f>
        <v>26765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富士河口湖町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21.658999999999999</v>
      </c>
      <c r="BE13" s="70" t="str">
        <f>年度マスタ!K4</f>
        <v>19430</v>
      </c>
      <c r="BF13" s="70" t="str">
        <f>年度マスタ!K4</f>
        <v>19430</v>
      </c>
      <c r="BG13" s="70" t="str">
        <f>年度マスタ!K4</f>
        <v>19430</v>
      </c>
      <c r="BH13" s="278" t="s">
        <v>195</v>
      </c>
      <c r="BI13" s="278" t="s">
        <v>195</v>
      </c>
      <c r="BJ13" s="278" t="s">
        <v>195</v>
      </c>
      <c r="BK13" s="278" t="str">
        <f>年度マスタ!K4</f>
        <v>19430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21.658999999999999</v>
      </c>
      <c r="AY14" s="70"/>
      <c r="BE14" s="70" t="str">
        <f>AP2</f>
        <v>富士河口湖町</v>
      </c>
      <c r="BF14" s="70" t="str">
        <f>AP2</f>
        <v>富士河口湖町</v>
      </c>
      <c r="BG14" s="70" t="str">
        <f>AP2</f>
        <v>富士河口湖町</v>
      </c>
      <c r="BH14" s="70" t="s">
        <v>205</v>
      </c>
      <c r="BI14" s="70" t="s">
        <v>205</v>
      </c>
      <c r="BJ14" s="70" t="s">
        <v>205</v>
      </c>
      <c r="BK14" s="70" t="str">
        <f>AP2</f>
        <v>富士河口湖町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18.335000000000001</v>
      </c>
      <c r="G21" s="877">
        <f t="shared" ref="G21:O21" si="5">SUM(G22,G26,G27,G28)</f>
        <v>21.138999999999999</v>
      </c>
      <c r="H21" s="877">
        <f t="shared" si="5"/>
        <v>21.701000000000001</v>
      </c>
      <c r="I21" s="877">
        <f t="shared" si="5"/>
        <v>10.512</v>
      </c>
      <c r="J21" s="877">
        <f t="shared" si="5"/>
        <v>10.211</v>
      </c>
      <c r="K21" s="877">
        <f t="shared" si="5"/>
        <v>22.806999999999999</v>
      </c>
      <c r="L21" s="877">
        <f t="shared" si="5"/>
        <v>22.826000000000001</v>
      </c>
      <c r="M21" s="877">
        <f t="shared" si="5"/>
        <v>23.372</v>
      </c>
      <c r="N21" s="877">
        <f t="shared" si="5"/>
        <v>20.684999999999999</v>
      </c>
      <c r="O21" s="877">
        <f t="shared" si="5"/>
        <v>19.253</v>
      </c>
      <c r="P21" s="878">
        <f>SUM(P22,P26,P27,P28)</f>
        <v>21.658999999999999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18.335000000000001</v>
      </c>
      <c r="G22" s="879">
        <f t="shared" ref="G22:P22" si="6">SUM(G23:G25)</f>
        <v>21.138999999999999</v>
      </c>
      <c r="H22" s="879">
        <f t="shared" si="6"/>
        <v>21.701000000000001</v>
      </c>
      <c r="I22" s="879">
        <f t="shared" si="6"/>
        <v>10.512</v>
      </c>
      <c r="J22" s="879">
        <f t="shared" si="6"/>
        <v>10.211</v>
      </c>
      <c r="K22" s="879">
        <f t="shared" si="6"/>
        <v>22.806999999999999</v>
      </c>
      <c r="L22" s="879">
        <f t="shared" si="6"/>
        <v>22.826000000000001</v>
      </c>
      <c r="M22" s="879">
        <f t="shared" si="6"/>
        <v>23.372</v>
      </c>
      <c r="N22" s="879">
        <f t="shared" si="6"/>
        <v>20.684999999999999</v>
      </c>
      <c r="O22" s="879">
        <f t="shared" si="6"/>
        <v>19.253</v>
      </c>
      <c r="P22" s="880">
        <f t="shared" si="6"/>
        <v>21.658999999999999</v>
      </c>
      <c r="Z22" s="273"/>
      <c r="AB22" s="272"/>
      <c r="AC22" s="521" t="s">
        <v>286</v>
      </c>
      <c r="AP22" s="16" t="s">
        <v>287</v>
      </c>
      <c r="AQ22" s="273"/>
      <c r="AV22" s="70" t="str">
        <f>AW22</f>
        <v>エネルギー起源CO2</v>
      </c>
      <c r="AW22" s="70" t="str">
        <f>D56</f>
        <v>エネルギー起源CO2</v>
      </c>
      <c r="AX22" s="165">
        <f>P56</f>
        <v>21.658999999999999</v>
      </c>
      <c r="AY22" s="165">
        <f>AX22</f>
        <v>21.658999999999999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18.335000000000001</v>
      </c>
      <c r="G23" s="881">
        <f>IFERROR(VLOOKUP(年度マスタ!$K$4&amp;"_"&amp;G$20,データシート1!$A:$BU,MATCH("ba_"&amp;$E23,データシート1!$A$1:$BU$1,0),0),0)</f>
        <v>21.138999999999999</v>
      </c>
      <c r="H23" s="881">
        <f>IFERROR(VLOOKUP(年度マスタ!$K$4&amp;"_"&amp;H$20,データシート1!$A:$BU,MATCH("ba_"&amp;$E23,データシート1!$A$1:$BU$1,0),0),0)</f>
        <v>21.701000000000001</v>
      </c>
      <c r="I23" s="881">
        <f>IFERROR(VLOOKUP(年度マスタ!$K$4&amp;"_"&amp;I$20,データシート1!$A:$BU,MATCH("ba_"&amp;$E23,データシート1!$A$1:$BU$1,0),0),0)</f>
        <v>10.512</v>
      </c>
      <c r="J23" s="881">
        <f>IFERROR(VLOOKUP(年度マスタ!$K$4&amp;"_"&amp;J$20,データシート1!$A:$BU,MATCH("ba_"&amp;$E23,データシート1!$A$1:$BU$1,0),0),0)</f>
        <v>10.211</v>
      </c>
      <c r="K23" s="881">
        <f>IFERROR(VLOOKUP(年度マスタ!$K$4&amp;"_"&amp;K$20,データシート1!$A:$BU,MATCH("ba_"&amp;$E23,データシート1!$A$1:$BU$1,0),0),0)</f>
        <v>22.806999999999999</v>
      </c>
      <c r="L23" s="881">
        <f>IFERROR(VLOOKUP(年度マスタ!$K$4&amp;"_"&amp;L$20,データシート1!$A:$BU,MATCH("ba_"&amp;$E23,データシート1!$A$1:$BU$1,0),0),0)</f>
        <v>22.826000000000001</v>
      </c>
      <c r="M23" s="881">
        <f>IFERROR(VLOOKUP(年度マスタ!$K$4&amp;"_"&amp;M$20,データシート1!$A:$BU,MATCH("ba_"&amp;$E23,データシート1!$A$1:$BU$1,0),0),0)</f>
        <v>23.372</v>
      </c>
      <c r="N23" s="881">
        <f>IFERROR(VLOOKUP(年度マスタ!$K$4&amp;"_"&amp;N$20,データシート1!$A:$BU,MATCH("ba_"&amp;$E23,データシート1!$A$1:$BU$1,0),0),0)</f>
        <v>20.684999999999999</v>
      </c>
      <c r="O23" s="881">
        <f>IFERROR(VLOOKUP(年度マスタ!$K$4&amp;"_"&amp;O$20,データシート1!$A:$BU,MATCH("ba_"&amp;$E23,データシート1!$A$1:$BU$1,0),0),0)</f>
        <v>19.253</v>
      </c>
      <c r="P23" s="882">
        <f>IFERROR(VLOOKUP(年度マスタ!$K$4&amp;"_"&amp;P$20,データシート1!$A:$BU,MATCH("ba_"&amp;$E23,データシート1!$A$1:$BU$1,0),0),0)</f>
        <v>21.658999999999999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106.51220961017569</v>
      </c>
      <c r="AG24" s="877">
        <f t="shared" ref="AG24:AP24" si="11">AG25+AG29</f>
        <v>112.69495741428445</v>
      </c>
      <c r="AH24" s="877">
        <f t="shared" si="11"/>
        <v>114.94213330282707</v>
      </c>
      <c r="AI24" s="877">
        <f t="shared" si="11"/>
        <v>106.77430583125943</v>
      </c>
      <c r="AJ24" s="877">
        <f t="shared" si="11"/>
        <v>94.934832588345898</v>
      </c>
      <c r="AK24" s="877">
        <f t="shared" si="11"/>
        <v>89.139766689000794</v>
      </c>
      <c r="AL24" s="877">
        <f t="shared" si="11"/>
        <v>88.696494866548775</v>
      </c>
      <c r="AM24" s="877">
        <f t="shared" si="11"/>
        <v>91.320475484359946</v>
      </c>
      <c r="AN24" s="877">
        <f t="shared" si="11"/>
        <v>74.196992212213971</v>
      </c>
      <c r="AO24" s="877">
        <f t="shared" si="11"/>
        <v>70.842840748705299</v>
      </c>
      <c r="AP24" s="878">
        <f t="shared" si="11"/>
        <v>85.413002262009144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43.077193967298712</v>
      </c>
      <c r="AG25" s="879">
        <f>①CO2排出量の現状把握!AA35</f>
        <v>50.277885831554109</v>
      </c>
      <c r="AH25" s="879">
        <f>①CO2排出量の現状把握!AB35</f>
        <v>50.400596500090721</v>
      </c>
      <c r="AI25" s="879">
        <f>①CO2排出量の現状把握!AC35</f>
        <v>48.27552820874218</v>
      </c>
      <c r="AJ25" s="879">
        <f>①CO2排出量の現状把握!AD35</f>
        <v>42.345885316387964</v>
      </c>
      <c r="AK25" s="879">
        <f>①CO2排出量の現状把握!AE35</f>
        <v>44.476345126969157</v>
      </c>
      <c r="AL25" s="879">
        <f>①CO2排出量の現状把握!AF35</f>
        <v>43.554774436570547</v>
      </c>
      <c r="AM25" s="879">
        <f>①CO2排出量の現状把握!AG35</f>
        <v>49.36117836618611</v>
      </c>
      <c r="AN25" s="879">
        <f>①CO2排出量の現状把握!AH35</f>
        <v>33.414093566558122</v>
      </c>
      <c r="AO25" s="879">
        <f>①CO2排出量の現状把握!AI35</f>
        <v>27.900427069234549</v>
      </c>
      <c r="AP25" s="880">
        <f>①CO2排出量の現状把握!AJ35</f>
        <v>37.327251825714967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37.749592161636308</v>
      </c>
      <c r="AG26" s="881">
        <f>①CO2排出量の現状把握!AA36</f>
        <v>45.093632614123401</v>
      </c>
      <c r="AH26" s="881">
        <f>①CO2排出量の現状把握!AB36</f>
        <v>45.79121076064289</v>
      </c>
      <c r="AI26" s="881">
        <f>①CO2排出量の現状把握!AC36</f>
        <v>44.475151689101232</v>
      </c>
      <c r="AJ26" s="881">
        <f>①CO2排出量の現状把握!AD36</f>
        <v>38.671800708936978</v>
      </c>
      <c r="AK26" s="881">
        <f>①CO2排出量の現状把握!AE36</f>
        <v>40.331398649048161</v>
      </c>
      <c r="AL26" s="881">
        <f>①CO2排出量の現状把握!AF36</f>
        <v>39.553235626124128</v>
      </c>
      <c r="AM26" s="881">
        <f>①CO2排出量の現状把握!AG36</f>
        <v>45.680522656983101</v>
      </c>
      <c r="AN26" s="881">
        <f>①CO2排出量の現状把握!AH36</f>
        <v>29.905923568362333</v>
      </c>
      <c r="AO26" s="881">
        <f>①CO2排出量の現状把握!AI36</f>
        <v>24.9192115756242</v>
      </c>
      <c r="AP26" s="882">
        <f>①CO2排出量の現状把握!AJ36</f>
        <v>34.351691751752647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2.3346822022407459</v>
      </c>
      <c r="AG27" s="881">
        <f>①CO2排出量の現状把握!AA37</f>
        <v>2.2352007548373289</v>
      </c>
      <c r="AH27" s="881">
        <f>①CO2排出量の現状把握!AB37</f>
        <v>2.18871352189002</v>
      </c>
      <c r="AI27" s="881">
        <f>①CO2排出量の現状把握!AC37</f>
        <v>1.968380320781296</v>
      </c>
      <c r="AJ27" s="881">
        <f>①CO2排出量の現状把握!AD37</f>
        <v>1.825710047670164</v>
      </c>
      <c r="AK27" s="881">
        <f>①CO2排出量の現状把握!AE37</f>
        <v>1.9969209598591777</v>
      </c>
      <c r="AL27" s="881">
        <f>①CO2排出量の現状把握!AF37</f>
        <v>1.999021918898801</v>
      </c>
      <c r="AM27" s="881">
        <f>①CO2排出量の現状把握!AG37</f>
        <v>1.9086108246648152</v>
      </c>
      <c r="AN27" s="881">
        <f>①CO2排出量の現状把握!AH37</f>
        <v>1.7219235676692508</v>
      </c>
      <c r="AO27" s="881">
        <f>①CO2排出量の現状把握!AI37</f>
        <v>1.948897518782061</v>
      </c>
      <c r="AP27" s="882">
        <f>①CO2排出量の現状把握!AJ37</f>
        <v>2.0389805593383263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2.992919603421655</v>
      </c>
      <c r="AG28" s="881">
        <f>①CO2排出量の現状把握!AA38</f>
        <v>2.9490524625933761</v>
      </c>
      <c r="AH28" s="881">
        <f>①CO2排出量の現状把握!AB38</f>
        <v>2.4206722175578061</v>
      </c>
      <c r="AI28" s="881">
        <f>①CO2排出量の現状把握!AC38</f>
        <v>1.831996198859654</v>
      </c>
      <c r="AJ28" s="881">
        <f>①CO2排出量の現状把握!AD38</f>
        <v>1.848374559780819</v>
      </c>
      <c r="AK28" s="881">
        <f>①CO2排出量の現状把握!AE38</f>
        <v>2.148025518061822</v>
      </c>
      <c r="AL28" s="881">
        <f>①CO2排出量の現状把握!AF38</f>
        <v>2.0025168915476224</v>
      </c>
      <c r="AM28" s="881">
        <f>①CO2排出量の現状把握!AG38</f>
        <v>1.7720448845381989</v>
      </c>
      <c r="AN28" s="881">
        <f>①CO2排出量の現状把握!AH38</f>
        <v>1.7862464305265391</v>
      </c>
      <c r="AO28" s="881">
        <f>①CO2排出量の現状把握!AI38</f>
        <v>1.0323179748282885</v>
      </c>
      <c r="AP28" s="882">
        <f>①CO2排出量の現状把握!AJ38</f>
        <v>0.9365795146239948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63.435015642876969</v>
      </c>
      <c r="AG29" s="883">
        <f>①CO2排出量の現状把握!AA39</f>
        <v>62.417071582730337</v>
      </c>
      <c r="AH29" s="883">
        <f>①CO2排出量の現状把握!AB39</f>
        <v>64.541536802736346</v>
      </c>
      <c r="AI29" s="883">
        <f>①CO2排出量の現状把握!AC39</f>
        <v>58.498777622517252</v>
      </c>
      <c r="AJ29" s="883">
        <f>①CO2排出量の現状把握!AD39</f>
        <v>52.588947271957927</v>
      </c>
      <c r="AK29" s="883">
        <f>①CO2排出量の現状把握!AE39</f>
        <v>44.66342156203163</v>
      </c>
      <c r="AL29" s="883">
        <f>①CO2排出量の現状把握!AF39</f>
        <v>45.141720429978228</v>
      </c>
      <c r="AM29" s="883">
        <f>①CO2排出量の現状把握!AG39</f>
        <v>41.959297118173843</v>
      </c>
      <c r="AN29" s="883">
        <f>①CO2排出量の現状把握!AH39</f>
        <v>40.782898645655848</v>
      </c>
      <c r="AO29" s="883">
        <f>①CO2排出量の現状把握!AI39</f>
        <v>42.942413679470754</v>
      </c>
      <c r="AP29" s="884">
        <f>①CO2排出量の現状把握!AJ39</f>
        <v>48.08575043629417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0.17213988956856979</v>
      </c>
      <c r="AG32" s="461">
        <f t="shared" si="16"/>
        <v>0.18757715948451625</v>
      </c>
      <c r="AH32" s="461">
        <f t="shared" si="16"/>
        <v>0.18879934951987054</v>
      </c>
      <c r="AI32" s="461">
        <f t="shared" si="16"/>
        <v>9.8450651757105503E-2</v>
      </c>
      <c r="AJ32" s="461">
        <f t="shared" si="16"/>
        <v>0.10755799237858973</v>
      </c>
      <c r="AK32" s="461">
        <f t="shared" si="16"/>
        <v>0.25585662658924391</v>
      </c>
      <c r="AL32" s="461">
        <f t="shared" si="16"/>
        <v>0.25734951572036313</v>
      </c>
      <c r="AM32" s="461">
        <f t="shared" si="16"/>
        <v>0.25593384042336509</v>
      </c>
      <c r="AN32" s="461">
        <f t="shared" si="16"/>
        <v>0.27878488579210803</v>
      </c>
      <c r="AO32" s="461">
        <f t="shared" si="16"/>
        <v>0.27177058114163583</v>
      </c>
      <c r="AP32" s="461">
        <f t="shared" si="16"/>
        <v>0.2535796591432275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0.4256312519779884</v>
      </c>
      <c r="AG33" s="458">
        <f t="shared" ref="AG33:AP33" si="17">IFERROR(IF(G22/AG25&gt;1,1,G22/AG25),0)</f>
        <v>0.42044329530525498</v>
      </c>
      <c r="AH33" s="458">
        <f t="shared" si="17"/>
        <v>0.4305703008884218</v>
      </c>
      <c r="AI33" s="458">
        <f t="shared" si="17"/>
        <v>0.21775007731756707</v>
      </c>
      <c r="AJ33" s="458">
        <f t="shared" si="17"/>
        <v>0.2411332275546573</v>
      </c>
      <c r="AK33" s="458">
        <f t="shared" si="17"/>
        <v>0.51278943750642181</v>
      </c>
      <c r="AL33" s="458">
        <f t="shared" si="17"/>
        <v>0.52407572522828327</v>
      </c>
      <c r="AM33" s="458">
        <f t="shared" si="17"/>
        <v>0.47348950680663898</v>
      </c>
      <c r="AN33" s="458">
        <f>IFERROR(IF(N22/AN25&gt;1,1,N22/AN25),0)</f>
        <v>0.61905016093874232</v>
      </c>
      <c r="AO33" s="458">
        <f t="shared" si="17"/>
        <v>0.69006112172490874</v>
      </c>
      <c r="AP33" s="458">
        <f t="shared" si="17"/>
        <v>0.58024630640177433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8.2210000000000001</v>
      </c>
      <c r="BG33" s="952">
        <f t="shared" si="2"/>
        <v>8.2210000000000001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1.0505582657264085</v>
      </c>
    </row>
    <row r="34" spans="2:63" ht="15.95" customHeight="1" thickBot="1">
      <c r="B34" s="285"/>
      <c r="Z34" s="273"/>
      <c r="AB34" s="272"/>
      <c r="AC34" s="522"/>
      <c r="AD34" s="410"/>
      <c r="AE34" s="409" t="s">
        <v>184</v>
      </c>
      <c r="AF34" s="459">
        <f>IFERROR(IF(F23/AF26&gt;1,1,F23/AF26),0)</f>
        <v>0.48570061158523642</v>
      </c>
      <c r="AG34" s="459">
        <f t="shared" ref="AG34:AP36" si="18">IFERROR(IF(G23/AG26&gt;1,1,G23/AG26),0)</f>
        <v>0.46878015308483328</v>
      </c>
      <c r="AH34" s="459">
        <f t="shared" si="18"/>
        <v>0.47391190666335914</v>
      </c>
      <c r="AI34" s="459">
        <f t="shared" si="18"/>
        <v>0.23635669808352777</v>
      </c>
      <c r="AJ34" s="459">
        <f t="shared" si="18"/>
        <v>0.26404252744404161</v>
      </c>
      <c r="AK34" s="459">
        <f t="shared" si="18"/>
        <v>0.56548993498737132</v>
      </c>
      <c r="AL34" s="459">
        <f t="shared" si="18"/>
        <v>0.5770956443554236</v>
      </c>
      <c r="AM34" s="459">
        <f t="shared" si="18"/>
        <v>0.51164038063884021</v>
      </c>
      <c r="AN34" s="459">
        <f t="shared" si="18"/>
        <v>0.69166899168707807</v>
      </c>
      <c r="AO34" s="459">
        <f t="shared" si="18"/>
        <v>0.77261673956142141</v>
      </c>
      <c r="AP34" s="459">
        <f t="shared" si="18"/>
        <v>0.63050752075099592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2.9260000000000002</v>
      </c>
      <c r="BG35" s="952">
        <f t="shared" si="2"/>
        <v>2.9260000000000002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8.6135181090285923E-2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10.512</v>
      </c>
      <c r="BG38" s="952">
        <f t="shared" si="2"/>
        <v>10.512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0.76379075604589242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18.335000000000001</v>
      </c>
      <c r="G55" s="885">
        <f t="shared" ref="G55:P55" si="32">SUM(G56,G57,G60,G61,G62,G63,G64,G65,)</f>
        <v>21.138999999999999</v>
      </c>
      <c r="H55" s="885">
        <f t="shared" si="32"/>
        <v>21.701000000000001</v>
      </c>
      <c r="I55" s="885">
        <f t="shared" si="32"/>
        <v>10.512</v>
      </c>
      <c r="J55" s="885">
        <f t="shared" si="32"/>
        <v>10.211</v>
      </c>
      <c r="K55" s="885">
        <f t="shared" si="32"/>
        <v>22.806999999999999</v>
      </c>
      <c r="L55" s="885">
        <f t="shared" si="32"/>
        <v>22.826000000000001</v>
      </c>
      <c r="M55" s="885">
        <f t="shared" si="32"/>
        <v>23.372</v>
      </c>
      <c r="N55" s="885">
        <f t="shared" si="32"/>
        <v>20.684999999999999</v>
      </c>
      <c r="O55" s="885">
        <f t="shared" si="32"/>
        <v>19.253</v>
      </c>
      <c r="P55" s="886">
        <f t="shared" si="32"/>
        <v>21.658999999999999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18.335000000000001</v>
      </c>
      <c r="G56" s="887">
        <f>IFERROR(VLOOKUP(年度マスタ!$K$4&amp;"_"&amp;G$54,データシート1!$A:$CE,MATCH("bc_"&amp;$C56,データシート1!$A$1:$CE$1,0),0),0)</f>
        <v>21.138999999999999</v>
      </c>
      <c r="H56" s="887">
        <f>IFERROR(VLOOKUP(年度マスタ!$K$4&amp;"_"&amp;H$54,データシート1!$A:$CE,MATCH("bc_"&amp;$C56,データシート1!$A$1:$CE$1,0),0),0)</f>
        <v>21.701000000000001</v>
      </c>
      <c r="I56" s="887">
        <f>IFERROR(VLOOKUP(年度マスタ!$K$4&amp;"_"&amp;I$54,データシート1!$A:$CE,MATCH("bc_"&amp;$C56,データシート1!$A$1:$CE$1,0),0),0)</f>
        <v>10.512</v>
      </c>
      <c r="J56" s="887">
        <f>IFERROR(VLOOKUP(年度マスタ!$K$4&amp;"_"&amp;J$54,データシート1!$A:$CE,MATCH("bc_"&amp;$C56,データシート1!$A$1:$CE$1,0),0),0)</f>
        <v>10.211</v>
      </c>
      <c r="K56" s="887">
        <f>IFERROR(VLOOKUP(年度マスタ!$K$4&amp;"_"&amp;K$54,データシート1!$A:$CE,MATCH("bc_"&amp;$C56,データシート1!$A$1:$CE$1,0),0),0)</f>
        <v>22.806999999999999</v>
      </c>
      <c r="L56" s="887">
        <f>IFERROR(VLOOKUP(年度マスタ!$K$4&amp;"_"&amp;L$54,データシート1!$A:$CE,MATCH("bc_"&amp;$C56,データシート1!$A$1:$CE$1,0),0),0)</f>
        <v>22.826000000000001</v>
      </c>
      <c r="M56" s="887">
        <f>IFERROR(VLOOKUP(年度マスタ!$K$4&amp;"_"&amp;M$54,データシート1!$A:$CE,MATCH("bc_"&amp;$C56,データシート1!$A$1:$CE$1,0),0),0)</f>
        <v>23.372</v>
      </c>
      <c r="N56" s="887">
        <f>IFERROR(VLOOKUP(年度マスタ!$K$4&amp;"_"&amp;N$54,データシート1!$A:$CE,MATCH("bc_"&amp;$C56,データシート1!$A$1:$CE$1,0),0),0)</f>
        <v>20.684999999999999</v>
      </c>
      <c r="O56" s="887">
        <f>IFERROR(VLOOKUP(年度マスタ!$K$4&amp;"_"&amp;O$54,データシート1!$A:$CE,MATCH("bc_"&amp;$C56,データシート1!$A$1:$CE$1,0),0),0)</f>
        <v>19.253</v>
      </c>
      <c r="P56" s="888">
        <f>IFERROR(VLOOKUP(年度マスタ!$K$4&amp;"_"&amp;P$54,データシート1!$A:$CE,MATCH("bc_"&amp;$C56,データシート1!$A$1:$CE$1,0),0),0)</f>
        <v>21.658999999999999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富士河口湖町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3335.2</v>
      </c>
      <c r="K6" s="619">
        <f>VLOOKUP(年度マスタ!$K$4&amp;"_"&amp;K$5,データシート1!$A:$BT,MATCH("cb_"&amp;$G6,データシート1!$A$1:$BT$1,0),0)</f>
        <v>3648.6</v>
      </c>
      <c r="L6" s="619">
        <f>VLOOKUP(年度マスタ!$K$4&amp;"_"&amp;L$5,データシート1!$A:$BT,MATCH("cb_"&amp;$G6,データシート1!$A$1:$BT$1,0),0)</f>
        <v>3929.5</v>
      </c>
      <c r="M6" s="619">
        <f>VLOOKUP(年度マスタ!$K$4&amp;"_"&amp;M$5,データシート1!$A:$BT,MATCH("cb_"&amp;$G6,データシート1!$A$1:$BT$1,0),0)</f>
        <v>4194.3000000000011</v>
      </c>
      <c r="N6" s="619">
        <f>VLOOKUP(年度マスタ!$K$4&amp;"_"&amp;N$5,データシート1!$A:$BT,MATCH("cb_"&amp;$G6,データシート1!$A$1:$BT$1,0),0)</f>
        <v>4638.0000000000009</v>
      </c>
      <c r="O6" s="619">
        <f>VLOOKUP(年度マスタ!$K$4&amp;"_"&amp;O$5,データシート1!$A:$BT,MATCH("cb_"&amp;$G6,データシート1!$A$1:$BT$1,0),0)</f>
        <v>5099.2000000000062</v>
      </c>
      <c r="P6" s="619">
        <f>VLOOKUP(年度マスタ!$K$4&amp;"_"&amp;P$5,データシート1!$A:$BT,MATCH("cb_"&amp;$G6,データシート1!$A$1:$BT$1,0),0)</f>
        <v>5564.200000000008</v>
      </c>
      <c r="Q6" s="619">
        <f>VLOOKUP(年度マスタ!$K$4&amp;"_"&amp;Q$5,データシート1!$A:$BT,MATCH("cb_"&amp;$G6,データシート1!$A$1:$BT$1,0),0)</f>
        <v>6109.7000000000062</v>
      </c>
      <c r="R6" s="633">
        <f>VLOOKUP(年度マスタ!$K$4&amp;"_"&amp;R$5,データシート1!$A:$BT,MATCH("cb_"&amp;$G6,データシート1!$A$1:$BT$1,0),0)</f>
        <v>6719.7999999999965</v>
      </c>
      <c r="S6" s="568"/>
      <c r="T6" s="190"/>
      <c r="U6" s="581"/>
      <c r="V6" s="195"/>
      <c r="W6" s="195"/>
      <c r="X6" s="195"/>
      <c r="Y6" s="196" t="s">
        <v>372</v>
      </c>
      <c r="Z6" s="663" t="s">
        <v>373</v>
      </c>
      <c r="AA6" s="663"/>
      <c r="AB6" s="663"/>
      <c r="AC6" s="664">
        <f>SUM(AC7:AC8)</f>
        <v>447209</v>
      </c>
      <c r="AD6" s="664">
        <f>SUM(AD7:AD8)</f>
        <v>646402.30900000001</v>
      </c>
      <c r="AE6" s="665">
        <f>$AD6*3600/100000000</f>
        <v>23.270483124000002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7529.4</v>
      </c>
      <c r="K7" s="617">
        <f>VLOOKUP(年度マスタ!$K$4&amp;"_"&amp;K$5,データシート1!$A:$BT,MATCH("cb_"&amp;$G7,データシート1!$A$1:$BT$1,0),0)</f>
        <v>8386.7999999999993</v>
      </c>
      <c r="L7" s="617">
        <f>VLOOKUP(年度マスタ!$K$4&amp;"_"&amp;L$5,データシート1!$A:$BT,MATCH("cb_"&amp;$G7,データシート1!$A$1:$BT$1,0),0)</f>
        <v>8603.6000000000022</v>
      </c>
      <c r="M7" s="617">
        <f>VLOOKUP(年度マスタ!$K$4&amp;"_"&amp;M$5,データシート1!$A:$BT,MATCH("cb_"&amp;$G7,データシート1!$A$1:$BT$1,0),0)</f>
        <v>9004</v>
      </c>
      <c r="N7" s="617">
        <f>VLOOKUP(年度マスタ!$K$4&amp;"_"&amp;N$5,データシート1!$A:$BT,MATCH("cb_"&amp;$G7,データシート1!$A$1:$BT$1,0),0)</f>
        <v>9251.7999999999993</v>
      </c>
      <c r="O7" s="617">
        <f>VLOOKUP(年度マスタ!$K$4&amp;"_"&amp;O$5,データシート1!$A:$BT,MATCH("cb_"&amp;$G7,データシート1!$A$1:$BT$1,0),0)</f>
        <v>10634.000000000009</v>
      </c>
      <c r="P7" s="617">
        <f>VLOOKUP(年度マスタ!$K$4&amp;"_"&amp;P$5,データシート1!$A:$BT,MATCH("cb_"&amp;$G7,データシート1!$A$1:$BT$1,0),0)</f>
        <v>12135.500000000009</v>
      </c>
      <c r="Q7" s="617">
        <f>VLOOKUP(年度マスタ!$K$4&amp;"_"&amp;Q$5,データシート1!$A:$BT,MATCH("cb_"&amp;$G7,データシート1!$A$1:$BT$1,0),0)</f>
        <v>12185.000000000005</v>
      </c>
      <c r="R7" s="634">
        <f>VLOOKUP(年度マスタ!$K$4&amp;"_"&amp;R$5,データシート1!$A:$BT,MATCH("cb_"&amp;$G7,データシート1!$A$1:$BT$1,0),0)</f>
        <v>12283.400000000005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164337</v>
      </c>
      <c r="AD7" s="1022">
        <f>VLOOKUP(年度マスタ!$K$4&amp;"_"&amp;年度マスタ!$K$9,データシート3!A:AB,MATCH("ea_"&amp;$Y7&amp;"_年間発電",データシート3!$A$1:$AB$1,0),0)/10^3</f>
        <v>238314.52100000001</v>
      </c>
      <c r="AE7" s="554">
        <f t="shared" ref="AE7:AE16" si="0">$AD7*3600/100000000</f>
        <v>8.5793227559999998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282872</v>
      </c>
      <c r="AD8" s="1022">
        <f>VLOOKUP(年度マスタ!$K$4&amp;"_"&amp;年度マスタ!$K$9,データシート3!A:AB,MATCH("ea_"&amp;$Y8&amp;"_年間発電",データシート3!$A$1:$AB$1,0),0)/10^3</f>
        <v>408087.788</v>
      </c>
      <c r="AE8" s="554">
        <f t="shared" si="0"/>
        <v>14.691160368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80</v>
      </c>
      <c r="K9" s="617">
        <f>VLOOKUP(年度マスタ!$K$4&amp;"_"&amp;K$5,データシート1!$A:$BT,MATCH("cb_"&amp;$G9,データシート1!$A$1:$BT$1,0),0)</f>
        <v>80</v>
      </c>
      <c r="L9" s="617">
        <f>VLOOKUP(年度マスタ!$K$4&amp;"_"&amp;L$5,データシート1!$A:$BT,MATCH("cb_"&amp;$G9,データシート1!$A$1:$BT$1,0),0)</f>
        <v>80</v>
      </c>
      <c r="M9" s="617">
        <f>VLOOKUP(年度マスタ!$K$4&amp;"_"&amp;M$5,データシート1!$A:$BT,MATCH("cb_"&amp;$G9,データシート1!$A$1:$BT$1,0),0)</f>
        <v>80</v>
      </c>
      <c r="N9" s="617">
        <f>VLOOKUP(年度マスタ!$K$4&amp;"_"&amp;N$5,データシート1!$A:$BT,MATCH("cb_"&amp;$G9,データシート1!$A$1:$BT$1,0),0)</f>
        <v>80</v>
      </c>
      <c r="O9" s="617">
        <f>VLOOKUP(年度マスタ!$K$4&amp;"_"&amp;O$5,データシート1!$A:$BT,MATCH("cb_"&amp;$G9,データシート1!$A$1:$BT$1,0),0)</f>
        <v>80</v>
      </c>
      <c r="P9" s="617">
        <f>VLOOKUP(年度マスタ!$K$4&amp;"_"&amp;P$5,データシート1!$A:$BT,MATCH("cb_"&amp;$G9,データシート1!$A$1:$BT$1,0),0)</f>
        <v>80</v>
      </c>
      <c r="Q9" s="617">
        <f>VLOOKUP(年度マスタ!$K$4&amp;"_"&amp;Q$5,データシート1!$A:$BT,MATCH("cb_"&amp;$G9,データシート1!$A$1:$BT$1,0),0)</f>
        <v>80</v>
      </c>
      <c r="R9" s="634">
        <f>VLOOKUP(年度マスタ!$K$4&amp;"_"&amp;R$5,データシート1!$A:$BT,MATCH("cb_"&amp;$G9,データシート1!$A$1:$BT$1,0),0)</f>
        <v>80</v>
      </c>
      <c r="S9" s="568"/>
      <c r="T9" s="190"/>
      <c r="U9" s="581"/>
      <c r="V9" s="195"/>
      <c r="W9" s="195"/>
      <c r="X9" s="195"/>
      <c r="Y9" s="196" t="s">
        <v>381</v>
      </c>
      <c r="Z9" s="208" t="s">
        <v>377</v>
      </c>
      <c r="AA9" s="208"/>
      <c r="AB9" s="208"/>
      <c r="AC9" s="666">
        <f>VLOOKUP(年度マスタ!$K$4&amp;"_"&amp;年度マスタ!$K$9,データシート3!A:AB,MATCH("ea_"&amp;$Y9&amp;"_設備",データシート3!$A$1:$AB$1,0),0)</f>
        <v>9100</v>
      </c>
      <c r="AD9" s="666">
        <f>VLOOKUP(年度マスタ!$K$4&amp;"_"&amp;年度マスタ!$K$9,データシート3!A:AB,MATCH("ea_"&amp;$Y9&amp;"_年間発電",データシート3!$A$1:$AB$1,0),0)/10^3</f>
        <v>16553.531999999999</v>
      </c>
      <c r="AE9" s="667">
        <f t="shared" si="0"/>
        <v>0.5959271519999999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4024</v>
      </c>
      <c r="AD10" s="666">
        <f>SUM(AD11:AD12)</f>
        <v>26386.560000000005</v>
      </c>
      <c r="AE10" s="667">
        <f t="shared" si="0"/>
        <v>0.94991616000000012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370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4024</v>
      </c>
      <c r="AD11" s="1022">
        <f>VLOOKUP(年度マスタ!$K$4&amp;"_"&amp;年度マスタ!$K$9,データシート3!A:AB,MATCH("ea_"&amp;$Y11&amp;"_年間発電",データシート3!$A$1:$AB$1,0),0)/10^3</f>
        <v>26386.560000000005</v>
      </c>
      <c r="AE11" s="554">
        <f t="shared" si="0"/>
        <v>0.94991616000000012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10944.599999999999</v>
      </c>
      <c r="K12" s="651">
        <f t="shared" ref="K12:Q12" si="1">SUM(K6:K11)</f>
        <v>12115.4</v>
      </c>
      <c r="L12" s="651">
        <f t="shared" si="1"/>
        <v>12613.100000000002</v>
      </c>
      <c r="M12" s="651">
        <f t="shared" si="1"/>
        <v>13278.300000000001</v>
      </c>
      <c r="N12" s="651">
        <f t="shared" si="1"/>
        <v>13969.8</v>
      </c>
      <c r="O12" s="651">
        <f t="shared" si="1"/>
        <v>15813.200000000015</v>
      </c>
      <c r="P12" s="651">
        <f t="shared" si="1"/>
        <v>17779.700000000019</v>
      </c>
      <c r="Q12" s="651">
        <f t="shared" si="1"/>
        <v>18374.700000000012</v>
      </c>
      <c r="R12" s="652">
        <f t="shared" ref="R12" si="2">SUM(R6:R11)</f>
        <v>19453.2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4.1410352399999999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18.696900710000001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4002.6402239999998</v>
      </c>
      <c r="K19" s="615">
        <f>K6*別紙!$C5/100*別紙!$E5/10^3</f>
        <v>4378.7578320000002</v>
      </c>
      <c r="L19" s="615">
        <f>L6*別紙!$C5/100*別紙!$E5/10^3</f>
        <v>4715.8715400000001</v>
      </c>
      <c r="M19" s="615">
        <f>M6*別紙!$C5/100*別紙!$E5/10^3</f>
        <v>5033.6633160000001</v>
      </c>
      <c r="N19" s="615">
        <f>N6*別紙!$C5/100*別紙!$E5/10^3</f>
        <v>5566.1565600000004</v>
      </c>
      <c r="O19" s="615">
        <f>O6*別紙!$C5/100*別紙!$E5/10^3</f>
        <v>6119.6519040000076</v>
      </c>
      <c r="P19" s="615">
        <f>P6*別紙!$C5/100*別紙!$E5/10^3</f>
        <v>6677.7077040000104</v>
      </c>
      <c r="Q19" s="615">
        <f>Q6*別紙!$C5/100*別紙!$E5/10^3</f>
        <v>7332.3731640000069</v>
      </c>
      <c r="R19" s="639">
        <f>R6*別紙!$C5/100*別紙!$E5/10^3</f>
        <v>8064.5663759999952</v>
      </c>
      <c r="S19" s="572"/>
      <c r="T19" s="191"/>
      <c r="U19" s="588"/>
      <c r="W19" s="201"/>
      <c r="X19" s="201"/>
      <c r="Y19" s="173"/>
      <c r="Z19" s="628" t="s">
        <v>389</v>
      </c>
      <c r="AA19" s="671"/>
      <c r="AB19" s="672"/>
      <c r="AC19" s="673">
        <f>SUM($AC$6,$AC$9,$AC$10,$AC$13)</f>
        <v>460333</v>
      </c>
      <c r="AD19" s="673">
        <f>SUM($AD$6,$AD$9,$AD$10,$AD$13)</f>
        <v>689342.40100000007</v>
      </c>
      <c r="AE19" s="674">
        <f>SUM($AE$6,$AE$9,$AE$10,$AE$13,$AE$17,$AE$18)</f>
        <v>47.654262386000006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9959.5891439999996</v>
      </c>
      <c r="K20" s="617">
        <f>K7*別紙!$C6/100*別紙!$E6/10^3</f>
        <v>11093.723567999999</v>
      </c>
      <c r="L20" s="617">
        <f>L7*別紙!$C6/100*別紙!$E6/10^3</f>
        <v>11380.497936000003</v>
      </c>
      <c r="M20" s="617">
        <f>M7*別紙!$C6/100*別紙!$E6/10^3</f>
        <v>11910.13104</v>
      </c>
      <c r="N20" s="617">
        <f>N7*別紙!$C6/100*別紙!$E6/10^3</f>
        <v>12237.910968</v>
      </c>
      <c r="O20" s="617">
        <f>O7*別紙!$C6/100*別紙!$E6/10^3</f>
        <v>14066.229840000011</v>
      </c>
      <c r="P20" s="617">
        <f>P7*別紙!$C6/100*別紙!$E6/10^3</f>
        <v>16052.353980000011</v>
      </c>
      <c r="Q20" s="617">
        <f>Q7*別紙!$C6/100*別紙!$E6/10^3</f>
        <v>16117.830600000007</v>
      </c>
      <c r="R20" s="634">
        <f>R7*別紙!$C6/100*別紙!$E6/10^3</f>
        <v>16247.990184000008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420.48</v>
      </c>
      <c r="K22" s="617">
        <f>K9*別紙!$C8/100*別紙!$E8/10^3</f>
        <v>420.48</v>
      </c>
      <c r="L22" s="617">
        <f>L9*別紙!$C8/100*別紙!$E8/10^3</f>
        <v>420.48</v>
      </c>
      <c r="M22" s="617">
        <f>M9*別紙!$C8/100*別紙!$E8/10^3</f>
        <v>420.48</v>
      </c>
      <c r="N22" s="617">
        <f>N9*別紙!$C8/100*別紙!$E8/10^3</f>
        <v>420.48</v>
      </c>
      <c r="O22" s="617">
        <f>O9*別紙!$C8/100*別紙!$E8/10^3</f>
        <v>420.48</v>
      </c>
      <c r="P22" s="617">
        <f>P9*別紙!$C8/100*別紙!$E8/10^3</f>
        <v>420.48</v>
      </c>
      <c r="Q22" s="617">
        <f>Q9*別紙!$C8/100*別紙!$E8/10^3</f>
        <v>420.48</v>
      </c>
      <c r="R22" s="634">
        <f>R9*別紙!$C8/100*別紙!$E8/10^3</f>
        <v>420.48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2592.96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14382.709368</v>
      </c>
      <c r="K25" s="657">
        <f t="shared" si="3"/>
        <v>15892.9614</v>
      </c>
      <c r="L25" s="657">
        <f t="shared" si="3"/>
        <v>16516.849476000003</v>
      </c>
      <c r="M25" s="657">
        <f t="shared" si="3"/>
        <v>17364.274355999998</v>
      </c>
      <c r="N25" s="657">
        <f t="shared" si="3"/>
        <v>18224.547527999999</v>
      </c>
      <c r="O25" s="657">
        <f t="shared" si="3"/>
        <v>20606.36174400002</v>
      </c>
      <c r="P25" s="657">
        <f t="shared" si="3"/>
        <v>23150.541684000022</v>
      </c>
      <c r="Q25" s="657">
        <f t="shared" si="3"/>
        <v>23870.683764000012</v>
      </c>
      <c r="R25" s="658">
        <f t="shared" ref="R25" si="4">SUM(R19:R24)</f>
        <v>27325.996560000003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184770.11604944168</v>
      </c>
      <c r="K26" s="654">
        <f>(VLOOKUP(年度マスタ!$K$4&amp;"_"&amp;K$18,データシート1!$A:$BT,MATCH("da_合計",データシート1!$A$1:$BT$1,0),0))/10^3</f>
        <v>180811.35594374544</v>
      </c>
      <c r="L26" s="654">
        <f>(VLOOKUP(年度マスタ!$K$4&amp;"_"&amp;L$18,データシート1!$A:$BT,MATCH("da_合計",データシート1!$A$1:$BT$1,0),0))/10^3</f>
        <v>192091.32938336325</v>
      </c>
      <c r="M26" s="654">
        <f>(VLOOKUP(年度マスタ!$K$4&amp;"_"&amp;M$18,データシート1!$A:$BT,MATCH("da_合計",データシート1!$A$1:$BT$1,0),0))/10^3</f>
        <v>189008.78298005255</v>
      </c>
      <c r="N26" s="654">
        <f>(VLOOKUP(年度マスタ!$K$4&amp;"_"&amp;N$18,データシート1!$A:$BT,MATCH("da_合計",データシート1!$A$1:$BT$1,0),0))/10^3</f>
        <v>162741.13703643178</v>
      </c>
      <c r="O26" s="654">
        <f>(VLOOKUP(年度マスタ!$K$4&amp;"_"&amp;O$18,データシート1!$A:$BT,MATCH("da_合計",データシート1!$A$1:$BT$1,0),0))/10^3</f>
        <v>164797.72093273263</v>
      </c>
      <c r="P26" s="654">
        <f>(VLOOKUP(年度マスタ!$K$4&amp;"_"&amp;P$18,データシート1!$A:$BT,MATCH("da_合計",データシート1!$A$1:$BT$1,0),0))/10^3</f>
        <v>182121.85101988475</v>
      </c>
      <c r="Q26" s="654">
        <f>(VLOOKUP(年度マスタ!$K$4&amp;"_"&amp;Q$18,データシート1!$A:$BT,MATCH("da_合計",データシート1!$A$1:$BT$1,0),0))/10^3</f>
        <v>181814.20644423904</v>
      </c>
      <c r="R26" s="655">
        <f>Q26</f>
        <v>181814.20644423904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7.7841101556441111E-2</v>
      </c>
      <c r="K27" s="839">
        <f t="shared" ref="K27:P27" si="5">K25/K26</f>
        <v>8.7898026741996593E-2</v>
      </c>
      <c r="L27" s="839">
        <f t="shared" si="5"/>
        <v>8.5984357175418163E-2</v>
      </c>
      <c r="M27" s="839">
        <f t="shared" si="5"/>
        <v>9.187019821101422E-2</v>
      </c>
      <c r="N27" s="839">
        <f t="shared" si="5"/>
        <v>0.11198488507500221</v>
      </c>
      <c r="O27" s="839">
        <f t="shared" si="5"/>
        <v>0.12504033203475645</v>
      </c>
      <c r="P27" s="839">
        <f t="shared" si="5"/>
        <v>0.12711567312959254</v>
      </c>
      <c r="Q27" s="839">
        <f>Q25/Q26</f>
        <v>0.13129163133531571</v>
      </c>
      <c r="R27" s="840">
        <f>R25/R26</f>
        <v>0.15029626724125469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0.15029626724125469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3.7914661042255564</v>
      </c>
      <c r="AA52" s="173"/>
      <c r="AB52" s="678" t="s">
        <v>413</v>
      </c>
      <c r="AC52" s="679">
        <f>$AD6</f>
        <v>646402.30900000001</v>
      </c>
      <c r="AD52" s="680">
        <f>R19+R20</f>
        <v>24312.556560000005</v>
      </c>
      <c r="AE52" s="681">
        <f t="shared" ref="AE52:AE54" si="6">IFERROR(AD52/AC52,"-")</f>
        <v>3.761211279955376E-2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507528.19455576106</v>
      </c>
      <c r="Z53" s="1130"/>
      <c r="AA53" s="173"/>
      <c r="AB53" s="678" t="s">
        <v>377</v>
      </c>
      <c r="AC53" s="679">
        <f>$AD9</f>
        <v>16553.531999999999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26386.560000000005</v>
      </c>
      <c r="AD54" s="679">
        <f>R22</f>
        <v>420.48</v>
      </c>
      <c r="AE54" s="681">
        <f t="shared" si="6"/>
        <v>1.5935385287055227E-2</v>
      </c>
      <c r="AF54" s="473"/>
      <c r="AG54" s="41"/>
      <c r="AH54" s="420"/>
      <c r="AI54" s="442" t="s">
        <v>440</v>
      </c>
      <c r="AJ54" s="443">
        <f>VLOOKUP(年度マスタ!$K$4&amp;"_"&amp;AJ$53,データシート1!$A$1:$BT$2000,MATCH("ca_太陽光発電（10kW未満）",データシート1!$A$1:$BT$1,0),0)</f>
        <v>748</v>
      </c>
      <c r="AK54" s="443">
        <f>VLOOKUP(年度マスタ!$K$4&amp;"_"&amp;AK$53,データシート1!$A$1:$BT$2000,MATCH("ca_太陽光発電（10kW未満）",データシート1!$A$1:$BT$1,0),0)</f>
        <v>806</v>
      </c>
      <c r="AL54" s="443">
        <f>VLOOKUP(年度マスタ!$K$4&amp;"_"&amp;AL$53,データシート1!$A$1:$BT$2000,MATCH("ca_太陽光発電（10kW未満）",データシート1!$A$1:$BT$1,0),0)</f>
        <v>860</v>
      </c>
      <c r="AM54" s="443">
        <f>VLOOKUP(年度マスタ!$K$4&amp;"_"&amp;AM$53,データシート1!$A$1:$BT$2000,MATCH("ca_太陽光発電（10kW未満）",データシート1!$A$1:$BT$1,0),0)</f>
        <v>909</v>
      </c>
      <c r="AN54" s="443">
        <f>VLOOKUP(年度マスタ!$K$4&amp;"_"&amp;AN$53,データシート1!$A$1:$BT$2000,MATCH("ca_太陽光発電（10kW未満）",データシート1!$A$1:$BT$1,0),0)</f>
        <v>983</v>
      </c>
      <c r="AO54" s="443">
        <f>VLOOKUP(年度マスタ!$K$4&amp;"_"&amp;AO$53,データシート1!$A$1:$BT$2000,MATCH("ca_太陽光発電（10kW未満）",データシート1!$A$1:$BT$1,0),0)</f>
        <v>1051</v>
      </c>
      <c r="AP54" s="443">
        <f>VLOOKUP(年度マスタ!$K$4&amp;"_"&amp;AP$53,データシート1!$A$1:$BT$2000,MATCH("ca_太陽光発電（10kW未満）",データシート1!$A$1:$BT$1,0),0)</f>
        <v>1120</v>
      </c>
      <c r="AQ54" s="443">
        <f>VLOOKUP(年度マスタ!$K$4&amp;"_"&amp;AQ$53,データシート1!$A$1:$BT$2000,MATCH("ca_太陽光発電（10kW未満）",データシート1!$A$1:$BT$1,0),0)</f>
        <v>1199</v>
      </c>
      <c r="AR54" s="443">
        <f>VLOOKUP(年度マスタ!$K$4&amp;"_"&amp;AR$53,データシート1!$A$1:$BT$2000,MATCH("ca_太陽光発電（10kW未満）",データシート1!$A$1:$BT$1,0),0)</f>
        <v>1285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富士河口湖町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富士河口湖町</v>
      </c>
      <c r="AZ12" s="1023" t="str">
        <f>年度マスタ!$K4</f>
        <v>19430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富士河口湖町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富士河口湖町</v>
      </c>
      <c r="AZ4" s="1038" t="str">
        <f>年度マスタ!$K4</f>
        <v>19430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富士河口湖町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1</v>
      </c>
      <c r="K7" s="702">
        <f t="shared" si="0"/>
        <v>1</v>
      </c>
      <c r="L7" s="702">
        <f t="shared" si="0"/>
        <v>2</v>
      </c>
      <c r="M7" s="702">
        <f t="shared" si="0"/>
        <v>2</v>
      </c>
      <c r="N7" s="702">
        <f t="shared" si="0"/>
        <v>2</v>
      </c>
      <c r="O7" s="702">
        <f>SUM(O8:O13)</f>
        <v>2</v>
      </c>
      <c r="P7" s="702">
        <f t="shared" si="0"/>
        <v>3</v>
      </c>
      <c r="Q7" s="703">
        <f>SUM(Q8:Q13)</f>
        <v>3</v>
      </c>
      <c r="R7" s="909">
        <f t="shared" si="0"/>
        <v>18.335000000000001</v>
      </c>
      <c r="S7" s="910">
        <f t="shared" si="0"/>
        <v>21.138999999999999</v>
      </c>
      <c r="T7" s="910">
        <f t="shared" si="0"/>
        <v>21.701000000000001</v>
      </c>
      <c r="U7" s="910">
        <f t="shared" si="0"/>
        <v>10.512</v>
      </c>
      <c r="V7" s="910">
        <f t="shared" si="0"/>
        <v>10.211</v>
      </c>
      <c r="W7" s="910">
        <f t="shared" si="0"/>
        <v>22.806999999999999</v>
      </c>
      <c r="X7" s="910">
        <f t="shared" si="0"/>
        <v>22.826000000000001</v>
      </c>
      <c r="Y7" s="910">
        <f t="shared" si="0"/>
        <v>23.372</v>
      </c>
      <c r="Z7" s="910">
        <f>SUM(Z8:Z13)</f>
        <v>20.684999999999999</v>
      </c>
      <c r="AA7" s="910">
        <f>SUM(AA8:AA13)</f>
        <v>19.253</v>
      </c>
      <c r="AB7" s="911">
        <f t="shared" si="0"/>
        <v>21.658999999999999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18.335000000000001</v>
      </c>
      <c r="S10" s="916">
        <f>VLOOKUP($D$3&amp;"_"&amp;S$3,データシート1!$A:$BU,MATCH($R$2&amp;"_"&amp;$C10,データシート1!$A$1:$BU$1,0),0)</f>
        <v>21.138999999999999</v>
      </c>
      <c r="T10" s="916">
        <f>VLOOKUP($D$3&amp;"_"&amp;T$3,データシート1!$A:$BU,MATCH($R$2&amp;"_"&amp;$C10,データシート1!$A$1:$BU$1,0),0)</f>
        <v>21.701000000000001</v>
      </c>
      <c r="U10" s="916">
        <f>VLOOKUP($D$3&amp;"_"&amp;U$3,データシート1!$A:$BU,MATCH($R$2&amp;"_"&amp;$C10,データシート1!$A$1:$BU$1,0),0)</f>
        <v>10.512</v>
      </c>
      <c r="V10" s="916">
        <f>VLOOKUP($D$3&amp;"_"&amp;V$3,データシート1!$A:$BU,MATCH($R$2&amp;"_"&amp;$C10,データシート1!$A$1:$BU$1,0),0)</f>
        <v>10.211</v>
      </c>
      <c r="W10" s="916">
        <f>VLOOKUP($D$3&amp;"_"&amp;W$3,データシート1!$A:$BU,MATCH($R$2&amp;"_"&amp;$C10,データシート1!$A$1:$BU$1,0),0)</f>
        <v>22.806999999999999</v>
      </c>
      <c r="X10" s="916">
        <f>VLOOKUP($D$3&amp;"_"&amp;X$3,データシート1!$A:$BU,MATCH($R$2&amp;"_"&amp;$C10,データシート1!$A$1:$BU$1,0),0)</f>
        <v>22.826000000000001</v>
      </c>
      <c r="Y10" s="916">
        <f>VLOOKUP($D$3&amp;"_"&amp;Y$3,データシート1!$A:$BU,MATCH($R$2&amp;"_"&amp;$C10,データシート1!$A$1:$BU$1,0),0)</f>
        <v>23.372</v>
      </c>
      <c r="Z10" s="916">
        <f>VLOOKUP($D$3&amp;"_"&amp;Z$3,データシート1!$A:$BU,MATCH($R$2&amp;"_"&amp;$C10,データシート1!$A$1:$BU$1,0),0)</f>
        <v>20.684999999999999</v>
      </c>
      <c r="AA10" s="916">
        <f>VLOOKUP($D$3&amp;"_"&amp;AA$3,データシート1!$A:$BU,MATCH($R$2&amp;"_"&amp;$C10,データシート1!$A$1:$BU$1,0),0)</f>
        <v>19.253</v>
      </c>
      <c r="AB10" s="917">
        <f>VLOOKUP($D$3&amp;"_"&amp;AB$3,データシート1!$A:$BU,MATCH($R$2&amp;"_"&amp;$C10,データシート1!$A$1:$BU$1,0),0)</f>
        <v>21.658999999999999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18.335000000000001</v>
      </c>
      <c r="S26" s="925">
        <f>VLOOKUP($D$3&amp;"_"&amp;S$3,データシート2!$A:$SI,MATCH($R$2&amp;"_"&amp;$B26,データシート2!$A$1:$SI$1,0),0)</f>
        <v>21.138999999999999</v>
      </c>
      <c r="T26" s="925">
        <f>VLOOKUP($D$3&amp;"_"&amp;T$3,データシート2!$A:$SI,MATCH($R$2&amp;"_"&amp;$B26,データシート2!$A$1:$SI$1,0),0)</f>
        <v>21.701000000000001</v>
      </c>
      <c r="U26" s="925">
        <f>VLOOKUP($D$3&amp;"_"&amp;U$3,データシート2!$A:$SI,MATCH($R$2&amp;"_"&amp;$B26,データシート2!$A$1:$SI$1,0),0)</f>
        <v>10.512</v>
      </c>
      <c r="V26" s="925">
        <f>VLOOKUP($D$3&amp;"_"&amp;V$3,データシート2!$A:$SI,MATCH($R$2&amp;"_"&amp;$B26,データシート2!$A$1:$SI$1,0),0)</f>
        <v>10.211</v>
      </c>
      <c r="W26" s="925">
        <f>VLOOKUP($D$3&amp;"_"&amp;W$3,データシート2!$A:$SI,MATCH($R$2&amp;"_"&amp;$B26,データシート2!$A$1:$SI$1,0),0)</f>
        <v>22.806999999999999</v>
      </c>
      <c r="X26" s="925">
        <f>VLOOKUP($D$3&amp;"_"&amp;X$3,データシート2!$A:$SI,MATCH($R$2&amp;"_"&amp;$B26,データシート2!$A$1:$SI$1,0),0)</f>
        <v>22.826000000000001</v>
      </c>
      <c r="Y26" s="925">
        <f>VLOOKUP($D$3&amp;"_"&amp;Y$3,データシート2!$A:$SI,MATCH($R$2&amp;"_"&amp;$B26,データシート2!$A$1:$SI$1,0),0)</f>
        <v>23.372</v>
      </c>
      <c r="Z26" s="925">
        <f>VLOOKUP($D$3&amp;"_"&amp;Z$3,データシート2!$A:$SI,MATCH($R$2&amp;"_"&amp;$B26,データシート2!$A$1:$SI$1,0),0)</f>
        <v>20.684999999999999</v>
      </c>
      <c r="AA26" s="925">
        <f>VLOOKUP($D$3&amp;"_"&amp;AA$3,データシート2!$A:$SI,MATCH($R$2&amp;"_"&amp;$B26,データシート2!$A$1:$SI$1,0),0)</f>
        <v>19.253</v>
      </c>
      <c r="AB26" s="926">
        <f>VLOOKUP($D$3&amp;"_"&amp;AB$3,データシート2!$A:$SI,MATCH($R$2&amp;"_"&amp;$B26,データシート2!$A$1:$SI$1,0),0)</f>
        <v>21.658999999999999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8.2390000000000008</v>
      </c>
      <c r="S46" s="938">
        <f>VLOOKUP($D$3&amp;"_"&amp;S$3,データシート2!$A:$SI,MATCH($R$2&amp;"_"&amp;$C46,データシート2!$A$1:$SI$1,0),0)</f>
        <v>9.0540000000000003</v>
      </c>
      <c r="T46" s="938">
        <f>VLOOKUP($D$3&amp;"_"&amp;T$3,データシート2!$A:$SI,MATCH($R$2&amp;"_"&amp;$C46,データシート2!$A$1:$SI$1,0),0)</f>
        <v>9.1530000000000005</v>
      </c>
      <c r="U46" s="938">
        <f>VLOOKUP($D$3&amp;"_"&amp;U$3,データシート2!$A:$SI,MATCH($R$2&amp;"_"&amp;$C46,データシート2!$A$1:$SI$1,0),0)</f>
        <v>10.512</v>
      </c>
      <c r="V46" s="938">
        <f>VLOOKUP($D$3&amp;"_"&amp;V$3,データシート2!$A:$SI,MATCH($R$2&amp;"_"&amp;$C46,データシート2!$A$1:$SI$1,0),0)</f>
        <v>10.211</v>
      </c>
      <c r="W46" s="938">
        <f>VLOOKUP($D$3&amp;"_"&amp;W$3,データシート2!$A:$SI,MATCH($R$2&amp;"_"&amp;$C46,データシート2!$A$1:$SI$1,0),0)</f>
        <v>10.404999999999999</v>
      </c>
      <c r="X46" s="938">
        <f>VLOOKUP($D$3&amp;"_"&amp;X$3,データシート2!$A:$SI,MATCH($R$2&amp;"_"&amp;$C46,データシート2!$A$1:$SI$1,0),0)</f>
        <v>10.746</v>
      </c>
      <c r="Y46" s="938">
        <f>VLOOKUP($D$3&amp;"_"&amp;Y$3,データシート2!$A:$SI,MATCH($R$2&amp;"_"&amp;$C46,データシート2!$A$1:$SI$1,0),0)</f>
        <v>10.811999999999999</v>
      </c>
      <c r="Z46" s="938">
        <f>VLOOKUP($D$3&amp;"_"&amp;Z$3,データシート2!$A:$SI,MATCH($R$2&amp;"_"&amp;$C46,データシート2!$A$1:$SI$1,0),0)</f>
        <v>9.266</v>
      </c>
      <c r="AA46" s="938">
        <f>VLOOKUP($D$3&amp;"_"&amp;AA$3,データシート2!$A:$SI,MATCH($R$2&amp;"_"&amp;$C46,データシート2!$A$1:$SI$1,0),0)</f>
        <v>5.742</v>
      </c>
      <c r="AB46" s="939">
        <f>VLOOKUP($D$3&amp;"_"&amp;AB$3,データシート2!$A:$SI,MATCH($R$2&amp;"_"&amp;$C46,データシート2!$A$1:$SI$1,0),0)</f>
        <v>8.2210000000000001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2.2519999999999998</v>
      </c>
      <c r="S48" s="938">
        <f>VLOOKUP($D$3&amp;"_"&amp;S$3,データシート2!$A:$SI,MATCH($R$2&amp;"_"&amp;$C48,データシート2!$A$1:$SI$1,0),0)</f>
        <v>2.415</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3.0739999999999998</v>
      </c>
      <c r="AB48" s="939">
        <f>VLOOKUP($D$3&amp;"_"&amp;AB$3,データシート2!$A:$SI,MATCH($R$2&amp;"_"&amp;$C48,データシート2!$A$1:$SI$1,0),0)</f>
        <v>2.9260000000000002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7.8440000000000003</v>
      </c>
      <c r="S51" s="938">
        <f>VLOOKUP($D$3&amp;"_"&amp;S$3,データシート2!$A:$SI,MATCH($R$2&amp;"_"&amp;$C51,データシート2!$A$1:$SI$1,0),0)</f>
        <v>9.67</v>
      </c>
      <c r="T51" s="938">
        <f>VLOOKUP($D$3&amp;"_"&amp;T$3,データシート2!$A:$SI,MATCH($R$2&amp;"_"&amp;$C51,データシート2!$A$1:$SI$1,0),0)</f>
        <v>12.548</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12.401999999999999</v>
      </c>
      <c r="X51" s="938">
        <f>VLOOKUP($D$3&amp;"_"&amp;X$3,データシート2!$A:$SI,MATCH($R$2&amp;"_"&amp;$C51,データシート2!$A$1:$SI$1,0),0)</f>
        <v>12.08</v>
      </c>
      <c r="Y51" s="938">
        <f>VLOOKUP($D$3&amp;"_"&amp;Y$3,データシート2!$A:$SI,MATCH($R$2&amp;"_"&amp;$C51,データシート2!$A$1:$SI$1,0),0)</f>
        <v>12.56</v>
      </c>
      <c r="Z51" s="938">
        <f>VLOOKUP($D$3&amp;"_"&amp;Z$3,データシート2!$A:$SI,MATCH($R$2&amp;"_"&amp;$C51,データシート2!$A$1:$SI$1,0),0)</f>
        <v>11.419</v>
      </c>
      <c r="AA51" s="938">
        <f>VLOOKUP($D$3&amp;"_"&amp;AA$3,データシート2!$A:$SI,MATCH($R$2&amp;"_"&amp;$C51,データシート2!$A$1:$SI$1,0),0)</f>
        <v>10.436999999999999</v>
      </c>
      <c r="AB51" s="939">
        <f>VLOOKUP($D$3&amp;"_"&amp;AB$3,データシート2!$A:$SI,MATCH($R$2&amp;"_"&amp;$C51,データシート2!$A$1:$SI$1,0),0)</f>
        <v>10.512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2025-03-04T09:36:39Z</dcterms:created>
  <dcterms:modified xsi:type="dcterms:W3CDTF">2025-03-04T09:36:39Z</dcterms:modified>
  <cp:category/>
  <cp:contentStatus/>
</cp:coreProperties>
</file>