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8D7BFA-37D8-4926-B046-DD66AACC11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<sst xmlns="http://schemas.openxmlformats.org/spreadsheetml/2006/main" count="16761" uniqueCount="2488">
  <si>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</si>
  <si>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</si>
  <si>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</si>
  <si>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</si>
  <si>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</si>
  <si>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</si>
  <si>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</si>
  <si>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</si>
  <si>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</si>
  <si>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</si>
  <si>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</si>
  <si>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</si>
  <si>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</si>
  <si>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</si>
  <si>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</si>
  <si>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</si>
  <si>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</si>
  <si>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</si>
  <si>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</si>
  <si>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</si>
  <si>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</si>
  <si>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</si>
  <si>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</si>
  <si>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</si>
  <si>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</si>
  <si>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</si>
  <si>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</si>
  <si>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</si>
  <si>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</si>
  <si>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</si>
  <si>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</si>
  <si>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</si>
  <si>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</si>
  <si>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</si>
  <si>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</si>
  <si>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</si>
  <si>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</si>
  <si>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</si>
  <si>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</si>
  <si>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</si>
  <si>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</si>
  <si>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</si>
  <si>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</si>
  <si>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</si>
  <si>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</si>
  <si>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</si>
  <si>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</si>
  <si>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</si>
  <si>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</si>
  <si>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</si>
  <si>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</si>
  <si>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</si>
  <si>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</si>
  <si>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</si>
  <si>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</si>
  <si>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</si>
  <si>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</si>
  <si>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</si>
  <si>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</si>
  <si>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</si>
  <si>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</si>
  <si>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</si>
  <si>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</si>
  <si>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</si>
  <si>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</si>
  <si>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</si>
  <si>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</si>
  <si>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</si>
  <si>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</si>
  <si>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</si>
  <si>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</si>
  <si>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</si>
  <si>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</si>
  <si>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</si>
  <si>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</si>
  <si>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</si>
  <si>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</si>
  <si>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</si>
  <si>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</si>
  <si>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</si>
  <si>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</si>
  <si>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</si>
  <si>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</si>
  <si>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</si>
  <si>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</si>
  <si>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</si>
  <si>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</si>
  <si>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</si>
  <si>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</si>
  <si>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</si>
  <si>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</si>
  <si>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</si>
  <si>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</si>
  <si>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</si>
  <si>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</si>
  <si>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</si>
  <si>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</si>
  <si>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</si>
  <si>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</si>
  <si>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</si>
  <si>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</si>
  <si>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</si>
  <si>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</si>
  <si>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</si>
  <si>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</si>
  <si>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</si>
  <si>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</si>
  <si>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</si>
  <si>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</si>
  <si>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</si>
  <si>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</si>
  <si>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</si>
  <si>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</si>
  <si>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</si>
  <si>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</si>
  <si>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</si>
  <si>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</si>
  <si>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</si>
  <si>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</si>
  <si>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</si>
  <si>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</si>
  <si>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</si>
  <si>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</si>
  <si>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</si>
  <si>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</si>
  <si>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</si>
  <si>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</si>
  <si>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</si>
  <si>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</si>
  <si>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</si>
  <si>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</si>
  <si>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</si>
  <si>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</si>
  <si>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</si>
  <si>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</si>
  <si>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</si>
  <si>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</si>
  <si>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</si>
  <si>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</si>
  <si>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</si>
  <si>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</si>
  <si>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</si>
  <si>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</si>
  <si>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</si>
  <si>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</si>
  <si>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</si>
  <si>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</si>
  <si>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</si>
  <si>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</si>
  <si>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</si>
  <si>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</si>
  <si>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</si>
  <si>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</si>
  <si>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</si>
  <si>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</si>
  <si>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</si>
  <si>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</si>
  <si>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</si>
  <si>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</si>
  <si>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</si>
  <si>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</si>
  <si>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</si>
  <si>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</si>
  <si>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</si>
  <si>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</si>
  <si>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</si>
  <si>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</si>
  <si>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</si>
  <si>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</si>
  <si>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</si>
  <si>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</si>
  <si>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</si>
  <si>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</si>
  <si>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</si>
  <si>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</si>
  <si>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</si>
  <si>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</si>
  <si>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</si>
  <si>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</si>
  <si>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</si>
  <si>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</si>
  <si>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</si>
  <si>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</si>
  <si>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</si>
  <si>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</si>
  <si>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</si>
  <si>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</si>
  <si>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</si>
  <si>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</si>
  <si>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</si>
  <si>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</si>
  <si>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</si>
  <si>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</si>
  <si>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</si>
  <si>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</si>
  <si>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</si>
  <si>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</si>
  <si>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</si>
  <si>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</si>
  <si>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</si>
  <si>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</si>
  <si>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</si>
  <si>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</si>
  <si>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</si>
  <si>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</si>
  <si>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</si>
  <si>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</si>
  <si>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</si>
  <si>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</si>
  <si>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</si>
  <si>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</si>
  <si>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</si>
  <si>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</si>
  <si>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</si>
  <si>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</si>
  <si>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</si>
  <si>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</si>
  <si>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</si>
  <si>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</si>
  <si>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</si>
  <si>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</si>
  <si>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</si>
  <si>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</si>
  <si>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</si>
  <si>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</si>
  <si>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</si>
  <si>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</si>
  <si>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</si>
  <si>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</si>
  <si>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</si>
  <si>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</si>
  <si>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</si>
  <si>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</si>
  <si>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</si>
  <si>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</si>
  <si>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</si>
  <si>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</si>
  <si>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</si>
  <si>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</si>
  <si>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</si>
  <si>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</si>
  <si>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</si>
  <si>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</si>
  <si>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</si>
  <si>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</si>
  <si>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</si>
  <si>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</si>
  <si>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</si>
  <si>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</si>
  <si>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</si>
  <si>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</si>
  <si>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</si>
  <si>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</si>
  <si>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</si>
  <si>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</si>
  <si>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</si>
  <si>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</si>
  <si>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</si>
  <si>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</si>
  <si>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</si>
  <si>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</si>
  <si>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</si>
  <si>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</si>
  <si>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</si>
  <si>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</si>
  <si>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</si>
  <si>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</si>
  <si>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</si>
  <si>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</si>
  <si>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</si>
  <si>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</si>
  <si>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</si>
  <si>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</si>
  <si>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</si>
  <si>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</si>
  <si>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</si>
  <si>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</si>
  <si>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</si>
  <si>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</si>
  <si>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</si>
  <si>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</si>
  <si>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</si>
  <si>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</si>
  <si>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</si>
  <si>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</si>
  <si>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</si>
  <si>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</si>
  <si>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</si>
  <si>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</si>
  <si>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</si>
  <si>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</si>
  <si>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</si>
  <si>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</si>
  <si>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</si>
  <si>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</si>
  <si>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</si>
  <si>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</si>
  <si>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</si>
  <si>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</si>
  <si>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</si>
  <si>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</si>
  <si>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</si>
  <si>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</si>
  <si>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</si>
  <si>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</si>
  <si>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</si>
  <si>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</si>
  <si>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</si>
  <si>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</si>
  <si>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</si>
  <si>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</si>
  <si>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</si>
  <si>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</si>
  <si>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</si>
  <si>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</si>
  <si>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</si>
  <si>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</si>
  <si>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</si>
  <si>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</si>
  <si>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</si>
  <si>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</si>
  <si>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</si>
  <si>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</si>
  <si>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</si>
  <si>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</si>
  <si>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</si>
  <si>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</si>
  <si>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</si>
  <si>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</si>
  <si>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</si>
  <si>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</si>
  <si>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</si>
  <si>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</si>
  <si>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</si>
  <si>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</si>
  <si>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</si>
  <si>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</si>
  <si>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</si>
  <si>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</si>
  <si>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</si>
  <si>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</si>
  <si>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</si>
  <si>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</si>
  <si>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</si>
  <si>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</si>
  <si>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</si>
  <si>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</si>
  <si>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</si>
  <si>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</si>
  <si>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</si>
  <si>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</si>
  <si>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</si>
  <si>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</si>
  <si>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</si>
  <si>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</si>
  <si>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</si>
  <si>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</si>
  <si>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</si>
  <si>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</si>
  <si>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</si>
  <si>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</si>
  <si>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</si>
  <si>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</si>
  <si>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</si>
  <si>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</si>
  <si>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</si>
  <si>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</si>
  <si>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</si>
  <si>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</si>
  <si>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</si>
  <si>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</si>
  <si>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</si>
  <si>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</si>
  <si>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</si>
  <si>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</si>
  <si>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</si>
  <si>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</si>
  <si>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</si>
  <si>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</si>
  <si>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</si>
  <si>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</si>
  <si>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</si>
  <si>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</si>
  <si>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</si>
  <si>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</si>
  <si>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</si>
  <si>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</si>
  <si>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</si>
  <si>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</si>
  <si>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</si>
  <si>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</si>
  <si>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</si>
  <si>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</si>
  <si>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</si>
  <si>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</si>
  <si>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</si>
  <si>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</si>
  <si>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</si>
  <si>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</si>
  <si>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</si>
  <si>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</si>
  <si>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</si>
  <si>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</si>
  <si>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</si>
  <si>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</si>
  <si>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</si>
  <si>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</si>
  <si>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</si>
  <si>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</si>
  <si>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</si>
  <si>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</si>
  <si>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</si>
  <si>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</si>
  <si>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</si>
  <si>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</si>
  <si>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</si>
  <si>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</si>
  <si>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</si>
  <si>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</si>
  <si>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</si>
  <si>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</si>
  <si>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</si>
  <si>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</si>
  <si>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</si>
  <si>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</si>
  <si>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</si>
  <si>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</si>
  <si>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</si>
  <si>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</si>
  <si>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</si>
  <si>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</si>
  <si>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</si>
  <si>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</si>
  <si>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</si>
  <si>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</si>
  <si>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</si>
  <si>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</si>
  <si>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</si>
  <si>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</si>
  <si>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</si>
  <si>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</si>
  <si>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</si>
  <si>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</si>
  <si>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</si>
  <si>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</si>
  <si>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</si>
  <si>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</si>
  <si>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</si>
  <si>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</si>
  <si>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</si>
  <si>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</si>
  <si>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</si>
  <si>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</si>
  <si>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</si>
  <si>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</si>
  <si>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</si>
  <si>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</si>
  <si>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</si>
  <si>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</si>
  <si>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</si>
  <si>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</si>
  <si>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</si>
  <si>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</si>
  <si>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</si>
  <si>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</si>
  <si>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</si>
  <si>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</si>
  <si>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</si>
  <si>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</si>
  <si>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</si>
  <si>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</si>
  <si>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</si>
  <si>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</si>
  <si>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</si>
  <si>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</si>
  <si>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</si>
  <si>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</si>
  <si>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</si>
  <si>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</si>
  <si>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</si>
  <si>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</si>
  <si>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</si>
  <si>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</si>
  <si>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</si>
  <si>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</si>
  <si>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</si>
  <si>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</si>
  <si>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</si>
  <si>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</si>
  <si>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</si>
  <si>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</si>
  <si>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</si>
  <si>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</si>
  <si>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</si>
  <si>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</si>
  <si>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</si>
  <si>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</si>
  <si>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</si>
  <si>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</si>
  <si>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</si>
  <si>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</si>
  <si>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</si>
  <si>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</si>
  <si>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</si>
  <si>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</si>
  <si>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</si>
  <si>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</si>
  <si>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</si>
  <si>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</si>
  <si>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</si>
  <si>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</si>
  <si>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</si>
  <si>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</si>
  <si>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</si>
  <si>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</si>
  <si>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</si>
  <si>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</si>
  <si>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</si>
  <si>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</si>
  <si>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</si>
  <si>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</si>
  <si>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</si>
  <si>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</si>
  <si>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</si>
  <si>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</si>
  <si>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</si>
  <si>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</si>
  <si>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</si>
  <si>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</si>
  <si>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</si>
  <si>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</si>
  <si>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</si>
  <si>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</si>
  <si>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</si>
  <si>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</si>
  <si>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</si>
  <si>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</si>
  <si>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</si>
  <si>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</si>
  <si>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</si>
  <si>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</si>
  <si>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</si>
  <si>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</si>
  <si>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</si>
  <si>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</si>
  <si>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</si>
  <si>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</si>
  <si>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</si>
  <si>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</si>
  <si>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</si>
  <si>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</si>
  <si>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</si>
  <si>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</si>
  <si>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</si>
  <si>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</si>
  <si>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</si>
  <si>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</si>
  <si>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</si>
  <si>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</si>
  <si>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</si>
  <si>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</si>
  <si>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</si>
  <si>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</si>
  <si>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</si>
  <si>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</si>
  <si>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</si>
  <si>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</si>
  <si>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</si>
  <si>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</si>
  <si>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</si>
  <si>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</si>
  <si>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</si>
  <si>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</si>
  <si>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</si>
  <si>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</si>
  <si>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</si>
  <si>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</si>
  <si>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</si>
  <si>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</si>
  <si>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</si>
  <si>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</si>
  <si>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</si>
  <si>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</si>
  <si>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</si>
  <si>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</si>
  <si>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</si>
  <si>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</si>
  <si>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</si>
  <si>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</si>
  <si>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</si>
  <si>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</si>
  <si>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</si>
  <si>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</si>
  <si>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</si>
  <si>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</si>
  <si>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</si>
  <si>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</si>
  <si>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</si>
  <si>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</si>
  <si>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</si>
  <si>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</si>
  <si>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</si>
  <si>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</si>
  <si>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</si>
  <si>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</si>
  <si>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</si>
  <si>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</si>
  <si>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</si>
  <si>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</si>
  <si>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</si>
  <si>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</si>
  <si>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</si>
  <si>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</si>
  <si>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</si>
  <si>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</si>
  <si>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</si>
  <si>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</si>
  <si>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</si>
  <si>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</si>
  <si>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</si>
  <si>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</si>
  <si>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</si>
  <si>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</si>
  <si>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</si>
  <si>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</si>
  <si>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</si>
  <si>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</si>
  <si>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</si>
  <si>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</si>
  <si>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</si>
  <si>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</si>
  <si>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</si>
  <si>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</si>
  <si>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</si>
  <si>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</si>
  <si>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</si>
  <si>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</si>
  <si>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</si>
  <si>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</si>
  <si>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</si>
  <si>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</si>
  <si>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</si>
  <si>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</si>
  <si>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</si>
  <si>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</si>
  <si>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</si>
  <si>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</si>
  <si>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</si>
  <si>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</si>
  <si>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</si>
  <si>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</si>
  <si>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</si>
  <si>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</si>
  <si>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</si>
  <si>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</si>
  <si>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</si>
  <si>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</si>
  <si>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</si>
  <si>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</si>
  <si>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</si>
  <si>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</si>
  <si>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</si>
  <si>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</si>
  <si>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</si>
  <si>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</si>
  <si>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</si>
  <si>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</si>
  <si>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</si>
  <si>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</si>
  <si>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</si>
  <si>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</si>
  <si>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</si>
  <si>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</si>
  <si>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</si>
  <si>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</si>
  <si>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</si>
  <si>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</si>
  <si>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</si>
  <si>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</si>
  <si>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</si>
  <si>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</si>
  <si>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</si>
  <si>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</si>
  <si>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</si>
  <si>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</si>
  <si>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</si>
  <si>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</si>
  <si>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</si>
  <si>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</si>
  <si>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</si>
  <si>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</si>
  <si>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</si>
  <si>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</si>
  <si>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</si>
  <si>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</si>
  <si>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</si>
  <si>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</si>
  <si>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</si>
  <si>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</si>
  <si>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</si>
  <si>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</si>
  <si>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</si>
  <si>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</si>
  <si>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</si>
  <si>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</si>
  <si>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</si>
  <si>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</si>
  <si>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</si>
  <si>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</si>
  <si>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</si>
  <si>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</si>
  <si>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</si>
  <si>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</si>
  <si>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</si>
  <si>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</si>
  <si>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</si>
  <si>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</si>
  <si>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</si>
  <si>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</si>
  <si>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</si>
  <si>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</si>
  <si>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</si>
  <si>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</si>
  <si>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</si>
  <si>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</si>
  <si>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</si>
  <si>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</si>
  <si>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</si>
  <si>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</si>
  <si>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</si>
  <si>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</si>
  <si>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</si>
  <si>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</si>
  <si>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</si>
  <si>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</si>
  <si>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</si>
  <si>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</si>
  <si>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</si>
  <si>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</si>
  <si>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</si>
  <si>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</si>
  <si>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</si>
  <si>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</si>
  <si>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</si>
  <si>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</si>
  <si>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</si>
  <si>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</si>
  <si>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</si>
  <si>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</si>
  <si>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</si>
  <si>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</si>
  <si>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</si>
  <si>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</si>
  <si>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</si>
  <si>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</si>
  <si>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</si>
  <si>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</si>
  <si>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</si>
  <si>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</si>
  <si>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</si>
  <si>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</si>
  <si>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</si>
  <si>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</si>
  <si>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</si>
  <si>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</si>
  <si>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</si>
  <si>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</si>
  <si>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</si>
  <si>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</si>
  <si>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</si>
  <si>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</si>
  <si>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</si>
  <si>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</si>
  <si>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</si>
  <si>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</si>
  <si>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</si>
  <si>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</si>
  <si>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</si>
  <si>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</si>
  <si>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</si>
  <si>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</si>
  <si>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</si>
  <si>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</si>
  <si>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</si>
  <si>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</si>
  <si>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</si>
  <si>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</si>
  <si>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</si>
  <si>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</si>
  <si>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</si>
  <si>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</si>
  <si>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</si>
  <si>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</si>
  <si>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</si>
  <si>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</si>
  <si>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</si>
  <si>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</si>
  <si>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</si>
  <si>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</si>
  <si>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</si>
  <si>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</si>
  <si>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</si>
  <si>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</si>
  <si>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</si>
  <si>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</si>
  <si>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</si>
  <si>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</si>
  <si>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</si>
  <si>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</si>
  <si>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</si>
  <si>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</si>
  <si>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</si>
  <si>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</si>
  <si>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</si>
  <si>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</si>
  <si>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</si>
  <si>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</si>
  <si>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</si>
  <si>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</si>
  <si>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</si>
  <si>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</si>
  <si>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</si>
  <si>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</si>
  <si>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</si>
  <si>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</si>
  <si>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</si>
  <si>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</si>
  <si>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</si>
  <si>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</si>
  <si>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</si>
  <si>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</si>
  <si>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</si>
  <si>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</si>
  <si>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</si>
  <si>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</si>
  <si>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</si>
  <si>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</si>
  <si>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</si>
  <si>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</si>
  <si>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</si>
  <si>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</si>
  <si>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</si>
  <si>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</si>
  <si>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</si>
  <si>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</si>
  <si>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</si>
  <si>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</si>
  <si>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</si>
  <si>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</si>
  <si>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</si>
  <si>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</si>
  <si>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</si>
  <si>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</si>
  <si>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</si>
  <si>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</si>
  <si>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</si>
  <si>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</si>
  <si>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</si>
  <si>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</si>
  <si>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</si>
  <si>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</si>
  <si>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</si>
  <si>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</si>
  <si>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</si>
  <si>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</si>
  <si>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</si>
  <si>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</si>
  <si>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</si>
  <si>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</si>
  <si>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</si>
  <si>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</si>
  <si>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</si>
  <si>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</si>
  <si>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</si>
  <si>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</si>
  <si>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</si>
  <si>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</si>
  <si>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</si>
  <si>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</si>
  <si>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</si>
  <si>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</si>
  <si>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</si>
  <si>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</si>
  <si>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</si>
  <si>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</si>
  <si>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</si>
  <si>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</si>
  <si>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</si>
  <si>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</si>
  <si>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</si>
  <si>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</si>
  <si>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</si>
  <si>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</si>
  <si>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</si>
  <si>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</si>
  <si>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</si>
  <si>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</si>
  <si>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</si>
  <si>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</si>
  <si>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</si>
  <si>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</si>
  <si>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</si>
  <si>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</si>
  <si>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</si>
  <si>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</si>
  <si>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</si>
  <si>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</si>
  <si>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</si>
  <si>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</si>
  <si>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</si>
  <si>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</si>
  <si>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</si>
  <si>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</si>
  <si>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</si>
  <si>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</si>
  <si>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</si>
  <si>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</si>
  <si>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</si>
  <si>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</si>
  <si>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</si>
  <si>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</si>
  <si>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</si>
  <si>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</si>
  <si>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</si>
  <si>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</si>
  <si>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</si>
  <si>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</si>
  <si>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</si>
  <si>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</si>
  <si>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</si>
  <si>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</si>
  <si>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</si>
  <si>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</si>
  <si>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</si>
  <si>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</si>
  <si>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</si>
  <si>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</si>
  <si>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</si>
  <si>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</si>
  <si>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</si>
  <si>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</si>
  <si>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</si>
  <si>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</si>
  <si>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</si>
  <si>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</si>
  <si>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</si>
  <si>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</si>
  <si>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</si>
  <si>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</si>
  <si>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</si>
  <si>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</si>
  <si>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</si>
  <si>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</si>
  <si>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</si>
  <si>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</si>
  <si>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</si>
  <si>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</si>
  <si>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</si>
  <si>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</si>
  <si>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</si>
  <si>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</si>
  <si>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</si>
  <si>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</si>
  <si>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</si>
  <si>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</si>
  <si>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</si>
  <si>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</si>
  <si>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</si>
  <si>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</si>
  <si>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</si>
  <si>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</si>
  <si>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</si>
  <si>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</si>
  <si>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</si>
  <si>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</si>
  <si>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</si>
  <si>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</si>
  <si>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</si>
  <si>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</si>
  <si>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</si>
  <si>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</si>
  <si>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</si>
  <si>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</si>
  <si>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</si>
  <si>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</si>
  <si>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</si>
  <si>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</si>
  <si>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</si>
  <si>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</si>
  <si>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</si>
  <si>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</si>
  <si>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</si>
  <si>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</si>
  <si>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</si>
  <si>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</si>
  <si>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</si>
  <si>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</si>
  <si>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</si>
  <si>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</si>
  <si>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</si>
  <si>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</si>
  <si>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</si>
  <si>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</si>
  <si>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</si>
  <si>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</si>
  <si>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</si>
  <si>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</si>
  <si>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</si>
  <si>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</si>
  <si>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</si>
  <si>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</si>
  <si>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</si>
  <si>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</si>
  <si>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</si>
  <si>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</si>
  <si>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</si>
  <si>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</si>
  <si>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</si>
  <si>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</si>
  <si>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</si>
  <si>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</si>
  <si>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</si>
  <si>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</si>
  <si>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</si>
  <si>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</si>
  <si>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</si>
  <si>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</si>
  <si>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</si>
  <si>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</si>
  <si>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</si>
  <si>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</si>
  <si>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</si>
  <si>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</si>
  <si>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</si>
  <si>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</si>
  <si>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</si>
  <si>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</si>
  <si>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</si>
  <si>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</si>
  <si>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</si>
  <si>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</si>
  <si>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</si>
  <si>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</si>
  <si>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</si>
  <si>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</si>
  <si>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</si>
  <si>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</si>
  <si>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</si>
  <si>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</si>
  <si>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</si>
  <si>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</si>
  <si>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</si>
  <si>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</si>
  <si>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</si>
  <si>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</si>
  <si>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</si>
  <si>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</si>
  <si>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</si>
  <si>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</si>
  <si>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</si>
  <si>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</si>
  <si>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</si>
  <si>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</si>
  <si>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</si>
  <si>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</si>
  <si>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</si>
  <si>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</si>
  <si>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</si>
  <si>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</si>
  <si>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</si>
  <si>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</si>
  <si>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</si>
  <si>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</si>
  <si>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</si>
  <si>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</si>
  <si>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</si>
  <si>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</si>
  <si>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</si>
  <si>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</si>
  <si>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</si>
  <si>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</si>
  <si>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</si>
  <si>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</si>
  <si>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</si>
  <si>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</si>
  <si>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</si>
  <si>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</si>
  <si>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</si>
  <si>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</si>
  <si>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</si>
  <si>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</si>
  <si>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</si>
  <si>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</si>
  <si>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</si>
  <si>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</si>
  <si>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</si>
  <si>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</si>
  <si>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</si>
  <si>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</si>
  <si>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</si>
  <si>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</si>
  <si>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</si>
  <si>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</si>
  <si>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</si>
  <si>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</si>
  <si>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</si>
  <si>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</si>
  <si>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</si>
  <si>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</si>
  <si>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</si>
  <si>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</si>
  <si>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</si>
  <si>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</si>
  <si>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</si>
  <si>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</si>
  <si>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</si>
  <si>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</si>
  <si>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</si>
  <si>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</si>
  <si>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</si>
  <si>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</si>
  <si>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</si>
  <si>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</si>
  <si>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</si>
  <si>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</si>
  <si>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</si>
  <si>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</si>
  <si>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</si>
  <si>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</si>
  <si>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</si>
  <si>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</si>
  <si>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</si>
  <si>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</si>
  <si>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</si>
  <si>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</si>
  <si>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</si>
  <si>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</si>
  <si>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</si>
  <si>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</si>
  <si>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</si>
  <si>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</si>
  <si>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</si>
  <si>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</si>
  <si>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</si>
  <si>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</si>
  <si>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</si>
  <si>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</si>
  <si>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</si>
  <si>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</si>
  <si>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</si>
  <si>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</si>
  <si>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</si>
  <si>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</si>
  <si>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</si>
  <si>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</si>
  <si>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</si>
  <si>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</si>
  <si>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</si>
  <si>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</si>
  <si>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</si>
  <si>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</si>
  <si>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</si>
  <si>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</si>
  <si>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</si>
  <si>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</si>
  <si>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</si>
  <si>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</si>
  <si>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</si>
  <si>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</si>
  <si>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</si>
  <si>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</si>
  <si>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</si>
  <si>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</si>
  <si>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</si>
  <si>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</si>
  <si>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</si>
  <si>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</si>
  <si>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</si>
  <si>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</si>
  <si>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</si>
  <si>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</si>
  <si>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</si>
  <si>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</si>
  <si>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</si>
  <si>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</si>
  <si>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</si>
  <si>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</si>
  <si>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</si>
  <si>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</si>
  <si>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</si>
  <si>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</si>
  <si>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</si>
  <si>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</si>
  <si>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</si>
  <si>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</si>
  <si>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</si>
  <si>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</si>
  <si>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</si>
  <si>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</si>
  <si>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</si>
  <si>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</si>
  <si>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</si>
  <si>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</si>
  <si>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</si>
  <si>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</si>
  <si>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</si>
  <si>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</si>
  <si>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</si>
  <si>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</si>
  <si>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</si>
  <si>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</si>
  <si>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</si>
  <si>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</si>
  <si>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</si>
  <si>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</si>
  <si>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</si>
  <si>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</si>
  <si>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</si>
  <si>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</si>
  <si>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</si>
  <si>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</si>
  <si>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</si>
  <si>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</si>
  <si>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</si>
  <si>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</si>
  <si>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</si>
  <si>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</si>
  <si>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</si>
  <si>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</si>
  <si>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</si>
  <si>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</si>
  <si>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</si>
  <si>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</si>
  <si>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</si>
  <si>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</si>
  <si>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</si>
  <si>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</si>
  <si>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</si>
  <si>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</si>
  <si>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</si>
  <si>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</si>
  <si>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</si>
  <si>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</si>
  <si>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</si>
  <si>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</si>
  <si>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</si>
  <si>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</si>
  <si>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</si>
  <si>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</si>
  <si>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</si>
  <si>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</si>
  <si>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</si>
  <si>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</si>
  <si>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</si>
  <si>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</si>
  <si>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</si>
  <si>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</si>
  <si>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</si>
  <si>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</si>
  <si>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</si>
  <si>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</si>
  <si>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</si>
  <si>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</si>
  <si>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</si>
  <si>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</si>
  <si>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</si>
  <si>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</si>
  <si>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</si>
  <si>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</si>
  <si>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</si>
  <si>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</si>
  <si>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</si>
  <si>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</si>
  <si>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</si>
  <si>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</si>
  <si>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</si>
  <si>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</si>
  <si>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</si>
  <si>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</si>
  <si>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</si>
  <si>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</si>
  <si>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</si>
  <si>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</si>
  <si>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</si>
  <si>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</si>
  <si>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</si>
  <si>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</si>
  <si>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</si>
  <si>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</si>
  <si>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</si>
  <si>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</si>
  <si>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</si>
  <si>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</si>
  <si>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</si>
  <si>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</si>
  <si>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</si>
  <si>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</si>
  <si>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</si>
  <si>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</si>
  <si>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</si>
  <si>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</si>
  <si>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</si>
  <si>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</si>
  <si>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</si>
  <si>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</si>
  <si>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</si>
  <si>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</si>
  <si>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</si>
  <si>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</si>
  <si>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</si>
  <si>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</si>
  <si>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</si>
  <si>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</si>
  <si>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</si>
  <si>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</si>
  <si>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</si>
  <si>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</si>
  <si>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</si>
  <si>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</si>
  <si>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</si>
  <si>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</si>
  <si>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</si>
  <si>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</si>
  <si>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</si>
  <si>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</si>
  <si>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</si>
  <si>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</si>
  <si>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</si>
  <si>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</si>
  <si>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</si>
  <si>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</si>
  <si>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</si>
  <si>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</si>
  <si>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</si>
  <si>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</si>
  <si>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</si>
  <si>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</si>
  <si>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</si>
  <si>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</si>
  <si>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</si>
  <si>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</si>
  <si>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</si>
  <si>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</si>
  <si>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</si>
  <si>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</si>
  <si>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</si>
  <si>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</si>
  <si>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</si>
  <si>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</si>
  <si>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</si>
  <si>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</si>
  <si>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</si>
  <si>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</si>
  <si>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</si>
  <si>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</si>
  <si>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</si>
  <si>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</si>
  <si>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</si>
  <si>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</si>
  <si>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</si>
  <si>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</si>
  <si>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</si>
  <si>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</si>
  <si>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</si>
  <si>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</si>
  <si>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</si>
  <si>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</si>
  <si>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</si>
  <si>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</si>
  <si>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</si>
  <si>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</si>
  <si>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</si>
  <si>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</si>
  <si>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</si>
  <si>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</si>
  <si>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</si>
  <si>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</si>
  <si>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</si>
  <si>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</si>
  <si>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</si>
  <si>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</si>
  <si>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</si>
  <si>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</si>
  <si>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</si>
  <si>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</si>
  <si>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</si>
  <si>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</si>
  <si>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</si>
  <si>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</si>
  <si>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</si>
  <si>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</si>
  <si>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</si>
  <si>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</si>
  <si>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</si>
  <si>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</si>
  <si>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</si>
  <si>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</si>
  <si>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</si>
  <si>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</si>
  <si>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</si>
  <si>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</si>
  <si>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</si>
  <si>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</si>
  <si>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</si>
  <si>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</si>
  <si>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</si>
  <si>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</si>
  <si>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</si>
  <si>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</si>
  <si>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</si>
  <si>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</si>
  <si>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</si>
  <si>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</si>
  <si>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</si>
  <si>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</si>
  <si>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</si>
  <si>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</si>
  <si>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</si>
  <si>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</si>
  <si>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</si>
  <si>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</si>
  <si>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</si>
  <si>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</si>
  <si>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</si>
  <si>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</si>
  <si>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</si>
  <si>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</si>
  <si>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</si>
  <si>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</si>
  <si>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</si>
  <si>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</si>
  <si>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</si>
  <si>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</si>
  <si>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</si>
  <si>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</si>
  <si>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</si>
  <si>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</si>
  <si>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</si>
  <si>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</si>
  <si>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</si>
  <si>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</si>
  <si>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</si>
  <si>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</si>
  <si>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</si>
  <si>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</si>
  <si>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</si>
  <si>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</si>
  <si>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</si>
  <si>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</si>
  <si>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</si>
  <si>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</si>
  <si>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</si>
  <si>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</si>
  <si>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</si>
  <si>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</si>
  <si>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</si>
  <si>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</si>
  <si>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</si>
  <si>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</si>
  <si>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</si>
  <si>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</si>
  <si>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</si>
  <si>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</si>
  <si>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</si>
  <si>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</si>
  <si>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</si>
  <si>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</si>
  <si>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</si>
  <si>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</si>
  <si>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</si>
  <si>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</si>
  <si>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</si>
  <si>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</si>
  <si>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</si>
  <si>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</si>
  <si>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</si>
  <si>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</si>
  <si>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</si>
  <si>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</si>
  <si>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</si>
  <si>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</si>
  <si>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</si>
  <si>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</si>
  <si>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</si>
  <si>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</si>
  <si>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</si>
  <si>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</si>
  <si>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</si>
  <si>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</si>
  <si>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</si>
  <si>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</si>
  <si>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</si>
  <si>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</si>
  <si>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</si>
  <si>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</si>
  <si>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</si>
  <si>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</si>
  <si>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</si>
  <si>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</si>
  <si>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</si>
  <si>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</si>
  <si>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</si>
  <si>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</si>
  <si>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</si>
  <si>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</si>
  <si>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</si>
  <si>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</si>
  <si>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</si>
  <si>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</si>
  <si>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</si>
  <si>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</si>
  <si>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</si>
  <si>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</si>
  <si>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</si>
  <si>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</si>
  <si>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</si>
  <si>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</si>
  <si>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</si>
  <si>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</si>
  <si>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</si>
  <si>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</si>
  <si>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</si>
  <si>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</si>
  <si>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</si>
  <si>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</si>
  <si>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</si>
  <si>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</si>
  <si>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</si>
  <si>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</si>
  <si>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</si>
  <si>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</si>
  <si>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</si>
  <si>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</si>
  <si>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</si>
  <si>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</si>
  <si>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</si>
  <si>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</si>
  <si>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</si>
  <si>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</si>
  <si>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</si>
  <si>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</si>
  <si>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</si>
  <si>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</si>
  <si>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</si>
  <si>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</si>
  <si>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</si>
  <si>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</si>
  <si>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</si>
  <si>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</si>
  <si>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</si>
  <si>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</si>
  <si>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</si>
  <si>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</si>
  <si>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</si>
  <si>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</si>
  <si>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</si>
  <si>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</si>
  <si>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</si>
  <si>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</si>
  <si>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</si>
  <si>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</si>
  <si>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</si>
  <si>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</si>
  <si>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</si>
  <si>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</si>
  <si>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</si>
  <si>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</si>
  <si>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</si>
  <si>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</si>
  <si>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</si>
  <si>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</si>
  <si>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</si>
  <si>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</si>
  <si>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</si>
  <si>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</si>
  <si>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</si>
  <si>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</si>
  <si>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</si>
  <si>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</si>
  <si>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</si>
  <si>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</si>
  <si>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</si>
  <si>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</si>
  <si>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</si>
  <si>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</si>
  <si>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</si>
  <si>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</si>
  <si>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</si>
  <si>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</si>
  <si>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</si>
  <si>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</si>
  <si>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</si>
  <si>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</si>
  <si>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</si>
  <si>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</si>
  <si>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</si>
  <si>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</si>
  <si>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</si>
  <si>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</si>
  <si>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</si>
  <si>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</si>
  <si>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</si>
  <si>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</si>
  <si>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</si>
  <si>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</si>
  <si>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</si>
  <si>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</si>
  <si>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</si>
  <si>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</si>
  <si>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</si>
  <si>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</si>
  <si>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</si>
  <si>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</si>
  <si>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</si>
  <si>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</si>
  <si>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</si>
  <si>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</si>
  <si>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</si>
  <si>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</si>
  <si>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</si>
  <si>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</si>
  <si>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</si>
  <si>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</si>
  <si>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</si>
  <si>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</si>
  <si>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</si>
  <si>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</si>
  <si>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</si>
  <si>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</si>
  <si>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</si>
  <si>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</si>
  <si>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</si>
  <si>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</si>
  <si>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</si>
  <si>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</si>
  <si>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</si>
  <si>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府中市</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</si>
  <si>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</si>
  <si>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</si>
  <si>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</si>
  <si>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</si>
  <si>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</si>
  <si>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</si>
  <si>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</si>
  <si>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</si>
  <si>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</si>
  <si>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</si>
  <si>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</si>
  <si>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</si>
  <si>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</si>
  <si>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</si>
  <si>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</si>
  <si>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</si>
  <si>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</si>
  <si>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</si>
  <si>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</si>
  <si>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</si>
  <si>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</si>
  <si>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</si>
  <si>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</si>
  <si>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</si>
  <si>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</si>
  <si>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</si>
  <si>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</si>
  <si>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</si>
  <si>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</si>
  <si>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</si>
  <si>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</si>
  <si>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</si>
  <si>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</si>
  <si>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</si>
  <si>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</si>
  <si>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</si>
  <si>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</si>
  <si>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</si>
  <si>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</si>
  <si>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</si>
  <si>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</si>
  <si>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</si>
  <si>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</si>
  <si>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</si>
  <si>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</si>
  <si>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</si>
  <si>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</si>
  <si>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</si>
  <si>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</si>
  <si>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</si>
  <si>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</si>
  <si>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</si>
  <si>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</si>
  <si>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</si>
  <si>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</si>
  <si>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</si>
  <si>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</si>
  <si>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</si>
  <si>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</si>
  <si>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</si>
  <si>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</si>
  <si>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</si>
  <si>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</si>
  <si>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</si>
  <si>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</si>
  <si>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</si>
  <si>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</si>
  <si>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</si>
  <si>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</si>
  <si>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</si>
  <si>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</si>
  <si>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</si>
  <si>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</si>
  <si>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</si>
  <si>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</si>
  <si>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</si>
  <si>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</si>
  <si>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</si>
  <si>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</si>
  <si>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</si>
  <si>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</si>
  <si>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</si>
  <si>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</si>
  <si>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</si>
  <si>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</si>
  <si>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</si>
  <si>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</si>
  <si>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</si>
  <si>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</si>
  <si>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</si>
  <si>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</si>
  <si>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</si>
  <si>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</si>
  <si>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</si>
  <si>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</si>
  <si>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</si>
  <si>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</si>
  <si>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</si>
  <si>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</si>
  <si>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</si>
  <si>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</si>
  <si>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</si>
  <si>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</si>
  <si>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</si>
  <si>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</si>
  <si>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</si>
  <si>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</si>
  <si>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</si>
  <si>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</si>
  <si>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</si>
  <si>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</si>
  <si>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</si>
  <si>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</si>
  <si>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</si>
  <si>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</si>
  <si>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</si>
  <si>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</si>
  <si>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</si>
  <si>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</si>
  <si>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</si>
  <si>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</si>
  <si>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</si>
  <si>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</si>
  <si>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</si>
  <si>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</si>
  <si>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</si>
  <si>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</si>
  <si>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</si>
  <si>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</si>
  <si>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</si>
  <si>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</si>
  <si>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</si>
  <si>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</si>
  <si>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</si>
  <si>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</si>
  <si>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</si>
  <si>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</si>
  <si>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</si>
  <si>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</si>
  <si>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</si>
  <si>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</si>
  <si>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</si>
  <si>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</si>
  <si>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</si>
  <si>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</si>
  <si>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</si>
  <si>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</si>
  <si>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</si>
  <si>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</si>
  <si>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</si>
  <si>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</si>
  <si>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</si>
  <si>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</si>
  <si>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</si>
  <si>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</si>
  <si>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</si>
  <si>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</si>
  <si>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</si>
  <si>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</si>
  <si>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</si>
  <si>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</si>
  <si>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</si>
  <si>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</si>
  <si>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</si>
  <si>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</si>
  <si>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</si>
  <si>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</si>
  <si>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</si>
  <si>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</si>
  <si>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</si>
  <si>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</si>
  <si>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</si>
  <si>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</si>
  <si>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</si>
  <si>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</si>
  <si>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</si>
  <si>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</si>
  <si>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</si>
  <si>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</si>
  <si>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</si>
  <si>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</si>
  <si>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</si>
  <si>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</si>
  <si>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</si>
  <si>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</si>
  <si>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</si>
  <si>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</si>
  <si>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</si>
  <si>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</si>
  <si>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</si>
  <si>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</si>
  <si>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</si>
  <si>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</si>
  <si>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</si>
  <si>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</si>
  <si>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</si>
  <si>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</si>
  <si>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</si>
  <si>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</si>
  <si>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</si>
  <si>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</si>
  <si>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</si>
  <si>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</si>
  <si>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</si>
  <si>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</si>
  <si>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</si>
  <si>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</si>
  <si>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</si>
  <si>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</si>
  <si>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</si>
  <si>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</si>
  <si>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</si>
  <si>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</si>
  <si>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</si>
  <si>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</si>
  <si>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</si>
  <si>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</si>
  <si>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</si>
  <si>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</si>
  <si>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</si>
  <si>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</si>
  <si>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</si>
  <si>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</si>
  <si>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</si>
  <si>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</si>
  <si>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</si>
  <si>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</si>
  <si>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</si>
  <si>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</si>
  <si>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</si>
  <si>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</si>
  <si>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</si>
  <si>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</si>
  <si>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</si>
  <si>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</si>
  <si>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</si>
  <si>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</si>
  <si>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</si>
  <si>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</si>
  <si>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</si>
  <si>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</si>
  <si>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</si>
  <si>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</si>
  <si>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</si>
  <si>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</si>
  <si>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</si>
  <si>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</si>
  <si>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</si>
  <si>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</si>
  <si>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</si>
  <si>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</si>
  <si>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</si>
  <si>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</si>
  <si>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</si>
  <si>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</si>
  <si>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</si>
  <si>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</si>
  <si>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</si>
  <si>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</si>
  <si>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</si>
  <si>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</si>
  <si>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</si>
  <si>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</si>
  <si>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</si>
  <si>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</si>
  <si>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</si>
  <si>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</si>
  <si>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</si>
  <si>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</si>
  <si>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</si>
  <si>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</si>
  <si>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</si>
  <si>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</si>
  <si>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</si>
  <si>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</si>
  <si>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</si>
  <si>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</si>
  <si>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</si>
  <si>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</si>
  <si>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</si>
  <si>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</si>
  <si>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</si>
  <si>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</si>
  <si>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</si>
  <si>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</si>
  <si>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</si>
  <si>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</si>
  <si>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</si>
  <si>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</si>
  <si>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</si>
  <si>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</si>
  <si>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</si>
  <si>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</si>
  <si>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</si>
  <si>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</si>
  <si>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</si>
  <si>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</si>
  <si>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</si>
  <si>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</si>
  <si>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</si>
  <si>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</si>
  <si>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</si>
  <si>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</si>
  <si>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</si>
  <si>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</si>
  <si>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</si>
  <si>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</si>
  <si>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</si>
  <si>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</si>
  <si>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</si>
  <si>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</si>
  <si>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</si>
  <si>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</si>
  <si>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</si>
  <si>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</si>
  <si>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</si>
  <si>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</si>
  <si>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</si>
  <si>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</si>
  <si>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</si>
  <si>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</si>
  <si>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</si>
  <si>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</si>
  <si>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</si>
  <si>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</si>
  <si>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</si>
  <si>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</si>
  <si>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</si>
  <si>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</si>
  <si>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</si>
  <si>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</si>
  <si>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</si>
  <si>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</si>
  <si>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</si>
  <si>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</si>
  <si>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</si>
  <si>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</si>
  <si>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</si>
  <si>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</si>
  <si>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</si>
  <si>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</si>
  <si>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</si>
  <si>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</si>
  <si>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</si>
  <si>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</si>
  <si>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</si>
  <si>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</si>
  <si>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</si>
  <si>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</si>
  <si>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</si>
  <si>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</si>
  <si>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</si>
  <si>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</si>
  <si>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</si>
  <si>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</si>
  <si>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</si>
  <si>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</si>
  <si>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</si>
  <si>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</si>
  <si>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</si>
  <si>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</si>
  <si>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</si>
  <si>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</si>
  <si>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</si>
  <si>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</si>
  <si>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</si>
  <si>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</si>
  <si>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</si>
  <si>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</si>
  <si>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</si>
  <si>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</si>
  <si>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</si>
  <si>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</si>
  <si>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</si>
  <si>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</si>
  <si>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</si>
  <si>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</si>
  <si>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</si>
  <si>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</si>
  <si>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</si>
  <si>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</si>
  <si>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</si>
  <si>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</si>
  <si>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</si>
  <si>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</si>
  <si>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</si>
  <si>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</si>
  <si>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</si>
  <si>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</si>
  <si>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</si>
  <si>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</si>
  <si>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</si>
  <si>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</si>
  <si>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</si>
  <si>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</si>
  <si>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</si>
  <si>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</si>
  <si>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</si>
  <si>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</si>
  <si>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</si>
  <si>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</si>
  <si>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</si>
  <si>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</si>
  <si>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</si>
  <si>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</si>
  <si>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</si>
  <si>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</si>
  <si>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</si>
  <si>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</si>
  <si>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</si>
  <si>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</si>
  <si>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</si>
  <si>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</si>
  <si>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</si>
  <si>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</si>
  <si>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</si>
  <si>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</si>
  <si>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</si>
  <si>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</si>
  <si>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</si>
  <si>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</si>
  <si>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</si>
  <si>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</si>
  <si>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</si>
  <si>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</si>
  <si>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</si>
  <si>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</si>
  <si>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</si>
  <si>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</si>
  <si>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</si>
  <si>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</si>
  <si>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</si>
  <si>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</si>
  <si>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</si>
  <si>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</si>
  <si>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</si>
  <si>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</si>
  <si>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</si>
  <si>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</si>
  <si>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</si>
  <si>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</si>
  <si>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</si>
  <si>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</si>
  <si>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</si>
  <si>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</si>
  <si>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</si>
  <si>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</si>
  <si>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</si>
  <si>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</si>
  <si>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</si>
  <si>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</si>
  <si>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</si>
  <si>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</si>
  <si>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</si>
  <si>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</si>
  <si>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</si>
  <si>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</si>
  <si>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</si>
  <si>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</si>
  <si>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</si>
  <si>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</si>
  <si>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</si>
  <si>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</si>
  <si>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</si>
  <si>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</si>
  <si>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</si>
  <si>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</si>
  <si>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</si>
  <si>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</si>
  <si>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</si>
  <si>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</si>
  <si>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</si>
  <si>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</si>
  <si>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</si>
  <si>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</si>
  <si>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</si>
  <si>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</si>
  <si>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</si>
  <si>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</si>
  <si>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</si>
  <si>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</si>
  <si>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</si>
  <si>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</si>
  <si>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</si>
  <si>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</si>
  <si>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</si>
  <si>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</si>
  <si>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</si>
  <si>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</si>
  <si>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</si>
  <si>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</si>
  <si>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</si>
  <si>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</si>
  <si>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</si>
  <si>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</si>
  <si>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</si>
  <si>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</si>
  <si>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</si>
  <si>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</si>
  <si>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</si>
  <si>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</si>
  <si>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</si>
  <si>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</si>
  <si>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</si>
  <si>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</si>
  <si>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</si>
  <si>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</si>
  <si>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</si>
  <si>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</si>
  <si>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</si>
  <si>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</si>
  <si>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</si>
  <si>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</si>
  <si>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</si>
  <si>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</si>
  <si>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</si>
  <si>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</si>
  <si>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</si>
  <si>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</si>
  <si>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</si>
  <si>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</si>
  <si>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</si>
  <si>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</si>
  <si>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</si>
  <si>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</si>
  <si>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</si>
  <si>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</si>
  <si>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</si>
  <si>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</si>
  <si>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</si>
  <si>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</si>
  <si>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</si>
  <si>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</si>
  <si>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</si>
  <si>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</si>
  <si>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</si>
  <si>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</si>
  <si>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</si>
  <si>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</si>
  <si>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</si>
  <si>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</si>
  <si>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</si>
  <si>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</si>
  <si>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</si>
  <si>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</si>
  <si>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</si>
  <si>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</si>
  <si>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</si>
  <si>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</si>
  <si>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</si>
  <si>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</si>
  <si>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</si>
  <si>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</si>
  <si>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</si>
  <si>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</si>
  <si>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</si>
  <si>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</si>
  <si>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</si>
  <si>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</si>
  <si>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</si>
  <si>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</si>
  <si>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</si>
  <si>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</si>
  <si>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</si>
  <si>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</si>
  <si>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</si>
  <si>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</si>
  <si>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</si>
  <si>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</si>
  <si>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</si>
  <si>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</si>
  <si>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</si>
  <si>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</si>
  <si>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</si>
  <si>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</si>
  <si>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</si>
  <si>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</si>
  <si>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</si>
  <si>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</si>
  <si>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</si>
  <si>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</si>
  <si>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</si>
  <si>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</si>
  <si>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</si>
  <si>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</si>
  <si>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</si>
  <si>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</si>
  <si>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</si>
  <si>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</si>
  <si>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</si>
  <si>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</si>
  <si>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</si>
  <si>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</si>
  <si>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</si>
  <si>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</si>
  <si>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</si>
  <si>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</si>
  <si>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</si>
  <si>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</si>
  <si>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</si>
  <si>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</si>
  <si>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</si>
  <si>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</si>
  <si>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</si>
  <si>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</si>
  <si>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</si>
  <si>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</si>
  <si>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</si>
  <si>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</si>
  <si>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</si>
  <si>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</si>
  <si>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</si>
  <si>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</si>
  <si>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</si>
  <si>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</si>
  <si>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</si>
  <si>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</si>
  <si>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</si>
  <si>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</si>
  <si>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</si>
  <si>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</si>
  <si>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</si>
  <si>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</si>
  <si>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</si>
  <si>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</si>
  <si>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</si>
  <si>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</si>
  <si>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</si>
  <si>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</si>
  <si>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</si>
  <si>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</si>
  <si>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</si>
  <si>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</si>
  <si>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</si>
  <si>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</si>
  <si>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</si>
  <si>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</si>
  <si>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</si>
  <si>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</si>
  <si>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</si>
  <si>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</si>
  <si>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</si>
  <si>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</si>
  <si>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</si>
  <si>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</si>
  <si>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</si>
  <si>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</si>
  <si>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</si>
  <si>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</si>
  <si>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</si>
  <si>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</si>
  <si>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</si>
  <si>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</si>
  <si>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</si>
  <si>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</si>
  <si>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</si>
  <si>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</si>
  <si>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</si>
  <si>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</si>
  <si>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</si>
  <si>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</si>
  <si>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</si>
  <si>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</si>
  <si>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</si>
  <si>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</si>
  <si>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</si>
  <si>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</si>
  <si>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</si>
  <si>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</si>
  <si>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</si>
  <si>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</si>
  <si>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</si>
  <si>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</si>
  <si>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</si>
  <si>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</si>
  <si>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</si>
  <si>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</si>
  <si>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</si>
  <si>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</si>
  <si>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</si>
  <si>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</si>
  <si>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</si>
  <si>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</si>
  <si>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</si>
  <si>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</si>
  <si>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</si>
  <si>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</si>
  <si>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</si>
  <si>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</si>
  <si>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</si>
  <si>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</si>
  <si>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</si>
  <si>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</si>
  <si>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</si>
  <si>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</si>
  <si>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</si>
  <si>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</si>
  <si>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</si>
  <si>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</si>
  <si>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</si>
  <si>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</si>
  <si>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</si>
  <si>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</si>
  <si>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</si>
  <si>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</si>
  <si>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</si>
  <si>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</si>
  <si>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</si>
  <si>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</si>
  <si>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</si>
  <si>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</si>
  <si>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</si>
  <si>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</si>
  <si>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</si>
  <si>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</si>
  <si>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</si>
  <si>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</si>
  <si>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</si>
  <si>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</si>
  <si>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</si>
  <si>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</si>
  <si>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</si>
  <si>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</si>
  <si>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</si>
  <si>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</si>
  <si>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</si>
  <si>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</si>
  <si>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</si>
  <si>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</si>
  <si>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</si>
  <si>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</si>
  <si>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</si>
  <si>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</si>
  <si>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</si>
  <si>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</si>
  <si>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</si>
  <si>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</si>
  <si>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</si>
  <si>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</si>
  <si>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</si>
  <si>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</si>
  <si>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</si>
  <si>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</si>
  <si>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</si>
  <si>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</si>
  <si>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</si>
  <si>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</si>
  <si>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</si>
  <si>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</si>
  <si>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</si>
  <si>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</si>
  <si>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</si>
  <si>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</si>
  <si>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</si>
  <si>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</si>
  <si>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</si>
  <si>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</si>
  <si>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</si>
  <si>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</si>
  <si>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</si>
  <si>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</si>
  <si>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</si>
  <si>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</si>
  <si>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</si>
  <si>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</si>
  <si>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</si>
  <si>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</si>
  <si>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</si>
  <si>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</si>
  <si>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</si>
  <si>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</si>
  <si>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</si>
  <si>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</si>
  <si>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</si>
  <si>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</si>
  <si>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</si>
  <si>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</si>
  <si>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</si>
  <si>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</si>
  <si>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</si>
  <si>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</si>
  <si>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</si>
  <si>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</si>
  <si>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</si>
  <si>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</si>
  <si>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</si>
  <si>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</si>
  <si>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</si>
  <si>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</si>
  <si>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</si>
  <si>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</si>
  <si>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</si>
  <si>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</si>
  <si>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</si>
  <si>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</si>
  <si>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</si>
  <si>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</si>
  <si>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</si>
  <si>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</si>
  <si>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</si>
  <si>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</si>
  <si>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</si>
  <si>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</si>
  <si>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</si>
  <si>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</si>
  <si>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</si>
  <si>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</si>
  <si>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</si>
  <si>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</si>
  <si>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</si>
  <si>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</si>
  <si>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</si>
  <si>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</si>
  <si>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</si>
  <si>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</si>
  <si>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</si>
  <si>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</si>
  <si>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</si>
  <si>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</si>
  <si>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</si>
  <si>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</si>
  <si>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</si>
  <si>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</si>
  <si>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</si>
  <si>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</si>
  <si>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</si>
  <si>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</si>
  <si>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</si>
  <si>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</si>
  <si>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</si>
  <si>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</si>
  <si>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</si>
  <si>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</si>
  <si>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</si>
  <si>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</si>
  <si>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</si>
  <si>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</si>
  <si>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</si>
  <si>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</si>
  <si>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</si>
  <si>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</si>
  <si>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</si>
  <si>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</si>
  <si>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</si>
  <si>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</si>
  <si>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08231_令和7年度</t>
  </si>
  <si>
    <t>08231_令和8年度</t>
  </si>
  <si>
    <t>08231_令和9年度</t>
  </si>
  <si>
    <t>08231_令和10年度</t>
  </si>
  <si>
    <t>08231_令和11年度</t>
  </si>
  <si>
    <t>08231_令和12年度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</si>
</sst>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5.424508550483095</c:v>
                </c:pt>
                <c:pt idx="1">
                  <c:v>5.8901891515799063</c:v>
                </c:pt>
                <c:pt idx="2">
                  <c:v>6.8306133300064182</c:v>
                </c:pt>
                <c:pt idx="3">
                  <c:v>6.3252716681135874</c:v>
                </c:pt>
                <c:pt idx="4">
                  <c:v>7.9621190116906551</c:v>
                </c:pt>
                <c:pt idx="5">
                  <c:v>6.2250965977931516</c:v>
                </c:pt>
                <c:pt idx="6">
                  <c:v>6.3484698599952427</c:v>
                </c:pt>
                <c:pt idx="7">
                  <c:v>5.7529397538093958</c:v>
                </c:pt>
                <c:pt idx="8">
                  <c:v>6.2598939537679392</c:v>
                </c:pt>
                <c:pt idx="9">
                  <c:v>6.0652922432725456</c:v>
                </c:pt>
                <c:pt idx="10">
                  <c:v>6.6943570659122038</c:v>
                </c:pt>
                <c:pt idx="11">
                  <c:v>6.2135043294186554</c:v>
                </c:pt>
                <c:pt idx="12">
                  <c:v>6.0899853461006828</c:v>
                </c:pt>
                <c:pt idx="13">
                  <c:v>5.0304682369694236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116.96916329076815</c:v>
                </c:pt>
                <c:pt idx="1">
                  <c:v>117.59097511425126</c:v>
                </c:pt>
                <c:pt idx="2">
                  <c:v>114.93391608536689</c:v>
                </c:pt>
                <c:pt idx="3">
                  <c:v>114.86936048876802</c:v>
                </c:pt>
                <c:pt idx="4">
                  <c:v>112.79027033721368</c:v>
                </c:pt>
                <c:pt idx="5">
                  <c:v>109.37708128127214</c:v>
                </c:pt>
                <c:pt idx="6">
                  <c:v>108.16737609941485</c:v>
                </c:pt>
                <c:pt idx="7">
                  <c:v>105.46828965795692</c:v>
                </c:pt>
                <c:pt idx="8">
                  <c:v>103.54297520796185</c:v>
                </c:pt>
                <c:pt idx="9">
                  <c:v>100.98203940406327</c:v>
                </c:pt>
                <c:pt idx="10">
                  <c:v>99.020758254077805</c:v>
                </c:pt>
                <c:pt idx="11">
                  <c:v>89.720775871869549</c:v>
                </c:pt>
                <c:pt idx="12">
                  <c:v>89.21244084693376</c:v>
                </c:pt>
                <c:pt idx="13">
                  <c:v>90.413170179842297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46.988215343043343</c:v>
                </c:pt>
                <c:pt idx="1">
                  <c:v>52.46448991127955</c:v>
                </c:pt>
                <c:pt idx="2">
                  <c:v>56.337740442018713</c:v>
                </c:pt>
                <c:pt idx="3">
                  <c:v>62.175066888571429</c:v>
                </c:pt>
                <c:pt idx="4">
                  <c:v>61.725322754187737</c:v>
                </c:pt>
                <c:pt idx="5">
                  <c:v>60.034974939300973</c:v>
                </c:pt>
                <c:pt idx="6">
                  <c:v>56.783021415368417</c:v>
                </c:pt>
                <c:pt idx="7">
                  <c:v>50.167932953608826</c:v>
                </c:pt>
                <c:pt idx="8">
                  <c:v>54.328188327412363</c:v>
                </c:pt>
                <c:pt idx="9">
                  <c:v>51.496396008427752</c:v>
                </c:pt>
                <c:pt idx="10">
                  <c:v>49.402796611723616</c:v>
                </c:pt>
                <c:pt idx="11">
                  <c:v>47.062037757097087</c:v>
                </c:pt>
                <c:pt idx="12">
                  <c:v>49.710516337607082</c:v>
                </c:pt>
                <c:pt idx="13">
                  <c:v>52.050426293975214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53.949435284442337</c:v>
                </c:pt>
                <c:pt idx="1">
                  <c:v>51.61321808843379</c:v>
                </c:pt>
                <c:pt idx="2">
                  <c:v>62.836194429941933</c:v>
                </c:pt>
                <c:pt idx="3">
                  <c:v>68.693614676416516</c:v>
                </c:pt>
                <c:pt idx="4">
                  <c:v>67.044799592264525</c:v>
                </c:pt>
                <c:pt idx="5">
                  <c:v>54.44138856983885</c:v>
                </c:pt>
                <c:pt idx="6">
                  <c:v>60.576345336898939</c:v>
                </c:pt>
                <c:pt idx="7">
                  <c:v>44.310032754386697</c:v>
                </c:pt>
                <c:pt idx="8">
                  <c:v>40.298496317355699</c:v>
                </c:pt>
                <c:pt idx="9">
                  <c:v>42.767882758191014</c:v>
                </c:pt>
                <c:pt idx="10">
                  <c:v>41.805505425357964</c:v>
                </c:pt>
                <c:pt idx="11">
                  <c:v>34.10190950838237</c:v>
                </c:pt>
                <c:pt idx="12">
                  <c:v>36.271713126099648</c:v>
                </c:pt>
                <c:pt idx="13">
                  <c:v>34.865375635150016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201.99297765222548</c:v>
                </c:pt>
                <c:pt idx="1">
                  <c:v>224.16195888736115</c:v>
                </c:pt>
                <c:pt idx="2">
                  <c:v>175.09405687304076</c:v>
                </c:pt>
                <c:pt idx="3">
                  <c:v>263.70027815012884</c:v>
                </c:pt>
                <c:pt idx="4">
                  <c:v>280.21806709046223</c:v>
                </c:pt>
                <c:pt idx="5">
                  <c:v>261.03517590726943</c:v>
                </c:pt>
                <c:pt idx="6">
                  <c:v>241.63923343971851</c:v>
                </c:pt>
                <c:pt idx="7">
                  <c:v>231.54440491057221</c:v>
                </c:pt>
                <c:pt idx="8">
                  <c:v>199.97038279554639</c:v>
                </c:pt>
                <c:pt idx="9">
                  <c:v>200.79767564238014</c:v>
                </c:pt>
                <c:pt idx="10">
                  <c:v>193.79113592133473</c:v>
                </c:pt>
                <c:pt idx="11">
                  <c:v>162.3735161389732</c:v>
                </c:pt>
                <c:pt idx="12">
                  <c:v>185.26597545003793</c:v>
                </c:pt>
                <c:pt idx="13">
                  <c:v>181.46525074440945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30360</c:v>
                </c:pt>
                <c:pt idx="1">
                  <c:v>30537</c:v>
                </c:pt>
                <c:pt idx="2">
                  <c:v>30791</c:v>
                </c:pt>
                <c:pt idx="3">
                  <c:v>31055</c:v>
                </c:pt>
                <c:pt idx="4">
                  <c:v>31273</c:v>
                </c:pt>
                <c:pt idx="5">
                  <c:v>31403</c:v>
                </c:pt>
                <c:pt idx="6">
                  <c:v>31427</c:v>
                </c:pt>
                <c:pt idx="7">
                  <c:v>31515</c:v>
                </c:pt>
                <c:pt idx="8">
                  <c:v>31488</c:v>
                </c:pt>
                <c:pt idx="9">
                  <c:v>31301</c:v>
                </c:pt>
                <c:pt idx="10">
                  <c:v>31312</c:v>
                </c:pt>
                <c:pt idx="11">
                  <c:v>31138</c:v>
                </c:pt>
                <c:pt idx="12">
                  <c:v>30936</c:v>
                </c:pt>
                <c:pt idx="13">
                  <c:v>30831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10896</c:v>
                </c:pt>
                <c:pt idx="1">
                  <c:v>10715</c:v>
                </c:pt>
                <c:pt idx="2">
                  <c:v>10576</c:v>
                </c:pt>
                <c:pt idx="3">
                  <c:v>10445</c:v>
                </c:pt>
                <c:pt idx="4">
                  <c:v>10413</c:v>
                </c:pt>
                <c:pt idx="5">
                  <c:v>10249</c:v>
                </c:pt>
                <c:pt idx="6">
                  <c:v>10120</c:v>
                </c:pt>
                <c:pt idx="7">
                  <c:v>10044</c:v>
                </c:pt>
                <c:pt idx="8">
                  <c:v>9930</c:v>
                </c:pt>
                <c:pt idx="9">
                  <c:v>9821</c:v>
                </c:pt>
                <c:pt idx="10">
                  <c:v>9645</c:v>
                </c:pt>
                <c:pt idx="11">
                  <c:v>9656</c:v>
                </c:pt>
                <c:pt idx="12">
                  <c:v>9650</c:v>
                </c:pt>
                <c:pt idx="13">
                  <c:v>9616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14850</c:v>
                </c:pt>
                <c:pt idx="1">
                  <c:v>14903</c:v>
                </c:pt>
                <c:pt idx="2">
                  <c:v>14970</c:v>
                </c:pt>
                <c:pt idx="3">
                  <c:v>15129</c:v>
                </c:pt>
                <c:pt idx="4">
                  <c:v>15196</c:v>
                </c:pt>
                <c:pt idx="5">
                  <c:v>15221</c:v>
                </c:pt>
                <c:pt idx="6">
                  <c:v>15264</c:v>
                </c:pt>
                <c:pt idx="7">
                  <c:v>15317</c:v>
                </c:pt>
                <c:pt idx="8">
                  <c:v>15392</c:v>
                </c:pt>
                <c:pt idx="9">
                  <c:v>15362</c:v>
                </c:pt>
                <c:pt idx="10">
                  <c:v>15456</c:v>
                </c:pt>
                <c:pt idx="11">
                  <c:v>15431</c:v>
                </c:pt>
                <c:pt idx="12">
                  <c:v>15449</c:v>
                </c:pt>
                <c:pt idx="13">
                  <c:v>15478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236</c:v>
                </c:pt>
                <c:pt idx="1">
                  <c:v>236</c:v>
                </c:pt>
                <c:pt idx="2">
                  <c:v>236</c:v>
                </c:pt>
                <c:pt idx="3">
                  <c:v>236</c:v>
                </c:pt>
                <c:pt idx="4">
                  <c:v>236</c:v>
                </c:pt>
                <c:pt idx="5">
                  <c:v>298</c:v>
                </c:pt>
                <c:pt idx="6">
                  <c:v>298</c:v>
                </c:pt>
                <c:pt idx="7">
                  <c:v>298</c:v>
                </c:pt>
                <c:pt idx="8">
                  <c:v>298</c:v>
                </c:pt>
                <c:pt idx="9">
                  <c:v>298</c:v>
                </c:pt>
                <c:pt idx="10">
                  <c:v>298</c:v>
                </c:pt>
                <c:pt idx="11">
                  <c:v>233</c:v>
                </c:pt>
                <c:pt idx="12">
                  <c:v>233</c:v>
                </c:pt>
                <c:pt idx="13">
                  <c:v>233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1645</c:v>
                </c:pt>
                <c:pt idx="1">
                  <c:v>1645</c:v>
                </c:pt>
                <c:pt idx="2">
                  <c:v>1645</c:v>
                </c:pt>
                <c:pt idx="3">
                  <c:v>1645</c:v>
                </c:pt>
                <c:pt idx="4">
                  <c:v>1645</c:v>
                </c:pt>
                <c:pt idx="5">
                  <c:v>1173</c:v>
                </c:pt>
                <c:pt idx="6">
                  <c:v>1173</c:v>
                </c:pt>
                <c:pt idx="7">
                  <c:v>1173</c:v>
                </c:pt>
                <c:pt idx="8">
                  <c:v>1173</c:v>
                </c:pt>
                <c:pt idx="9">
                  <c:v>1173</c:v>
                </c:pt>
                <c:pt idx="10">
                  <c:v>1173</c:v>
                </c:pt>
                <c:pt idx="11">
                  <c:v>975</c:v>
                </c:pt>
                <c:pt idx="12">
                  <c:v>975</c:v>
                </c:pt>
                <c:pt idx="13">
                  <c:v>975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843.24360000000001</c:v>
                </c:pt>
                <c:pt idx="1">
                  <c:v>1031.0966000000001</c:v>
                </c:pt>
                <c:pt idx="2">
                  <c:v>724.19759999999997</c:v>
                </c:pt>
                <c:pt idx="3">
                  <c:v>1106.6685</c:v>
                </c:pt>
                <c:pt idx="4">
                  <c:v>1109.8585</c:v>
                </c:pt>
                <c:pt idx="5">
                  <c:v>1121.3742</c:v>
                </c:pt>
                <c:pt idx="6">
                  <c:v>1152.1815999999999</c:v>
                </c:pt>
                <c:pt idx="7">
                  <c:v>992.47950000000003</c:v>
                </c:pt>
                <c:pt idx="8">
                  <c:v>997.07150000000001</c:v>
                </c:pt>
                <c:pt idx="9">
                  <c:v>1004.6496</c:v>
                </c:pt>
                <c:pt idx="10">
                  <c:v>969.40809999999999</c:v>
                </c:pt>
                <c:pt idx="11">
                  <c:v>994.60950000000003</c:v>
                </c:pt>
                <c:pt idx="12">
                  <c:v>1049.5425</c:v>
                </c:pt>
                <c:pt idx="13">
                  <c:v>1191.3873000000001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10.404999999999999</c:v>
                </c:pt>
                <c:pt idx="1">
                  <c:v>11.449</c:v>
                </c:pt>
                <c:pt idx="2">
                  <c:v>12.273999999999999</c:v>
                </c:pt>
                <c:pt idx="3">
                  <c:v>13.202</c:v>
                </c:pt>
                <c:pt idx="4">
                  <c:v>12.058999999999999</c:v>
                </c:pt>
                <c:pt idx="5">
                  <c:v>7.2850000000000001</c:v>
                </c:pt>
                <c:pt idx="6">
                  <c:v>11.992000000000001</c:v>
                </c:pt>
                <c:pt idx="7">
                  <c:v>11.976000000000001</c:v>
                </c:pt>
                <c:pt idx="8">
                  <c:v>11.484</c:v>
                </c:pt>
                <c:pt idx="9">
                  <c:v>10.545999999999999</c:v>
                </c:pt>
                <c:pt idx="10">
                  <c:v>11.76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10.404999999999999</c:v>
                </c:pt>
                <c:pt idx="1">
                  <c:v>11.449</c:v>
                </c:pt>
                <c:pt idx="2">
                  <c:v>12.273999999999999</c:v>
                </c:pt>
                <c:pt idx="3">
                  <c:v>13.202</c:v>
                </c:pt>
                <c:pt idx="4">
                  <c:v>12.058999999999999</c:v>
                </c:pt>
                <c:pt idx="5">
                  <c:v>7.2850000000000001</c:v>
                </c:pt>
                <c:pt idx="6">
                  <c:v>11.992000000000001</c:v>
                </c:pt>
                <c:pt idx="7">
                  <c:v>11.976000000000001</c:v>
                </c:pt>
                <c:pt idx="8">
                  <c:v>11.484</c:v>
                </c:pt>
                <c:pt idx="9">
                  <c:v>10.545999999999999</c:v>
                </c:pt>
                <c:pt idx="10">
                  <c:v>11.76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62.836194429941933</c:v>
                </c:pt>
                <c:pt idx="1">
                  <c:v>68.693614676416516</c:v>
                </c:pt>
                <c:pt idx="2">
                  <c:v>67.044799592264525</c:v>
                </c:pt>
                <c:pt idx="3">
                  <c:v>54.44138856983885</c:v>
                </c:pt>
                <c:pt idx="4">
                  <c:v>60.576345336898939</c:v>
                </c:pt>
                <c:pt idx="5">
                  <c:v>44.310032754386697</c:v>
                </c:pt>
                <c:pt idx="6">
                  <c:v>40.298496317355699</c:v>
                </c:pt>
                <c:pt idx="7">
                  <c:v>42.767882758191014</c:v>
                </c:pt>
                <c:pt idx="8">
                  <c:v>41.805505425357964</c:v>
                </c:pt>
                <c:pt idx="9">
                  <c:v>34.10190950838237</c:v>
                </c:pt>
                <c:pt idx="10">
                  <c:v>36.271713126099648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175.09405687304076</c:v>
                </c:pt>
                <c:pt idx="1">
                  <c:v>263.70027815012884</c:v>
                </c:pt>
                <c:pt idx="2">
                  <c:v>280.21806709046223</c:v>
                </c:pt>
                <c:pt idx="3">
                  <c:v>261.03517590726943</c:v>
                </c:pt>
                <c:pt idx="4">
                  <c:v>241.63923343971851</c:v>
                </c:pt>
                <c:pt idx="5">
                  <c:v>231.54440491057221</c:v>
                </c:pt>
                <c:pt idx="6">
                  <c:v>199.97038279554639</c:v>
                </c:pt>
                <c:pt idx="7">
                  <c:v>200.79767564238014</c:v>
                </c:pt>
                <c:pt idx="8">
                  <c:v>193.79113592133473</c:v>
                </c:pt>
                <c:pt idx="9">
                  <c:v>162.3735161389732</c:v>
                </c:pt>
                <c:pt idx="10">
                  <c:v>185.26597545003793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5.9425203720904006E-2</c:v>
                </c:pt>
                <c:pt idx="1">
                  <c:v>4.3416715675521203E-2</c:v>
                </c:pt>
                <c:pt idx="2">
                  <c:v>4.3801601115311416E-2</c:v>
                </c:pt>
                <c:pt idx="3">
                  <c:v>5.0575559229189479E-2</c:v>
                </c:pt>
                <c:pt idx="4">
                  <c:v>4.9904975397996973E-2</c:v>
                </c:pt>
                <c:pt idx="5">
                  <c:v>3.1462647533260994E-2</c:v>
                </c:pt>
                <c:pt idx="6">
                  <c:v>5.9968880552980962E-2</c:v>
                </c:pt>
                <c:pt idx="7">
                  <c:v>5.9642124649536325E-2</c:v>
                </c:pt>
                <c:pt idx="8">
                  <c:v>5.925967637994381E-2</c:v>
                </c:pt>
                <c:pt idx="9">
                  <c:v>6.4949015398384463E-2</c:v>
                </c:pt>
                <c:pt idx="10">
                  <c:v>6.3476307354511555E-2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11.76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11.76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11.76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229.3309117700606</c:v>
                </c:pt>
                <c:pt idx="2">
                  <c:v>3.420241501249369</c:v>
                </c:pt>
                <c:pt idx="3">
                  <c:v>4.0054481587851356</c:v>
                </c:pt>
                <c:pt idx="4">
                  <c:v>43.688345175952158</c:v>
                </c:pt>
                <c:pt idx="5">
                  <c:v>53.857006376500259</c:v>
                </c:pt>
                <c:pt idx="7">
                  <c:v>122.03039684313521</c:v>
                </c:pt>
                <c:pt idx="8">
                  <c:v>2.9234462352203399</c:v>
                </c:pt>
                <c:pt idx="9">
                  <c:v>0</c:v>
                </c:pt>
                <c:pt idx="10">
                  <c:v>6.7716900303924392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236.75660143009509</c:v>
                </c:pt>
                <c:pt idx="4" formatCode="#,##0">
                  <c:v>43.688345175952158</c:v>
                </c:pt>
                <c:pt idx="5" formatCode="#,##0">
                  <c:v>53.857006376500259</c:v>
                </c:pt>
                <c:pt idx="6" formatCode="#,##0">
                  <c:v>124.95384307835555</c:v>
                </c:pt>
                <c:pt idx="10" formatCode="#,##0">
                  <c:v>6.7716900303924392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桜川市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11.76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桜川市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桜川市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桜川市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159,602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7229.7999999999865</c:v>
                </c:pt>
                <c:pt idx="1">
                  <c:v>150382.1</c:v>
                </c:pt>
                <c:pt idx="2">
                  <c:v>1990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211,919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8676.6275759999826</c:v>
                </c:pt>
                <c:pt idx="1">
                  <c:v>198919.426596</c:v>
                </c:pt>
                <c:pt idx="2">
                  <c:v>4323.2352000000001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桜川市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78.018341687999992</c:v>
                </c:pt>
                <c:pt idx="1">
                  <c:v>5.7685061159999993</c:v>
                </c:pt>
                <c:pt idx="2">
                  <c:v>0</c:v>
                </c:pt>
                <c:pt idx="3">
                  <c:v>0</c:v>
                </c:pt>
                <c:pt idx="4">
                  <c:v>6.9021942000000003</c:v>
                </c:pt>
                <c:pt idx="5">
                  <c:v>32.881606009999999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1,661,959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桜川市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1579259</c:v>
                </c:pt>
                <c:pt idx="1">
                  <c:v>82700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59754.3</c:v>
                </c:pt>
                <c:pt idx="1">
                  <c:v>75197.600000000006</c:v>
                </c:pt>
                <c:pt idx="2">
                  <c:v>87254.000000000015</c:v>
                </c:pt>
                <c:pt idx="3">
                  <c:v>96499</c:v>
                </c:pt>
                <c:pt idx="4">
                  <c:v>109051.7</c:v>
                </c:pt>
                <c:pt idx="5">
                  <c:v>118406.39999999999</c:v>
                </c:pt>
                <c:pt idx="6">
                  <c:v>126832.8</c:v>
                </c:pt>
                <c:pt idx="7">
                  <c:v>140684.10000000003</c:v>
                </c:pt>
                <c:pt idx="8">
                  <c:v>150382.1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4096.6000000000004</c:v>
                </c:pt>
                <c:pt idx="1">
                  <c:v>4501.3999999999996</c:v>
                </c:pt>
                <c:pt idx="2">
                  <c:v>4863.3</c:v>
                </c:pt>
                <c:pt idx="3">
                  <c:v>5296.5</c:v>
                </c:pt>
                <c:pt idx="4">
                  <c:v>5662.7</c:v>
                </c:pt>
                <c:pt idx="5">
                  <c:v>5908.3000000000029</c:v>
                </c:pt>
                <c:pt idx="6">
                  <c:v>6272.300000000002</c:v>
                </c:pt>
                <c:pt idx="7">
                  <c:v>6850.299999999992</c:v>
                </c:pt>
                <c:pt idx="8">
                  <c:v>7229.7999999999865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0.30056466689858752</c:v>
                </c:pt>
                <c:pt idx="1">
                  <c:v>0.4028854663409866</c:v>
                </c:pt>
                <c:pt idx="2">
                  <c:v>0.46818792351683047</c:v>
                </c:pt>
                <c:pt idx="3">
                  <c:v>0.52105462841639871</c:v>
                </c:pt>
                <c:pt idx="4">
                  <c:v>0.59965641430745509</c:v>
                </c:pt>
                <c:pt idx="5">
                  <c:v>0.6838167282567198</c:v>
                </c:pt>
                <c:pt idx="6">
                  <c:v>0.72521564793417448</c:v>
                </c:pt>
                <c:pt idx="7">
                  <c:v>0.78860539848826938</c:v>
                </c:pt>
                <c:pt idx="8">
                  <c:v>0.84134262392701653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265.39210866437361</c:v>
                </c:pt>
                <c:pt idx="2">
                  <c:v>3.4502110500909509</c:v>
                </c:pt>
                <c:pt idx="3">
                  <c:v>11.37574737599768</c:v>
                </c:pt>
                <c:pt idx="4">
                  <c:v>67.044799592264525</c:v>
                </c:pt>
                <c:pt idx="5">
                  <c:v>61.725322754187737</c:v>
                </c:pt>
                <c:pt idx="7">
                  <c:v>109.25399136723806</c:v>
                </c:pt>
                <c:pt idx="8">
                  <c:v>3.5362789699756298</c:v>
                </c:pt>
                <c:pt idx="9">
                  <c:v>0</c:v>
                </c:pt>
                <c:pt idx="10">
                  <c:v>7.9621190116906551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280.21806709046223</c:v>
                </c:pt>
                <c:pt idx="4" formatCode="#,##0">
                  <c:v>67.044799592264525</c:v>
                </c:pt>
                <c:pt idx="5" formatCode="#,##0">
                  <c:v>61.725322754187737</c:v>
                </c:pt>
                <c:pt idx="6" formatCode="#,##0">
                  <c:v>112.79027033721368</c:v>
                </c:pt>
                <c:pt idx="10" formatCode="#,##0">
                  <c:v>7.9621190116906551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953</c:v>
                </c:pt>
                <c:pt idx="1">
                  <c:v>1031</c:v>
                </c:pt>
                <c:pt idx="2">
                  <c:v>1097</c:v>
                </c:pt>
                <c:pt idx="3">
                  <c:v>1178</c:v>
                </c:pt>
                <c:pt idx="4">
                  <c:v>1245</c:v>
                </c:pt>
                <c:pt idx="5">
                  <c:v>1290</c:v>
                </c:pt>
                <c:pt idx="6">
                  <c:v>1347</c:v>
                </c:pt>
                <c:pt idx="7">
                  <c:v>1429</c:v>
                </c:pt>
                <c:pt idx="8">
                  <c:v>1495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251882.26929815364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211919.28937199997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2327412.4389999998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2167176.1579999998</c:v>
                </c:pt>
                <c:pt idx="1">
                  <c:v>160236.28099999999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207596.05417199997</c:v>
                </c:pt>
                <c:pt idx="1">
                  <c:v>4323.2352000000001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170.66472019753118</c:v>
                </c:pt>
                <c:pt idx="2">
                  <c:v>2.0222402754122113</c:v>
                </c:pt>
                <c:pt idx="3">
                  <c:v>8.7782902714660764</c:v>
                </c:pt>
                <c:pt idx="4">
                  <c:v>34.865375635150016</c:v>
                </c:pt>
                <c:pt idx="5">
                  <c:v>52.050426293975214</c:v>
                </c:pt>
                <c:pt idx="7">
                  <c:v>88.114832658523227</c:v>
                </c:pt>
                <c:pt idx="8">
                  <c:v>2.2983375213190769</c:v>
                </c:pt>
                <c:pt idx="9">
                  <c:v>0</c:v>
                </c:pt>
                <c:pt idx="10">
                  <c:v>5.0304682369694236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181.46525074440945</c:v>
                </c:pt>
                <c:pt idx="4">
                  <c:v>34.865375635150016</c:v>
                </c:pt>
                <c:pt idx="5">
                  <c:v>52.050426293975214</c:v>
                </c:pt>
                <c:pt idx="6">
                  <c:v>90.413170179842297</c:v>
                </c:pt>
                <c:pt idx="10">
                  <c:v>5.0304682369694236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桜川市</c:v>
                </c:pt>
              </c:strCache>
            </c:strRef>
          </c:cat>
          <c:val>
            <c:numRef>
              <c:f>①CO2排出量の現状把握!$AX$43:$AX$45</c:f>
              <c:numCache>
                <c:formatCode>0%</c:formatCode>
                <c:ptCount val="3"/>
                <c:pt idx="0">
                  <c:v>0.42072759503743129</c:v>
                </c:pt>
                <c:pt idx="1">
                  <c:v>0.60625520155759771</c:v>
                </c:pt>
                <c:pt idx="2">
                  <c:v>0.49877112573249544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桜川市</c:v>
                </c:pt>
              </c:strCache>
            </c:strRef>
          </c:cat>
          <c:val>
            <c:numRef>
              <c:f>①CO2排出量の現状把握!$AY$43:$AY$45</c:f>
              <c:numCache>
                <c:formatCode>0%</c:formatCode>
                <c:ptCount val="3"/>
                <c:pt idx="0">
                  <c:v>0.19118662390594171</c:v>
                </c:pt>
                <c:pt idx="1">
                  <c:v>0.10534547456501508</c:v>
                </c:pt>
                <c:pt idx="2">
                  <c:v>9.5830152512909342E-2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桜川市</c:v>
                </c:pt>
              </c:strCache>
            </c:strRef>
          </c:cat>
          <c:val>
            <c:numRef>
              <c:f>①CO2排出量の現状把握!$AZ$43:$AZ$45</c:f>
              <c:numCache>
                <c:formatCode>0%</c:formatCode>
                <c:ptCount val="3"/>
                <c:pt idx="0">
                  <c:v>0.18034974026133399</c:v>
                </c:pt>
                <c:pt idx="1">
                  <c:v>0.12059978275539801</c:v>
                </c:pt>
                <c:pt idx="2">
                  <c:v>0.14306457909160941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桜川市</c:v>
                </c:pt>
              </c:strCache>
            </c:strRef>
          </c:cat>
          <c:val>
            <c:numRef>
              <c:f>①CO2排出量の現状把握!$BA$43:$BA$45</c:f>
              <c:numCache>
                <c:formatCode>0%</c:formatCode>
                <c:ptCount val="3"/>
                <c:pt idx="0">
                  <c:v>0.19226168778726088</c:v>
                </c:pt>
                <c:pt idx="1">
                  <c:v>0.15788202611587526</c:v>
                </c:pt>
                <c:pt idx="2">
                  <c:v>0.2485075158282497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桜川市</c:v>
                </c:pt>
              </c:strCache>
            </c:strRef>
          </c:cat>
          <c:val>
            <c:numRef>
              <c:f>①CO2排出量の現状把握!$BB$43:$BB$45</c:f>
              <c:numCache>
                <c:formatCode>0%</c:formatCode>
                <c:ptCount val="3"/>
                <c:pt idx="0">
                  <c:v>1.5474353008032191E-2</c:v>
                </c:pt>
                <c:pt idx="1">
                  <c:v>9.9175150061139306E-3</c:v>
                </c:pt>
                <c:pt idx="2">
                  <c:v>1.3826626834736289E-2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11520</c:v>
                </c:pt>
                <c:pt idx="1">
                  <c:v>11520</c:v>
                </c:pt>
                <c:pt idx="2">
                  <c:v>11520</c:v>
                </c:pt>
                <c:pt idx="3">
                  <c:v>11520</c:v>
                </c:pt>
                <c:pt idx="4">
                  <c:v>11520</c:v>
                </c:pt>
                <c:pt idx="5">
                  <c:v>9657</c:v>
                </c:pt>
                <c:pt idx="6">
                  <c:v>9657</c:v>
                </c:pt>
                <c:pt idx="7">
                  <c:v>9657</c:v>
                </c:pt>
                <c:pt idx="8">
                  <c:v>9657</c:v>
                </c:pt>
                <c:pt idx="9">
                  <c:v>9657</c:v>
                </c:pt>
                <c:pt idx="10">
                  <c:v>9657</c:v>
                </c:pt>
                <c:pt idx="11">
                  <c:v>8761</c:v>
                </c:pt>
                <c:pt idx="12">
                  <c:v>8761</c:v>
                </c:pt>
                <c:pt idx="13">
                  <c:v>8761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5.424508550483095</c:v>
                </c:pt>
                <c:pt idx="1">
                  <c:v>5.8901891515799063</c:v>
                </c:pt>
                <c:pt idx="2">
                  <c:v>6.8306133300064182</c:v>
                </c:pt>
                <c:pt idx="3">
                  <c:v>6.3252716681135874</c:v>
                </c:pt>
                <c:pt idx="4">
                  <c:v>7.9621190116906551</c:v>
                </c:pt>
                <c:pt idx="5">
                  <c:v>6.2250965977931516</c:v>
                </c:pt>
                <c:pt idx="6">
                  <c:v>6.3484698599952427</c:v>
                </c:pt>
                <c:pt idx="7">
                  <c:v>5.7529397538093958</c:v>
                </c:pt>
                <c:pt idx="8">
                  <c:v>6.2598939537679392</c:v>
                </c:pt>
                <c:pt idx="9">
                  <c:v>6.0652922432725456</c:v>
                </c:pt>
                <c:pt idx="10">
                  <c:v>6.6943570659122038</c:v>
                </c:pt>
                <c:pt idx="11">
                  <c:v>6.2135043294186554</c:v>
                </c:pt>
                <c:pt idx="12">
                  <c:v>6.0899853461006828</c:v>
                </c:pt>
                <c:pt idx="13">
                  <c:v>5.0304682369694236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47625</c:v>
                </c:pt>
                <c:pt idx="1">
                  <c:v>47062</c:v>
                </c:pt>
                <c:pt idx="2">
                  <c:v>46466</c:v>
                </c:pt>
                <c:pt idx="3">
                  <c:v>46070</c:v>
                </c:pt>
                <c:pt idx="4">
                  <c:v>45715</c:v>
                </c:pt>
                <c:pt idx="5">
                  <c:v>45039</c:v>
                </c:pt>
                <c:pt idx="6">
                  <c:v>44312</c:v>
                </c:pt>
                <c:pt idx="7">
                  <c:v>43643</c:v>
                </c:pt>
                <c:pt idx="8">
                  <c:v>42990</c:v>
                </c:pt>
                <c:pt idx="9">
                  <c:v>42126</c:v>
                </c:pt>
                <c:pt idx="10">
                  <c:v>41440</c:v>
                </c:pt>
                <c:pt idx="11">
                  <c:v>40606</c:v>
                </c:pt>
                <c:pt idx="12">
                  <c:v>39845</c:v>
                </c:pt>
                <c:pt idx="13">
                  <c:v>39041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桜川市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237</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238</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238</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238</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238</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238</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1762</v>
      </c>
      <c r="B9" s="70">
        <v>1</v>
      </c>
      <c r="C9" s="70">
        <v>1</v>
      </c>
      <c r="D9" s="70">
        <v>1</v>
      </c>
      <c r="E9" s="70">
        <v>1990</v>
      </c>
      <c r="F9" s="70" t="s">
        <v>787</v>
      </c>
      <c r="G9" s="1073" t="s">
        <v>1763</v>
      </c>
      <c r="H9" s="70" t="s">
        <v>1764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1765</v>
      </c>
      <c r="B10" s="70">
        <v>2</v>
      </c>
      <c r="C10" s="70">
        <v>2</v>
      </c>
      <c r="D10" s="70">
        <v>1</v>
      </c>
      <c r="E10" s="70">
        <v>2005</v>
      </c>
      <c r="F10" s="70" t="s">
        <v>789</v>
      </c>
      <c r="G10" s="1073" t="s">
        <v>1763</v>
      </c>
      <c r="H10" s="70" t="s">
        <v>1764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1766</v>
      </c>
      <c r="B11" s="70">
        <v>3</v>
      </c>
      <c r="C11" s="70">
        <v>3</v>
      </c>
      <c r="D11" s="70">
        <v>1</v>
      </c>
      <c r="E11" s="70">
        <v>2006</v>
      </c>
      <c r="F11" s="70" t="s">
        <v>790</v>
      </c>
      <c r="G11" s="1073" t="s">
        <v>1763</v>
      </c>
      <c r="H11" s="70" t="s">
        <v>1764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1767</v>
      </c>
      <c r="B12" s="70">
        <v>4</v>
      </c>
      <c r="C12" s="70">
        <v>4</v>
      </c>
      <c r="D12" s="70">
        <v>1</v>
      </c>
      <c r="E12" s="70">
        <v>2007</v>
      </c>
      <c r="F12" s="70" t="s">
        <v>791</v>
      </c>
      <c r="G12" s="1073" t="s">
        <v>1763</v>
      </c>
      <c r="H12" s="70" t="s">
        <v>1764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1768</v>
      </c>
      <c r="B13" s="70">
        <v>5</v>
      </c>
      <c r="C13" s="70">
        <v>5</v>
      </c>
      <c r="D13" s="70">
        <v>1</v>
      </c>
      <c r="E13" s="70">
        <v>2008</v>
      </c>
      <c r="F13" s="70" t="s">
        <v>792</v>
      </c>
      <c r="G13" s="1073" t="s">
        <v>1763</v>
      </c>
      <c r="H13" s="70" t="s">
        <v>1764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1769</v>
      </c>
      <c r="B14" s="70">
        <v>6</v>
      </c>
      <c r="C14" s="70">
        <v>6</v>
      </c>
      <c r="D14" s="70">
        <v>1</v>
      </c>
      <c r="E14" s="70">
        <v>2009</v>
      </c>
      <c r="F14" s="70" t="s">
        <v>176</v>
      </c>
      <c r="G14" s="1073" t="s">
        <v>1763</v>
      </c>
      <c r="H14" s="70" t="s">
        <v>1764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1770</v>
      </c>
      <c r="B15" s="70">
        <v>7</v>
      </c>
      <c r="C15" s="70">
        <v>7</v>
      </c>
      <c r="D15" s="70">
        <v>1</v>
      </c>
      <c r="E15" s="70">
        <v>2010</v>
      </c>
      <c r="F15" s="70" t="s">
        <v>177</v>
      </c>
      <c r="G15" s="1073" t="s">
        <v>1763</v>
      </c>
      <c r="H15" s="70" t="s">
        <v>1764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1771</v>
      </c>
      <c r="B16" s="70">
        <v>8</v>
      </c>
      <c r="C16" s="70">
        <v>8</v>
      </c>
      <c r="D16" s="70">
        <v>1</v>
      </c>
      <c r="E16" s="70">
        <v>2011</v>
      </c>
      <c r="F16" s="70" t="s">
        <v>178</v>
      </c>
      <c r="G16" s="1073" t="s">
        <v>1763</v>
      </c>
      <c r="H16" s="70" t="s">
        <v>1764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10.404999999999999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10.404999999999999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10.404999999999999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10.404999999999999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1772</v>
      </c>
      <c r="B17" s="70">
        <v>9</v>
      </c>
      <c r="C17" s="70">
        <v>9</v>
      </c>
      <c r="D17" s="70">
        <v>1</v>
      </c>
      <c r="E17" s="70">
        <v>2012</v>
      </c>
      <c r="F17" s="70" t="s">
        <v>179</v>
      </c>
      <c r="G17" s="1073" t="s">
        <v>1763</v>
      </c>
      <c r="H17" s="70" t="s">
        <v>1764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11.449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11.449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11.449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11.449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1773</v>
      </c>
      <c r="B18" s="70">
        <v>10</v>
      </c>
      <c r="C18" s="70">
        <v>10</v>
      </c>
      <c r="D18" s="70">
        <v>1</v>
      </c>
      <c r="E18" s="70">
        <v>2013</v>
      </c>
      <c r="F18" s="70" t="s">
        <v>180</v>
      </c>
      <c r="G18" s="1073" t="s">
        <v>1763</v>
      </c>
      <c r="H18" s="70" t="s">
        <v>1764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12.273999999999999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12.273999999999999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12.273999999999999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12.273999999999999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1774</v>
      </c>
      <c r="B19" s="70">
        <v>11</v>
      </c>
      <c r="C19" s="70">
        <v>11</v>
      </c>
      <c r="D19" s="70">
        <v>1</v>
      </c>
      <c r="E19" s="70">
        <v>2014</v>
      </c>
      <c r="F19" s="70" t="s">
        <v>181</v>
      </c>
      <c r="G19" s="1073" t="s">
        <v>1763</v>
      </c>
      <c r="H19" s="70" t="s">
        <v>1764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13.202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13.202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13.202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13.202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1775</v>
      </c>
      <c r="B20" s="70">
        <v>12</v>
      </c>
      <c r="C20" s="70">
        <v>12</v>
      </c>
      <c r="D20" s="70">
        <v>1</v>
      </c>
      <c r="E20" s="70">
        <v>2015</v>
      </c>
      <c r="F20" s="70" t="s">
        <v>182</v>
      </c>
      <c r="G20" s="1073" t="s">
        <v>1763</v>
      </c>
      <c r="H20" s="70" t="s">
        <v>1764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12.058999999999999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12.058999999999999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12.058999999999999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12.058999999999999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1776</v>
      </c>
      <c r="B21" s="70">
        <v>13</v>
      </c>
      <c r="C21" s="70">
        <v>13</v>
      </c>
      <c r="D21" s="70">
        <v>1</v>
      </c>
      <c r="E21" s="70">
        <v>2016</v>
      </c>
      <c r="F21" s="70" t="s">
        <v>155</v>
      </c>
      <c r="G21" s="1073" t="s">
        <v>1763</v>
      </c>
      <c r="H21" s="70" t="s">
        <v>1764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7.2850000000000001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7.2850000000000001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7.2850000000000001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7.2850000000000001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1777</v>
      </c>
      <c r="B22" s="70">
        <v>14</v>
      </c>
      <c r="C22" s="70">
        <v>14</v>
      </c>
      <c r="D22" s="70">
        <v>1</v>
      </c>
      <c r="E22" s="70">
        <v>2017</v>
      </c>
      <c r="F22" s="70" t="s">
        <v>156</v>
      </c>
      <c r="G22" s="1073" t="s">
        <v>1763</v>
      </c>
      <c r="H22" s="70" t="s">
        <v>1764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11.992000000000001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11.992000000000001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11.992000000000001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11.992000000000001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1778</v>
      </c>
      <c r="B23" s="70">
        <v>15</v>
      </c>
      <c r="C23" s="70">
        <v>15</v>
      </c>
      <c r="D23" s="70">
        <v>1</v>
      </c>
      <c r="E23" s="70">
        <v>2018</v>
      </c>
      <c r="F23" s="70" t="s">
        <v>183</v>
      </c>
      <c r="G23" s="1073" t="s">
        <v>1763</v>
      </c>
      <c r="H23" s="70" t="s">
        <v>1764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11.976000000000001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11.976000000000001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11.976000000000001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11.976000000000001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1779</v>
      </c>
      <c r="B24" s="70">
        <v>16</v>
      </c>
      <c r="C24" s="70">
        <v>16</v>
      </c>
      <c r="D24" s="70">
        <v>1</v>
      </c>
      <c r="E24" s="70">
        <v>2019</v>
      </c>
      <c r="F24" s="70" t="s">
        <v>158</v>
      </c>
      <c r="G24" s="1073" t="s">
        <v>1763</v>
      </c>
      <c r="H24" s="70" t="s">
        <v>1764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11.484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11.484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11.484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11.484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1780</v>
      </c>
      <c r="B25" s="70">
        <v>17</v>
      </c>
      <c r="C25" s="70">
        <v>17</v>
      </c>
      <c r="D25" s="70">
        <v>1</v>
      </c>
      <c r="E25" s="70">
        <v>2020</v>
      </c>
      <c r="F25" s="70" t="s">
        <v>159</v>
      </c>
      <c r="G25" s="1073" t="s">
        <v>1763</v>
      </c>
      <c r="H25" s="70" t="s">
        <v>1764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10.545999999999999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10.545999999999999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10.545999999999999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10.545999999999999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1781</v>
      </c>
      <c r="B26" s="70">
        <v>18</v>
      </c>
      <c r="C26" s="70">
        <v>18</v>
      </c>
      <c r="D26" s="70">
        <v>1</v>
      </c>
      <c r="E26" s="70">
        <v>2021</v>
      </c>
      <c r="F26" s="70" t="s">
        <v>160</v>
      </c>
      <c r="G26" s="1073" t="s">
        <v>1763</v>
      </c>
      <c r="H26" s="70" t="s">
        <v>1764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11.76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11.76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11.76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11.76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1782</v>
      </c>
      <c r="B27" s="70">
        <v>19</v>
      </c>
      <c r="C27" s="70">
        <v>19</v>
      </c>
      <c r="D27" s="70">
        <v>1</v>
      </c>
      <c r="E27" s="70">
        <v>2022</v>
      </c>
      <c r="F27" s="70" t="s">
        <v>161</v>
      </c>
      <c r="G27" s="1073" t="s">
        <v>1763</v>
      </c>
      <c r="H27" s="70" t="s">
        <v>1764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1783</v>
      </c>
      <c r="B28" s="70">
        <v>20</v>
      </c>
      <c r="C28" s="70">
        <v>20</v>
      </c>
      <c r="D28" s="70">
        <v>1</v>
      </c>
      <c r="E28" s="70">
        <v>2023</v>
      </c>
      <c r="F28" s="70" t="s">
        <v>1539</v>
      </c>
      <c r="G28" s="1073" t="s">
        <v>1763</v>
      </c>
      <c r="H28" s="70" t="s">
        <v>1764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1784</v>
      </c>
      <c r="B29" s="70">
        <v>21</v>
      </c>
      <c r="C29" s="70">
        <v>21</v>
      </c>
      <c r="D29" s="70">
        <v>1</v>
      </c>
      <c r="E29" s="70">
        <v>2024</v>
      </c>
      <c r="F29" s="70" t="s">
        <v>1554</v>
      </c>
      <c r="G29" s="1073" t="s">
        <v>1763</v>
      </c>
      <c r="H29" s="70" t="s">
        <v>1764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1763</v>
      </c>
      <c r="H30" s="70" t="s">
        <v>1764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1763</v>
      </c>
      <c r="H31" s="70" t="s">
        <v>1764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1763</v>
      </c>
      <c r="H32" s="70" t="s">
        <v>1764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1763</v>
      </c>
      <c r="H33" s="70" t="s">
        <v>1764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1763</v>
      </c>
      <c r="H34" s="70" t="s">
        <v>1764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1763</v>
      </c>
      <c r="H35" s="70" t="s">
        <v>1764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1922</v>
      </c>
      <c r="B13" s="70">
        <v>5</v>
      </c>
      <c r="C13" s="70">
        <v>18</v>
      </c>
      <c r="D13" s="70">
        <v>5</v>
      </c>
      <c r="E13" s="70">
        <v>2024</v>
      </c>
      <c r="F13" s="70" t="s">
        <v>1554</v>
      </c>
      <c r="G13" s="1073" t="s">
        <v>1901</v>
      </c>
      <c r="H13" s="70" t="s">
        <v>1902</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1554</v>
      </c>
      <c r="G27" s="1073" t="s">
        <v>1763</v>
      </c>
      <c r="H27" s="70" t="s">
        <v>1764</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1680</v>
      </c>
      <c r="B32" s="70">
        <v>24</v>
      </c>
      <c r="C32" s="70">
        <v>18</v>
      </c>
      <c r="D32" s="70">
        <v>24</v>
      </c>
      <c r="E32" s="70">
        <v>2024</v>
      </c>
      <c r="F32" s="70" t="s">
        <v>1554</v>
      </c>
      <c r="G32" s="1073" t="s">
        <v>1677</v>
      </c>
      <c r="H32" s="70" t="s">
        <v>1678</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1648</v>
      </c>
      <c r="B33" s="70">
        <v>25</v>
      </c>
      <c r="C33" s="70">
        <v>18</v>
      </c>
      <c r="D33" s="70">
        <v>25</v>
      </c>
      <c r="E33" s="70">
        <v>2024</v>
      </c>
      <c r="F33" s="70" t="s">
        <v>1554</v>
      </c>
      <c r="G33" s="1073" t="s">
        <v>1645</v>
      </c>
      <c r="H33" s="70" t="s">
        <v>1646</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1717</v>
      </c>
      <c r="H37" s="70" t="s">
        <v>1718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1554</v>
      </c>
      <c r="G41" s="1073" t="s">
        <v>1661</v>
      </c>
      <c r="H41" s="70" t="s">
        <v>1662</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1656</v>
      </c>
      <c r="B45" s="70">
        <v>37</v>
      </c>
      <c r="C45" s="70">
        <v>18</v>
      </c>
      <c r="D45" s="70">
        <v>37</v>
      </c>
      <c r="E45" s="70">
        <v>2024</v>
      </c>
      <c r="F45" s="70" t="s">
        <v>1554</v>
      </c>
      <c r="G45" s="1073" t="s">
        <v>1653</v>
      </c>
      <c r="H45" s="70" t="s">
        <v>1654</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1660</v>
      </c>
      <c r="B46" s="70">
        <v>38</v>
      </c>
      <c r="C46" s="70">
        <v>18</v>
      </c>
      <c r="D46" s="70">
        <v>38</v>
      </c>
      <c r="E46" s="70">
        <v>2024</v>
      </c>
      <c r="F46" s="70" t="s">
        <v>1554</v>
      </c>
      <c r="G46" s="1073" t="s">
        <v>1657</v>
      </c>
      <c r="H46" s="70" t="s">
        <v>1658</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1676</v>
      </c>
      <c r="B51" s="70">
        <v>43</v>
      </c>
      <c r="C51" s="70">
        <v>18</v>
      </c>
      <c r="D51" s="70">
        <v>43</v>
      </c>
      <c r="E51" s="70">
        <v>2024</v>
      </c>
      <c r="F51" s="70" t="s">
        <v>1554</v>
      </c>
      <c r="G51" s="1073" t="s">
        <v>1673</v>
      </c>
      <c r="H51" s="70" t="s">
        <v>1674</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1652</v>
      </c>
      <c r="B53" s="70">
        <v>45</v>
      </c>
      <c r="C53" s="70">
        <v>18</v>
      </c>
      <c r="D53" s="70">
        <v>45</v>
      </c>
      <c r="E53" s="70">
        <v>2024</v>
      </c>
      <c r="F53" s="70" t="s">
        <v>1554</v>
      </c>
      <c r="G53" s="1073" t="s">
        <v>1649</v>
      </c>
      <c r="H53" s="70" t="s">
        <v>1650</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1920</v>
      </c>
      <c r="B193" s="70">
        <v>185</v>
      </c>
      <c r="C193" s="70">
        <v>16</v>
      </c>
      <c r="D193" s="70">
        <v>5</v>
      </c>
      <c r="E193" s="70">
        <v>2022</v>
      </c>
      <c r="F193" s="70" t="s">
        <v>161</v>
      </c>
      <c r="G193" s="1073" t="s">
        <v>1901</v>
      </c>
      <c r="H193" s="70" t="s">
        <v>1902</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1763</v>
      </c>
      <c r="H207" s="70" t="s">
        <v>1764</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1679</v>
      </c>
      <c r="B212" s="70">
        <v>204</v>
      </c>
      <c r="C212" s="70">
        <v>16</v>
      </c>
      <c r="D212" s="70">
        <v>24</v>
      </c>
      <c r="E212" s="70">
        <v>2022</v>
      </c>
      <c r="F212" s="70" t="s">
        <v>161</v>
      </c>
      <c r="G212" s="1073" t="s">
        <v>1677</v>
      </c>
      <c r="H212" s="70" t="s">
        <v>1678</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1647</v>
      </c>
      <c r="B213" s="70">
        <v>205</v>
      </c>
      <c r="C213" s="70">
        <v>16</v>
      </c>
      <c r="D213" s="70">
        <v>25</v>
      </c>
      <c r="E213" s="70">
        <v>2022</v>
      </c>
      <c r="F213" s="70" t="s">
        <v>161</v>
      </c>
      <c r="G213" s="1073" t="s">
        <v>1645</v>
      </c>
      <c r="H213" s="70" t="s">
        <v>1646</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1736</v>
      </c>
      <c r="B217" s="70">
        <v>209</v>
      </c>
      <c r="C217" s="70">
        <v>16</v>
      </c>
      <c r="D217" s="70">
        <v>29</v>
      </c>
      <c r="E217" s="70">
        <v>2022</v>
      </c>
      <c r="F217" s="70" t="s">
        <v>161</v>
      </c>
      <c r="G217" s="1073" t="s">
        <v>1717</v>
      </c>
      <c r="H217" s="70" t="s">
        <v>1718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1655</v>
      </c>
      <c r="B225" s="70">
        <v>217</v>
      </c>
      <c r="C225" s="70">
        <v>16</v>
      </c>
      <c r="D225" s="70">
        <v>37</v>
      </c>
      <c r="E225" s="70">
        <v>2022</v>
      </c>
      <c r="F225" s="70" t="s">
        <v>161</v>
      </c>
      <c r="G225" s="1073" t="s">
        <v>1653</v>
      </c>
      <c r="H225" s="70" t="s">
        <v>1654</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1659</v>
      </c>
      <c r="B226" s="70">
        <v>218</v>
      </c>
      <c r="C226" s="70">
        <v>16</v>
      </c>
      <c r="D226" s="70">
        <v>38</v>
      </c>
      <c r="E226" s="70">
        <v>2022</v>
      </c>
      <c r="F226" s="70" t="s">
        <v>161</v>
      </c>
      <c r="G226" s="1073" t="s">
        <v>1657</v>
      </c>
      <c r="H226" s="70" t="s">
        <v>1658</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1675</v>
      </c>
      <c r="B231" s="70">
        <v>223</v>
      </c>
      <c r="C231" s="70">
        <v>16</v>
      </c>
      <c r="D231" s="70">
        <v>43</v>
      </c>
      <c r="E231" s="70">
        <v>2022</v>
      </c>
      <c r="F231" s="70" t="s">
        <v>161</v>
      </c>
      <c r="G231" s="1073" t="s">
        <v>1673</v>
      </c>
      <c r="H231" s="70" t="s">
        <v>1674</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1651</v>
      </c>
      <c r="B233" s="70">
        <v>225</v>
      </c>
      <c r="C233" s="70">
        <v>16</v>
      </c>
      <c r="D233" s="70">
        <v>45</v>
      </c>
      <c r="E233" s="70">
        <v>2022</v>
      </c>
      <c r="F233" s="70" t="s">
        <v>161</v>
      </c>
      <c r="G233" s="1073" t="s">
        <v>1649</v>
      </c>
      <c r="H233" s="70" t="s">
        <v>1650</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1763</v>
      </c>
      <c r="H6" s="77" t="s">
        <v>1764</v>
      </c>
      <c r="I6" s="77" t="s">
        <v>2452</v>
      </c>
      <c r="J6" s="77" t="s">
        <v>2453</v>
      </c>
      <c r="K6" s="1080">
        <v>22</v>
      </c>
      <c r="L6" s="1081">
        <v>11</v>
      </c>
      <c r="M6" s="1044"/>
      <c r="N6" s="988">
        <v>1</v>
      </c>
      <c r="O6" s="77" t="s">
        <v>1694</v>
      </c>
      <c r="P6" s="77" t="s">
        <v>1695</v>
      </c>
      <c r="Q6" s="77" t="s">
        <v>1501</v>
      </c>
      <c r="R6" s="16"/>
      <c r="S6" s="77">
        <v>1</v>
      </c>
      <c r="T6" s="77" t="s">
        <v>1763</v>
      </c>
      <c r="U6" s="77" t="s">
        <v>1764</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2383</v>
      </c>
      <c r="AE9" s="77" t="s">
        <v>2384</v>
      </c>
      <c r="AF9" s="77" t="s">
        <v>1501</v>
      </c>
    </row>
    <row r="10" spans="1:32" ht="12">
      <c r="A10" s="16"/>
      <c r="B10" s="16"/>
      <c r="C10" s="16"/>
      <c r="D10" s="16"/>
      <c r="F10" s="75" t="s">
        <v>1501</v>
      </c>
      <c r="G10" s="76" t="s">
        <v>1763</v>
      </c>
      <c r="H10" s="77" t="s">
        <v>1764</v>
      </c>
      <c r="I10" s="77" t="s">
        <v>2452</v>
      </c>
      <c r="J10" s="77" t="s">
        <v>2453</v>
      </c>
      <c r="K10" s="1079">
        <v>22</v>
      </c>
      <c r="L10" s="1045">
        <v>11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1901</v>
      </c>
      <c r="AE10" s="77" t="s">
        <v>1902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1669</v>
      </c>
      <c r="AE11" s="77" t="s">
        <v>1670</v>
      </c>
      <c r="AF11" s="77" t="s">
        <v>1501</v>
      </c>
    </row>
    <row r="12" spans="1:32" ht="12">
      <c r="A12" s="16"/>
      <c r="B12" s="16"/>
      <c r="C12" s="16"/>
      <c r="D12" s="16"/>
      <c r="F12" s="75" t="s">
        <v>1505</v>
      </c>
      <c r="G12" s="76" t="s">
        <v>1763</v>
      </c>
      <c r="H12" s="77"/>
      <c r="I12" s="77" t="s">
        <v>1763</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1763</v>
      </c>
      <c r="AE24" s="77" t="s">
        <v>1764</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1677</v>
      </c>
      <c r="AE29" s="77" t="s">
        <v>1678</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1645</v>
      </c>
      <c r="AE30" s="77" t="s">
        <v>1646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1717</v>
      </c>
      <c r="AE34" s="77" t="s">
        <v>1718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1653</v>
      </c>
      <c r="AE42" s="77" t="s">
        <v>1654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1657</v>
      </c>
      <c r="AE43" s="77" t="s">
        <v>1658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1673</v>
      </c>
      <c r="AE48" s="77" t="s">
        <v>1674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1649</v>
      </c>
      <c r="AE50" s="77" t="s">
        <v>1650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桜川市</v>
      </c>
      <c r="K4" s="70" t="str">
        <f>HLOOKUP(K3,比較地域マスタ!$E$5:$L$6,2,0)</f>
        <v>08231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桜川市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236.75660143009509</v>
      </c>
      <c r="BB5" s="29"/>
      <c r="BC5" s="17"/>
      <c r="BD5" s="1005">
        <f>SUM(BC6:BC8)</f>
        <v>280.21806709046223</v>
      </c>
      <c r="BE5" s="29"/>
      <c r="BF5" s="17"/>
      <c r="BG5" s="1005">
        <f>AK35</f>
        <v>181.46525074440945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229.3309117700606</v>
      </c>
      <c r="BA6" s="17"/>
      <c r="BB6" s="29"/>
      <c r="BC6" s="1005">
        <f>O32</f>
        <v>265.39210866437361</v>
      </c>
      <c r="BD6" s="17"/>
      <c r="BE6" s="29"/>
      <c r="BF6" s="1005">
        <f>AK36</f>
        <v>170.66472019753118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3.420241501249369</v>
      </c>
      <c r="BA7" s="17"/>
      <c r="BB7" s="29"/>
      <c r="BC7" s="1005">
        <f>O33</f>
        <v>3.4502110500909509</v>
      </c>
      <c r="BD7" s="17"/>
      <c r="BE7" s="29"/>
      <c r="BF7" s="1005">
        <f t="shared" ref="BF7:BF8" si="0">AK37</f>
        <v>2.0222402754122113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4.0054481587851356</v>
      </c>
      <c r="BA8" s="17"/>
      <c r="BB8" s="29"/>
      <c r="BC8" s="1005">
        <f>O34</f>
        <v>11.37574737599768</v>
      </c>
      <c r="BD8" s="17"/>
      <c r="BE8" s="29"/>
      <c r="BF8" s="1005">
        <f t="shared" si="0"/>
        <v>8.7782902714660764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466.02748609129549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43.688345175952158</v>
      </c>
      <c r="BA9" s="1005">
        <f>AZ9</f>
        <v>43.688345175952158</v>
      </c>
      <c r="BB9" s="29"/>
      <c r="BC9" s="1005">
        <f>O35</f>
        <v>67.044799592264525</v>
      </c>
      <c r="BD9" s="1005">
        <f>BC9</f>
        <v>67.044799592264525</v>
      </c>
      <c r="BE9" s="29"/>
      <c r="BF9" s="1005">
        <f>AK39</f>
        <v>34.865375635150016</v>
      </c>
      <c r="BG9" s="1005">
        <f>AK39</f>
        <v>34.865375635150016</v>
      </c>
      <c r="BH9" s="29"/>
    </row>
    <row r="10" spans="1:62" ht="17.100000000000001" customHeight="1" thickBot="1">
      <c r="B10" s="323"/>
      <c r="C10" s="324"/>
      <c r="D10" s="326"/>
      <c r="E10" s="326"/>
      <c r="F10" s="326"/>
      <c r="G10" s="325"/>
      <c r="H10" s="325"/>
      <c r="I10" s="326"/>
      <c r="J10" s="327"/>
      <c r="K10" s="334"/>
      <c r="L10" s="246" t="s">
        <v>114</v>
      </c>
      <c r="M10" s="246"/>
      <c r="N10" s="563"/>
      <c r="O10" s="906">
        <f>SUM(O11:O13)</f>
        <v>236.75660143009509</v>
      </c>
      <c r="P10" s="453">
        <f t="shared" ref="P10:P22" si="1">O10/$O$9</f>
        <v>0.50803141122820838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53.857006376500259</v>
      </c>
      <c r="BA10" s="1005">
        <f>AZ10</f>
        <v>53.857006376500259</v>
      </c>
      <c r="BB10" s="29"/>
      <c r="BC10" s="1005">
        <f>O36</f>
        <v>61.725322754187737</v>
      </c>
      <c r="BD10" s="1005">
        <f>BC10</f>
        <v>61.725322754187737</v>
      </c>
      <c r="BE10" s="29"/>
      <c r="BF10" s="1005">
        <f>AK40</f>
        <v>52.050426293975214</v>
      </c>
      <c r="BG10" s="1005">
        <f>AK40</f>
        <v>52.050426293975214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229.3309117700606</v>
      </c>
      <c r="P11" s="454">
        <f t="shared" si="1"/>
        <v>0.49209739471275377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124.95384307835555</v>
      </c>
      <c r="BB11" s="29"/>
      <c r="BC11" s="1005"/>
      <c r="BD11" s="1005">
        <f>SUM(BC12:BC14)</f>
        <v>112.79027033721368</v>
      </c>
      <c r="BE11" s="29"/>
      <c r="BF11" s="17"/>
      <c r="BG11" s="1005">
        <f>AK41</f>
        <v>90.413170179842297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3.420241501249369</v>
      </c>
      <c r="P12" s="454">
        <f t="shared" si="1"/>
        <v>7.3391411522438369E-3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122.03039684313521</v>
      </c>
      <c r="BA12" s="17"/>
      <c r="BB12" s="29"/>
      <c r="BC12" s="1005">
        <f>O38</f>
        <v>109.25399136723806</v>
      </c>
      <c r="BD12" s="17"/>
      <c r="BE12" s="29"/>
      <c r="BF12" s="1005">
        <f>AK42</f>
        <v>88.114832658523227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4.0054481587851356</v>
      </c>
      <c r="P13" s="454">
        <f t="shared" si="1"/>
        <v>8.5948753632107914E-3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2.9234462352203399</v>
      </c>
      <c r="BA13" s="17"/>
      <c r="BB13" s="29"/>
      <c r="BC13" s="1005">
        <f>O41</f>
        <v>3.5362789699756298</v>
      </c>
      <c r="BD13" s="17"/>
      <c r="BE13" s="29"/>
      <c r="BF13" s="1005">
        <f>AK45</f>
        <v>2.2983375213190769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43.688345175952158</v>
      </c>
      <c r="P14" s="453">
        <f t="shared" si="1"/>
        <v>9.374628424254261E-2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53.857006376500259</v>
      </c>
      <c r="P15" s="453">
        <f t="shared" si="1"/>
        <v>0.1155661586148367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6.7716900303924392</v>
      </c>
      <c r="BA15" s="1005">
        <f>AZ15</f>
        <v>6.7716900303924392</v>
      </c>
      <c r="BB15" s="29"/>
      <c r="BC15" s="1005">
        <f>O43</f>
        <v>7.9621190116906551</v>
      </c>
      <c r="BD15" s="1005">
        <f>BC15</f>
        <v>7.9621190116906551</v>
      </c>
      <c r="BE15" s="29"/>
      <c r="BF15" s="1005">
        <f>AK47</f>
        <v>5.0304682369694236</v>
      </c>
      <c r="BG15" s="1005">
        <f>AK47</f>
        <v>5.0304682369694236</v>
      </c>
      <c r="BH15" s="29"/>
    </row>
    <row r="16" spans="1:62" ht="17.100000000000001" customHeight="1" thickBot="1">
      <c r="B16" s="323"/>
      <c r="C16" s="324"/>
      <c r="D16" s="326"/>
      <c r="E16" s="326"/>
      <c r="F16" s="326"/>
      <c r="G16" s="325"/>
      <c r="H16" s="325"/>
      <c r="I16" s="326"/>
      <c r="J16" s="327"/>
      <c r="K16" s="335"/>
      <c r="L16" s="246" t="s">
        <v>128</v>
      </c>
      <c r="M16" s="344"/>
      <c r="N16" s="345"/>
      <c r="O16" s="906">
        <f>SUM(O18:O21)</f>
        <v>124.95384307835555</v>
      </c>
      <c r="P16" s="453">
        <f t="shared" si="1"/>
        <v>0.26812547930676539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122.03039684313521</v>
      </c>
      <c r="P17" s="454">
        <f t="shared" si="1"/>
        <v>0.26185235953921671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62.80279804550814</v>
      </c>
      <c r="P18" s="454">
        <f t="shared" si="1"/>
        <v>0.13476200421621692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59.22759879762706</v>
      </c>
      <c r="P19" s="454">
        <f t="shared" si="1"/>
        <v>0.12709035532299973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2.9234462352203399</v>
      </c>
      <c r="P20" s="454">
        <f t="shared" si="1"/>
        <v>6.2731197675487153E-3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6.7716900303924392</v>
      </c>
      <c r="P22" s="612">
        <f t="shared" si="1"/>
        <v>1.4530666607646946E-2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201.99297765222548</v>
      </c>
      <c r="AZ22" s="1005">
        <f t="shared" si="3"/>
        <v>224.16195888736115</v>
      </c>
      <c r="BA22" s="1005">
        <f t="shared" si="3"/>
        <v>175.09405687304076</v>
      </c>
      <c r="BB22" s="1005">
        <f t="shared" si="3"/>
        <v>263.70027815012884</v>
      </c>
      <c r="BC22" s="1005">
        <f t="shared" si="3"/>
        <v>280.21806709046223</v>
      </c>
      <c r="BD22" s="1005">
        <f t="shared" si="3"/>
        <v>261.03517590726943</v>
      </c>
      <c r="BE22" s="1005">
        <f t="shared" si="3"/>
        <v>241.63923343971851</v>
      </c>
      <c r="BF22" s="1005">
        <f t="shared" si="3"/>
        <v>231.54440491057221</v>
      </c>
      <c r="BG22" s="1005">
        <f t="shared" si="3"/>
        <v>199.97038279554639</v>
      </c>
      <c r="BH22" s="1005">
        <f t="shared" si="3"/>
        <v>200.79767564238014</v>
      </c>
      <c r="BI22" s="1005">
        <f t="shared" si="3"/>
        <v>193.79113592133473</v>
      </c>
      <c r="BJ22" s="1005">
        <f t="shared" si="3"/>
        <v>162.3735161389732</v>
      </c>
      <c r="BK22" s="1005">
        <f t="shared" si="3"/>
        <v>185.26597545003793</v>
      </c>
      <c r="BL22" s="1005">
        <f t="shared" si="3"/>
        <v>181.46525074440945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53.949435284442337</v>
      </c>
      <c r="AZ23" s="1005">
        <f t="shared" ref="AZ23:BL23" si="4">Y39</f>
        <v>51.61321808843379</v>
      </c>
      <c r="BA23" s="1005">
        <f t="shared" si="4"/>
        <v>62.836194429941933</v>
      </c>
      <c r="BB23" s="1005">
        <f t="shared" si="4"/>
        <v>68.693614676416516</v>
      </c>
      <c r="BC23" s="1005">
        <f t="shared" si="4"/>
        <v>67.044799592264525</v>
      </c>
      <c r="BD23" s="1005">
        <f t="shared" si="4"/>
        <v>54.44138856983885</v>
      </c>
      <c r="BE23" s="1005">
        <f t="shared" si="4"/>
        <v>60.576345336898939</v>
      </c>
      <c r="BF23" s="1005">
        <f t="shared" si="4"/>
        <v>44.310032754386697</v>
      </c>
      <c r="BG23" s="1005">
        <f t="shared" si="4"/>
        <v>40.298496317355699</v>
      </c>
      <c r="BH23" s="1005">
        <f t="shared" si="4"/>
        <v>42.767882758191014</v>
      </c>
      <c r="BI23" s="1005">
        <f t="shared" si="4"/>
        <v>41.805505425357964</v>
      </c>
      <c r="BJ23" s="1005">
        <f t="shared" si="4"/>
        <v>34.10190950838237</v>
      </c>
      <c r="BK23" s="1005">
        <f t="shared" si="4"/>
        <v>36.271713126099648</v>
      </c>
      <c r="BL23" s="1005">
        <f t="shared" si="4"/>
        <v>34.865375635150016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46.988215343043343</v>
      </c>
      <c r="AZ24" s="1005">
        <f t="shared" ref="AZ24:BL24" si="5">Y40</f>
        <v>52.46448991127955</v>
      </c>
      <c r="BA24" s="1005">
        <f t="shared" si="5"/>
        <v>56.337740442018713</v>
      </c>
      <c r="BB24" s="1005">
        <f t="shared" si="5"/>
        <v>62.175066888571429</v>
      </c>
      <c r="BC24" s="1005">
        <f t="shared" si="5"/>
        <v>61.725322754187737</v>
      </c>
      <c r="BD24" s="1005">
        <f t="shared" si="5"/>
        <v>60.034974939300973</v>
      </c>
      <c r="BE24" s="1005">
        <f t="shared" si="5"/>
        <v>56.783021415368417</v>
      </c>
      <c r="BF24" s="1005">
        <f t="shared" si="5"/>
        <v>50.167932953608826</v>
      </c>
      <c r="BG24" s="1005">
        <f t="shared" si="5"/>
        <v>54.328188327412363</v>
      </c>
      <c r="BH24" s="1005">
        <f t="shared" si="5"/>
        <v>51.496396008427752</v>
      </c>
      <c r="BI24" s="1005">
        <f t="shared" si="5"/>
        <v>49.402796611723616</v>
      </c>
      <c r="BJ24" s="1005">
        <f t="shared" si="5"/>
        <v>47.062037757097087</v>
      </c>
      <c r="BK24" s="1005">
        <f t="shared" si="5"/>
        <v>49.710516337607082</v>
      </c>
      <c r="BL24" s="1005">
        <f t="shared" si="5"/>
        <v>52.050426293975214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116.96916329076815</v>
      </c>
      <c r="AZ25" s="1005">
        <f t="shared" ref="AZ25:BL25" si="6">Y41</f>
        <v>117.59097511425126</v>
      </c>
      <c r="BA25" s="1005">
        <f t="shared" si="6"/>
        <v>114.93391608536689</v>
      </c>
      <c r="BB25" s="1005">
        <f t="shared" si="6"/>
        <v>114.86936048876802</v>
      </c>
      <c r="BC25" s="1005">
        <f t="shared" si="6"/>
        <v>112.79027033721368</v>
      </c>
      <c r="BD25" s="1005">
        <f t="shared" si="6"/>
        <v>109.37708128127214</v>
      </c>
      <c r="BE25" s="1005">
        <f t="shared" si="6"/>
        <v>108.16737609941485</v>
      </c>
      <c r="BF25" s="1005">
        <f t="shared" si="6"/>
        <v>105.46828965795692</v>
      </c>
      <c r="BG25" s="1005">
        <f t="shared" si="6"/>
        <v>103.54297520796185</v>
      </c>
      <c r="BH25" s="1005">
        <f t="shared" si="6"/>
        <v>100.98203940406327</v>
      </c>
      <c r="BI25" s="1005">
        <f t="shared" si="6"/>
        <v>99.020758254077805</v>
      </c>
      <c r="BJ25" s="1005">
        <f t="shared" si="6"/>
        <v>89.720775871869549</v>
      </c>
      <c r="BK25" s="1005">
        <f t="shared" si="6"/>
        <v>89.21244084693376</v>
      </c>
      <c r="BL25" s="1005">
        <f t="shared" si="6"/>
        <v>90.413170179842297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5.424508550483095</v>
      </c>
      <c r="AZ26" s="1005">
        <f t="shared" si="7"/>
        <v>5.8901891515799063</v>
      </c>
      <c r="BA26" s="1005">
        <f t="shared" si="7"/>
        <v>6.8306133300064182</v>
      </c>
      <c r="BB26" s="1005">
        <f t="shared" si="7"/>
        <v>6.3252716681135874</v>
      </c>
      <c r="BC26" s="1005">
        <f t="shared" si="7"/>
        <v>7.9621190116906551</v>
      </c>
      <c r="BD26" s="1005">
        <f t="shared" si="7"/>
        <v>6.2250965977931516</v>
      </c>
      <c r="BE26" s="1005">
        <f t="shared" si="7"/>
        <v>6.3484698599952427</v>
      </c>
      <c r="BF26" s="1005">
        <f t="shared" si="7"/>
        <v>5.7529397538093958</v>
      </c>
      <c r="BG26" s="1005">
        <f t="shared" si="7"/>
        <v>6.2598939537679392</v>
      </c>
      <c r="BH26" s="1005">
        <f t="shared" si="7"/>
        <v>6.0652922432725456</v>
      </c>
      <c r="BI26" s="1005">
        <f t="shared" si="7"/>
        <v>6.6943570659122038</v>
      </c>
      <c r="BJ26" s="1005">
        <f t="shared" si="7"/>
        <v>6.2135043294186554</v>
      </c>
      <c r="BK26" s="1005">
        <f t="shared" si="7"/>
        <v>6.0899853461006828</v>
      </c>
      <c r="BL26" s="1005">
        <f t="shared" si="7"/>
        <v>5.0304682369694236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425.32430012096239</v>
      </c>
      <c r="AZ27" s="1005">
        <f t="shared" si="8"/>
        <v>451.72083115290565</v>
      </c>
      <c r="BA27" s="1005">
        <f t="shared" si="8"/>
        <v>416.0325211603747</v>
      </c>
      <c r="BB27" s="1005">
        <f t="shared" si="8"/>
        <v>515.76359187199841</v>
      </c>
      <c r="BC27" s="1005">
        <f t="shared" si="8"/>
        <v>529.74057878581891</v>
      </c>
      <c r="BD27" s="1005">
        <f t="shared" si="8"/>
        <v>491.11371729547454</v>
      </c>
      <c r="BE27" s="1005">
        <f t="shared" si="8"/>
        <v>473.51444615139599</v>
      </c>
      <c r="BF27" s="1005">
        <f t="shared" si="8"/>
        <v>437.24360003033411</v>
      </c>
      <c r="BG27" s="1005">
        <f t="shared" si="8"/>
        <v>404.39993660204419</v>
      </c>
      <c r="BH27" s="1005">
        <f t="shared" si="8"/>
        <v>402.10928605633467</v>
      </c>
      <c r="BI27" s="1005">
        <f t="shared" si="8"/>
        <v>390.7145532784063</v>
      </c>
      <c r="BJ27" s="1005">
        <f t="shared" si="8"/>
        <v>339.47174360574081</v>
      </c>
      <c r="BK27" s="1005">
        <f t="shared" si="8"/>
        <v>366.55063110677906</v>
      </c>
      <c r="BL27" s="1005">
        <f t="shared" si="8"/>
        <v>363.82469109034633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529.74057878581891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280.21806709046223</v>
      </c>
      <c r="P31" s="453">
        <f t="shared" ref="P31:P43" si="9">O31/$O$30</f>
        <v>0.52897225229135802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265.39210866437361</v>
      </c>
      <c r="P32" s="454">
        <f t="shared" si="9"/>
        <v>0.50098504681793521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3.4502110500909509</v>
      </c>
      <c r="P33" s="454">
        <f t="shared" si="9"/>
        <v>6.5130201239235568E-3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11.37574737599768</v>
      </c>
      <c r="P34" s="454">
        <f t="shared" si="9"/>
        <v>2.1474185349499238E-2</v>
      </c>
      <c r="Q34" s="328"/>
      <c r="R34" s="13"/>
      <c r="S34" s="323"/>
      <c r="T34" s="563" t="s">
        <v>112</v>
      </c>
      <c r="U34" s="332"/>
      <c r="V34" s="332"/>
      <c r="W34" s="332"/>
      <c r="X34" s="893">
        <f>X35+X39+X40+X41+X47</f>
        <v>425.32430012096239</v>
      </c>
      <c r="Y34" s="894">
        <f t="shared" ref="Y34:AK34" si="10">Y35+Y39+Y40+Y41+Y47</f>
        <v>451.72083115290565</v>
      </c>
      <c r="Z34" s="894">
        <f t="shared" si="10"/>
        <v>416.0325211603747</v>
      </c>
      <c r="AA34" s="894">
        <f t="shared" si="10"/>
        <v>515.76359187199841</v>
      </c>
      <c r="AB34" s="894">
        <f t="shared" si="10"/>
        <v>529.74057878581891</v>
      </c>
      <c r="AC34" s="894">
        <f t="shared" si="10"/>
        <v>491.11371729547454</v>
      </c>
      <c r="AD34" s="894">
        <f t="shared" si="10"/>
        <v>473.51444615139599</v>
      </c>
      <c r="AE34" s="894">
        <f t="shared" si="10"/>
        <v>437.24360003033411</v>
      </c>
      <c r="AF34" s="894">
        <f t="shared" si="10"/>
        <v>404.39993660204419</v>
      </c>
      <c r="AG34" s="894">
        <f t="shared" si="10"/>
        <v>402.10928605633467</v>
      </c>
      <c r="AH34" s="894">
        <f t="shared" si="10"/>
        <v>390.7145532784063</v>
      </c>
      <c r="AI34" s="894">
        <f t="shared" si="10"/>
        <v>339.47174360574081</v>
      </c>
      <c r="AJ34" s="894">
        <f t="shared" si="10"/>
        <v>366.55063110677906</v>
      </c>
      <c r="AK34" s="895">
        <f t="shared" si="10"/>
        <v>363.82469109034633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67.044799592264525</v>
      </c>
      <c r="P35" s="453">
        <f t="shared" si="9"/>
        <v>0.12656157046895142</v>
      </c>
      <c r="Q35" s="328"/>
      <c r="R35" s="13"/>
      <c r="S35" s="323"/>
      <c r="T35" s="334"/>
      <c r="U35" s="246" t="s">
        <v>114</v>
      </c>
      <c r="V35" s="344"/>
      <c r="W35" s="344"/>
      <c r="X35" s="896">
        <f>SUM(X36:X38)</f>
        <v>201.99297765222548</v>
      </c>
      <c r="Y35" s="897">
        <f t="shared" ref="Y35:AK35" si="11">SUM(Y36:Y38)</f>
        <v>224.16195888736115</v>
      </c>
      <c r="Z35" s="897">
        <f t="shared" si="11"/>
        <v>175.09405687304076</v>
      </c>
      <c r="AA35" s="897">
        <f t="shared" si="11"/>
        <v>263.70027815012884</v>
      </c>
      <c r="AB35" s="897">
        <f t="shared" si="11"/>
        <v>280.21806709046223</v>
      </c>
      <c r="AC35" s="897">
        <f t="shared" si="11"/>
        <v>261.03517590726943</v>
      </c>
      <c r="AD35" s="897">
        <f t="shared" si="11"/>
        <v>241.63923343971851</v>
      </c>
      <c r="AE35" s="897">
        <f t="shared" si="11"/>
        <v>231.54440491057221</v>
      </c>
      <c r="AF35" s="897">
        <f t="shared" si="11"/>
        <v>199.97038279554639</v>
      </c>
      <c r="AG35" s="897">
        <f t="shared" si="11"/>
        <v>200.79767564238014</v>
      </c>
      <c r="AH35" s="897">
        <f t="shared" si="11"/>
        <v>193.79113592133473</v>
      </c>
      <c r="AI35" s="897">
        <f t="shared" si="11"/>
        <v>162.3735161389732</v>
      </c>
      <c r="AJ35" s="897">
        <f t="shared" si="11"/>
        <v>185.26597545003793</v>
      </c>
      <c r="AK35" s="898">
        <f t="shared" si="11"/>
        <v>181.46525074440945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61.725322754187737</v>
      </c>
      <c r="P36" s="453">
        <f t="shared" si="9"/>
        <v>0.11651990658458523</v>
      </c>
      <c r="Q36" s="328"/>
      <c r="R36" s="13"/>
      <c r="S36" s="356" t="s">
        <v>184</v>
      </c>
      <c r="T36" s="335"/>
      <c r="U36" s="346"/>
      <c r="V36" s="336" t="s">
        <v>184</v>
      </c>
      <c r="W36" s="357"/>
      <c r="X36" s="899">
        <f>VLOOKUP(年度マスタ!$K$4&amp;"_"&amp;X$33,データシート1!$A:$BT,MATCH("aa_"&amp;$S36,データシート1!$A$1:$BT$1,0),0)</f>
        <v>187.77484782091591</v>
      </c>
      <c r="Y36" s="900">
        <f>VLOOKUP(年度マスタ!$K$4&amp;"_"&amp;Y$33,データシート1!$A:$BT,MATCH("aa_"&amp;$S36,データシート1!$A$1:$BT$1,0),0)</f>
        <v>210.2136262144875</v>
      </c>
      <c r="Z36" s="900">
        <f>VLOOKUP(年度マスタ!$K$4&amp;"_"&amp;Z$33,データシート1!$A:$BT,MATCH("aa_"&amp;$S36,データシート1!$A$1:$BT$1,0),0)</f>
        <v>159.17860611501109</v>
      </c>
      <c r="AA36" s="900">
        <f>VLOOKUP(年度マスタ!$K$4&amp;"_"&amp;AA$33,データシート1!$A:$BT,MATCH("aa_"&amp;$S36,データシート1!$A$1:$BT$1,0),0)</f>
        <v>247.97532727172259</v>
      </c>
      <c r="AB36" s="900">
        <f>VLOOKUP(年度マスタ!$K$4&amp;"_"&amp;AB$33,データシート1!$A:$BT,MATCH("aa_"&amp;$S36,データシート1!$A$1:$BT$1,0),0)</f>
        <v>265.39210866437361</v>
      </c>
      <c r="AC36" s="900">
        <f>VLOOKUP(年度マスタ!$K$4&amp;"_"&amp;AC$33,データシート1!$A:$BT,MATCH("aa_"&amp;$S36,データシート1!$A$1:$BT$1,0),0)</f>
        <v>241.2343321139175</v>
      </c>
      <c r="AD36" s="900">
        <f>VLOOKUP(年度マスタ!$K$4&amp;"_"&amp;AD$33,データシート1!$A:$BT,MATCH("aa_"&amp;$S36,データシート1!$A$1:$BT$1,0),0)</f>
        <v>221.8428581415082</v>
      </c>
      <c r="AE36" s="900">
        <f>VLOOKUP(年度マスタ!$K$4&amp;"_"&amp;AE$33,データシート1!$A:$BT,MATCH("aa_"&amp;$S36,データシート1!$A$1:$BT$1,0),0)</f>
        <v>212.06127000113514</v>
      </c>
      <c r="AF36" s="900">
        <f>VLOOKUP(年度マスタ!$K$4&amp;"_"&amp;AF$33,データシート1!$A:$BT,MATCH("aa_"&amp;$S36,データシート1!$A$1:$BT$1,0),0)</f>
        <v>180.56959036715349</v>
      </c>
      <c r="AG36" s="900">
        <f>VLOOKUP(年度マスタ!$K$4&amp;"_"&amp;AG$33,データシート1!$A:$BT,MATCH("aa_"&amp;$S36,データシート1!$A$1:$BT$1,0),0)</f>
        <v>182.58617697195456</v>
      </c>
      <c r="AH36" s="900">
        <f>VLOOKUP(年度マスタ!$K$4&amp;"_"&amp;AH$33,データシート1!$A:$BT,MATCH("aa_"&amp;$S36,データシート1!$A$1:$BT$1,0),0)</f>
        <v>175.64938123289926</v>
      </c>
      <c r="AI36" s="900">
        <f>VLOOKUP(年度マスタ!$K$4&amp;"_"&amp;AI$33,データシート1!$A:$BT,MATCH("aa_"&amp;$S36,データシート1!$A$1:$BT$1,0),0)</f>
        <v>148.73756035819181</v>
      </c>
      <c r="AJ36" s="900">
        <f>VLOOKUP(年度マスタ!$K$4&amp;"_"&amp;AJ$33,データシート1!$A:$BT,MATCH("aa_"&amp;$S36,データシート1!$A$1:$BT$1,0),0)</f>
        <v>173.46900040119183</v>
      </c>
      <c r="AK36" s="901">
        <f>VLOOKUP(年度マスタ!$K$4&amp;"_"&amp;AK$33,データシート1!$A:$BT,MATCH("aa_"&amp;$S36,データシート1!$A$1:$BT$1,0),0)</f>
        <v>170.66472019753118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112.79027033721368</v>
      </c>
      <c r="P37" s="453">
        <f t="shared" si="9"/>
        <v>0.21291604769212191</v>
      </c>
      <c r="Q37" s="328"/>
      <c r="R37" s="13"/>
      <c r="S37" s="356" t="s">
        <v>187</v>
      </c>
      <c r="T37" s="335"/>
      <c r="U37" s="346"/>
      <c r="V37" s="336" t="s">
        <v>194</v>
      </c>
      <c r="W37" s="357"/>
      <c r="X37" s="899">
        <f>VLOOKUP(年度マスタ!$K$4&amp;"_"&amp;X$33,データシート1!$A:$BT,MATCH("aa_"&amp;$S37,データシート1!$A$1:$BT$1,0),0)</f>
        <v>2.65580219647646</v>
      </c>
      <c r="Y37" s="900">
        <f>VLOOKUP(年度マスタ!$K$4&amp;"_"&amp;Y$33,データシート1!$A:$BT,MATCH("aa_"&amp;$S37,データシート1!$A$1:$BT$1,0),0)</f>
        <v>2.8438660657889661</v>
      </c>
      <c r="Z37" s="900">
        <f>VLOOKUP(年度マスタ!$K$4&amp;"_"&amp;Z$33,データシート1!$A:$BT,MATCH("aa_"&amp;$S37,データシート1!$A$1:$BT$1,0),0)</f>
        <v>4.083883512053216</v>
      </c>
      <c r="AA37" s="900">
        <f>VLOOKUP(年度マスタ!$K$4&amp;"_"&amp;AA$33,データシート1!$A:$BT,MATCH("aa_"&amp;$S37,データシート1!$A$1:$BT$1,0),0)</f>
        <v>3.8697071621748131</v>
      </c>
      <c r="AB37" s="900">
        <f>VLOOKUP(年度マスタ!$K$4&amp;"_"&amp;AB$33,データシート1!$A:$BT,MATCH("aa_"&amp;$S37,データシート1!$A$1:$BT$1,0),0)</f>
        <v>3.4502110500909509</v>
      </c>
      <c r="AC37" s="900">
        <f>VLOOKUP(年度マスタ!$K$4&amp;"_"&amp;AC$33,データシート1!$A:$BT,MATCH("aa_"&amp;$S37,データシート1!$A$1:$BT$1,0),0)</f>
        <v>2.841744911193731</v>
      </c>
      <c r="AD37" s="900">
        <f>VLOOKUP(年度マスタ!$K$4&amp;"_"&amp;AD$33,データシート1!$A:$BT,MATCH("aa_"&amp;$S37,データシート1!$A$1:$BT$1,0),0)</f>
        <v>2.7190161011243541</v>
      </c>
      <c r="AE37" s="900">
        <f>VLOOKUP(年度マスタ!$K$4&amp;"_"&amp;AE$33,データシート1!$A:$BT,MATCH("aa_"&amp;$S37,データシート1!$A$1:$BT$1,0),0)</f>
        <v>2.5259696009733368</v>
      </c>
      <c r="AF37" s="900">
        <f>VLOOKUP(年度マスタ!$K$4&amp;"_"&amp;AF$33,データシート1!$A:$BT,MATCH("aa_"&amp;$S37,データシート1!$A$1:$BT$1,0),0)</f>
        <v>2.5149647485362898</v>
      </c>
      <c r="AG37" s="900">
        <f>VLOOKUP(年度マスタ!$K$4&amp;"_"&amp;AG$33,データシート1!$A:$BT,MATCH("aa_"&amp;$S37,データシート1!$A$1:$BT$1,0),0)</f>
        <v>2.3730557249262834</v>
      </c>
      <c r="AH37" s="900">
        <f>VLOOKUP(年度マスタ!$K$4&amp;"_"&amp;AH$33,データシート1!$A:$BT,MATCH("aa_"&amp;$S37,データシート1!$A$1:$BT$1,0),0)</f>
        <v>2.1670385551128684</v>
      </c>
      <c r="AI37" s="900">
        <f>VLOOKUP(年度マスタ!$K$4&amp;"_"&amp;AI$33,データシート1!$A:$BT,MATCH("aa_"&amp;$S37,データシート1!$A$1:$BT$1,0),0)</f>
        <v>2.116602153056832</v>
      </c>
      <c r="AJ37" s="900">
        <f>VLOOKUP(年度マスタ!$K$4&amp;"_"&amp;AJ$33,データシート1!$A:$BT,MATCH("aa_"&amp;$S37,データシート1!$A$1:$BT$1,0),0)</f>
        <v>2.2540107510094205</v>
      </c>
      <c r="AK37" s="901">
        <f>VLOOKUP(年度マスタ!$K$4&amp;"_"&amp;AK$33,データシート1!$A:$BT,MATCH("aa_"&amp;$S37,データシート1!$A$1:$BT$1,0),0)</f>
        <v>2.0222402754122113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109.25399136723806</v>
      </c>
      <c r="P38" s="454">
        <f t="shared" si="9"/>
        <v>0.20624055574079569</v>
      </c>
      <c r="Q38" s="328"/>
      <c r="R38" s="13"/>
      <c r="S38" s="356" t="s">
        <v>188</v>
      </c>
      <c r="T38" s="335"/>
      <c r="U38" s="348"/>
      <c r="V38" s="358" t="s">
        <v>197</v>
      </c>
      <c r="W38" s="358"/>
      <c r="X38" s="899">
        <f>VLOOKUP(年度マスタ!$K$4&amp;"_"&amp;X$33,データシート1!$A:$BT,MATCH("aa_"&amp;$S38,データシート1!$A$1:$BT$1,0),0)</f>
        <v>11.562327634833119</v>
      </c>
      <c r="Y38" s="900">
        <f>VLOOKUP(年度マスタ!$K$4&amp;"_"&amp;Y$33,データシート1!$A:$BT,MATCH("aa_"&amp;$S38,データシート1!$A$1:$BT$1,0),0)</f>
        <v>11.10446660708468</v>
      </c>
      <c r="Z38" s="900">
        <f>VLOOKUP(年度マスタ!$K$4&amp;"_"&amp;Z$33,データシート1!$A:$BT,MATCH("aa_"&amp;$S38,データシート1!$A$1:$BT$1,0),0)</f>
        <v>11.83156724597645</v>
      </c>
      <c r="AA38" s="900">
        <f>VLOOKUP(年度マスタ!$K$4&amp;"_"&amp;AA$33,データシート1!$A:$BT,MATCH("aa_"&amp;$S38,データシート1!$A$1:$BT$1,0),0)</f>
        <v>11.855243716231399</v>
      </c>
      <c r="AB38" s="900">
        <f>VLOOKUP(年度マスタ!$K$4&amp;"_"&amp;AB$33,データシート1!$A:$BT,MATCH("aa_"&amp;$S38,データシート1!$A$1:$BT$1,0),0)</f>
        <v>11.37574737599768</v>
      </c>
      <c r="AC38" s="900">
        <f>VLOOKUP(年度マスタ!$K$4&amp;"_"&amp;AC$33,データシート1!$A:$BT,MATCH("aa_"&amp;$S38,データシート1!$A$1:$BT$1,0),0)</f>
        <v>16.959098882158202</v>
      </c>
      <c r="AD38" s="900">
        <f>VLOOKUP(年度マスタ!$K$4&amp;"_"&amp;AD$33,データシート1!$A:$BT,MATCH("aa_"&amp;$S38,データシート1!$A$1:$BT$1,0),0)</f>
        <v>17.077359197085951</v>
      </c>
      <c r="AE38" s="900">
        <f>VLOOKUP(年度マスタ!$K$4&amp;"_"&amp;AE$33,データシート1!$A:$BT,MATCH("aa_"&amp;$S38,データシート1!$A$1:$BT$1,0),0)</f>
        <v>16.95716530846375</v>
      </c>
      <c r="AF38" s="900">
        <f>VLOOKUP(年度マスタ!$K$4&amp;"_"&amp;AF$33,データシート1!$A:$BT,MATCH("aa_"&amp;$S38,データシート1!$A$1:$BT$1,0),0)</f>
        <v>16.885827679856586</v>
      </c>
      <c r="AG38" s="900">
        <f>VLOOKUP(年度マスタ!$K$4&amp;"_"&amp;AG$33,データシート1!$A:$BT,MATCH("aa_"&amp;$S38,データシート1!$A$1:$BT$1,0),0)</f>
        <v>15.838442945499303</v>
      </c>
      <c r="AH38" s="900">
        <f>VLOOKUP(年度マスタ!$K$4&amp;"_"&amp;AH$33,データシート1!$A:$BT,MATCH("aa_"&amp;$S38,データシート1!$A$1:$BT$1,0),0)</f>
        <v>15.974716133322611</v>
      </c>
      <c r="AI38" s="900">
        <f>VLOOKUP(年度マスタ!$K$4&amp;"_"&amp;AI$33,データシート1!$A:$BT,MATCH("aa_"&amp;$S38,データシート1!$A$1:$BT$1,0),0)</f>
        <v>11.519353627724531</v>
      </c>
      <c r="AJ38" s="900">
        <f>VLOOKUP(年度マスタ!$K$4&amp;"_"&amp;AJ$33,データシート1!$A:$BT,MATCH("aa_"&amp;$S38,データシート1!$A$1:$BT$1,0),0)</f>
        <v>9.542964297836674</v>
      </c>
      <c r="AK38" s="901">
        <f>VLOOKUP(年度マスタ!$K$4&amp;"_"&amp;AK$33,データシート1!$A:$BT,MATCH("aa_"&amp;$S38,データシート1!$A$1:$BT$1,0),0)</f>
        <v>8.7782902714660764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57.237266869451283</v>
      </c>
      <c r="P39" s="454">
        <f t="shared" si="9"/>
        <v>0.10804772970317054</v>
      </c>
      <c r="Q39" s="328"/>
      <c r="R39" s="13"/>
      <c r="S39" s="356" t="s">
        <v>189</v>
      </c>
      <c r="T39" s="335"/>
      <c r="U39" s="343" t="s">
        <v>199</v>
      </c>
      <c r="V39" s="344"/>
      <c r="W39" s="344"/>
      <c r="X39" s="896">
        <f>VLOOKUP(年度マスタ!$K$4&amp;"_"&amp;X$33,データシート1!$A:$BT,MATCH("aa_"&amp;$S39,データシート1!$A$1:$BT$1,0),0)</f>
        <v>53.949435284442337</v>
      </c>
      <c r="Y39" s="897">
        <f>VLOOKUP(年度マスタ!$K$4&amp;"_"&amp;Y$33,データシート1!$A:$BT,MATCH("aa_"&amp;$S39,データシート1!$A$1:$BT$1,0),0)</f>
        <v>51.61321808843379</v>
      </c>
      <c r="Z39" s="897">
        <f>VLOOKUP(年度マスタ!$K$4&amp;"_"&amp;Z$33,データシート1!$A:$BT,MATCH("aa_"&amp;$S39,データシート1!$A$1:$BT$1,0),0)</f>
        <v>62.836194429941933</v>
      </c>
      <c r="AA39" s="897">
        <f>VLOOKUP(年度マスタ!$K$4&amp;"_"&amp;AA$33,データシート1!$A:$BT,MATCH("aa_"&amp;$S39,データシート1!$A$1:$BT$1,0),0)</f>
        <v>68.693614676416516</v>
      </c>
      <c r="AB39" s="897">
        <f>VLOOKUP(年度マスタ!$K$4&amp;"_"&amp;AB$33,データシート1!$A:$BT,MATCH("aa_"&amp;$S39,データシート1!$A$1:$BT$1,0),0)</f>
        <v>67.044799592264525</v>
      </c>
      <c r="AC39" s="897">
        <f>VLOOKUP(年度マスタ!$K$4&amp;"_"&amp;AC$33,データシート1!$A:$BT,MATCH("aa_"&amp;$S39,データシート1!$A$1:$BT$1,0),0)</f>
        <v>54.44138856983885</v>
      </c>
      <c r="AD39" s="897">
        <f>VLOOKUP(年度マスタ!$K$4&amp;"_"&amp;AD$33,データシート1!$A:$BT,MATCH("aa_"&amp;$S39,データシート1!$A$1:$BT$1,0),0)</f>
        <v>60.576345336898939</v>
      </c>
      <c r="AE39" s="897">
        <f>VLOOKUP(年度マスタ!$K$4&amp;"_"&amp;AE$33,データシート1!$A:$BT,MATCH("aa_"&amp;$S39,データシート1!$A$1:$BT$1,0),0)</f>
        <v>44.310032754386697</v>
      </c>
      <c r="AF39" s="897">
        <f>VLOOKUP(年度マスタ!$K$4&amp;"_"&amp;AF$33,データシート1!$A:$BT,MATCH("aa_"&amp;$S39,データシート1!$A$1:$BT$1,0),0)</f>
        <v>40.298496317355699</v>
      </c>
      <c r="AG39" s="897">
        <f>VLOOKUP(年度マスタ!$K$4&amp;"_"&amp;AG$33,データシート1!$A:$BT,MATCH("aa_"&amp;$S39,データシート1!$A$1:$BT$1,0),0)</f>
        <v>42.767882758191014</v>
      </c>
      <c r="AH39" s="897">
        <f>VLOOKUP(年度マスタ!$K$4&amp;"_"&amp;AH$33,データシート1!$A:$BT,MATCH("aa_"&amp;$S39,データシート1!$A$1:$BT$1,0),0)</f>
        <v>41.805505425357964</v>
      </c>
      <c r="AI39" s="897">
        <f>VLOOKUP(年度マスタ!$K$4&amp;"_"&amp;AI$33,データシート1!$A:$BT,MATCH("aa_"&amp;$S39,データシート1!$A$1:$BT$1,0),0)</f>
        <v>34.10190950838237</v>
      </c>
      <c r="AJ39" s="897">
        <f>VLOOKUP(年度マスタ!$K$4&amp;"_"&amp;AJ$33,データシート1!$A:$BT,MATCH("aa_"&amp;$S39,データシート1!$A$1:$BT$1,0),0)</f>
        <v>36.271713126099648</v>
      </c>
      <c r="AK39" s="898">
        <f>VLOOKUP(年度マスタ!$K$4&amp;"_"&amp;AK$33,データシート1!$A:$BT,MATCH("aa_"&amp;$S39,データシート1!$A$1:$BT$1,0),0)</f>
        <v>34.865375635150016</v>
      </c>
      <c r="AL39" s="330"/>
      <c r="AW39" s="17" t="str">
        <f>年度マスタ!K4</f>
        <v>08231</v>
      </c>
      <c r="AX39" s="17" t="s">
        <v>200</v>
      </c>
      <c r="AY39" s="17">
        <f>VLOOKUP($AW39&amp;"_"&amp;$AY$34,データシート1!$A:$BT,MATCH($AY$31&amp;"_"&amp;AY$36,データシート1!$A$1:$BT$1,0),0)</f>
        <v>170.66472019753118</v>
      </c>
      <c r="AZ39" s="17">
        <f>VLOOKUP($AW39&amp;"_"&amp;$AY$34,データシート1!$A:$BT,MATCH($AY$31&amp;"_"&amp;AZ$36,データシート1!$A$1:$BT$1,0),0)</f>
        <v>2.0222402754122113</v>
      </c>
      <c r="BA39" s="17">
        <f>VLOOKUP($AW39&amp;"_"&amp;$AY$34,データシート1!$A:$BT,MATCH($AY$31&amp;"_"&amp;BA$36,データシート1!$A$1:$BT$1,0),0)</f>
        <v>8.7782902714660764</v>
      </c>
      <c r="BB39" s="17">
        <f>VLOOKUP($AW39&amp;"_"&amp;$AY$34,データシート1!$A:$BT,MATCH($AY$31&amp;"_"&amp;BB$36,データシート1!$A$1:$BT$1,0),0)</f>
        <v>34.865375635150016</v>
      </c>
      <c r="BC39" s="17">
        <f>VLOOKUP($AW39&amp;"_"&amp;$AY$34,データシート1!$A:$BT,MATCH($AY$31&amp;"_"&amp;BC$36,データシート1!$A$1:$BT$1,0),0)</f>
        <v>52.050426293975214</v>
      </c>
      <c r="BD39" s="17">
        <f>VLOOKUP($AW39&amp;"_"&amp;$AY$34,データシート1!$A:$BT,MATCH($AY$31&amp;"_"&amp;BD$36,データシート1!$A$1:$BT$1,0),0)</f>
        <v>44.103952244482194</v>
      </c>
      <c r="BE39" s="17">
        <f>VLOOKUP($AW39&amp;"_"&amp;$AY$34,データシート1!$A:$BT,MATCH($AY$31&amp;"_"&amp;BE$36,データシート1!$A$1:$BT$1,0),0)</f>
        <v>44.010880414041026</v>
      </c>
      <c r="BF39" s="17">
        <f>VLOOKUP($AW39&amp;"_"&amp;$AY$34,データシート1!$A:$BT,MATCH($AY$31&amp;"_"&amp;BF$36,データシート1!$A$1:$BT$1,0),0)</f>
        <v>2.2983375213190769</v>
      </c>
      <c r="BG39" s="17">
        <f>VLOOKUP($AW39&amp;"_"&amp;$AY$34,データシート1!$A:$BT,MATCH($AY$31&amp;"_"&amp;BG$36,データシート1!$A$1:$BT$1,0),0)</f>
        <v>0</v>
      </c>
      <c r="BH39" s="17">
        <f>VLOOKUP($AW39&amp;"_"&amp;$AY$34,データシート1!$A:$BT,MATCH($AY$31&amp;"_"&amp;BH$36,データシート1!$A$1:$BT$1,0),0)</f>
        <v>5.0304682369694236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52.016724497786775</v>
      </c>
      <c r="P40" s="454">
        <f t="shared" si="9"/>
        <v>9.819282603762515E-2</v>
      </c>
      <c r="Q40" s="328"/>
      <c r="R40" s="13"/>
      <c r="S40" s="356" t="s">
        <v>165</v>
      </c>
      <c r="T40" s="335"/>
      <c r="U40" s="343" t="s">
        <v>165</v>
      </c>
      <c r="V40" s="344"/>
      <c r="W40" s="344"/>
      <c r="X40" s="896">
        <f>VLOOKUP(年度マスタ!$K$4&amp;"_"&amp;X$33,データシート1!$A:$BT,MATCH("aa_"&amp;$S40,データシート1!$A$1:$BT$1,0),0)</f>
        <v>46.988215343043343</v>
      </c>
      <c r="Y40" s="897">
        <f>VLOOKUP(年度マスタ!$K$4&amp;"_"&amp;Y$33,データシート1!$A:$BT,MATCH("aa_"&amp;$S40,データシート1!$A$1:$BT$1,0),0)</f>
        <v>52.46448991127955</v>
      </c>
      <c r="Z40" s="897">
        <f>VLOOKUP(年度マスタ!$K$4&amp;"_"&amp;Z$33,データシート1!$A:$BT,MATCH("aa_"&amp;$S40,データシート1!$A$1:$BT$1,0),0)</f>
        <v>56.337740442018713</v>
      </c>
      <c r="AA40" s="897">
        <f>VLOOKUP(年度マスタ!$K$4&amp;"_"&amp;AA$33,データシート1!$A:$BT,MATCH("aa_"&amp;$S40,データシート1!$A$1:$BT$1,0),0)</f>
        <v>62.175066888571429</v>
      </c>
      <c r="AB40" s="897">
        <f>VLOOKUP(年度マスタ!$K$4&amp;"_"&amp;AB$33,データシート1!$A:$BT,MATCH("aa_"&amp;$S40,データシート1!$A$1:$BT$1,0),0)</f>
        <v>61.725322754187737</v>
      </c>
      <c r="AC40" s="897">
        <f>VLOOKUP(年度マスタ!$K$4&amp;"_"&amp;AC$33,データシート1!$A:$BT,MATCH("aa_"&amp;$S40,データシート1!$A$1:$BT$1,0),0)</f>
        <v>60.034974939300973</v>
      </c>
      <c r="AD40" s="897">
        <f>VLOOKUP(年度マスタ!$K$4&amp;"_"&amp;AD$33,データシート1!$A:$BT,MATCH("aa_"&amp;$S40,データシート1!$A$1:$BT$1,0),0)</f>
        <v>56.783021415368417</v>
      </c>
      <c r="AE40" s="897">
        <f>VLOOKUP(年度マスタ!$K$4&amp;"_"&amp;AE$33,データシート1!$A:$BT,MATCH("aa_"&amp;$S40,データシート1!$A$1:$BT$1,0),0)</f>
        <v>50.167932953608826</v>
      </c>
      <c r="AF40" s="897">
        <f>VLOOKUP(年度マスタ!$K$4&amp;"_"&amp;AF$33,データシート1!$A:$BT,MATCH("aa_"&amp;$S40,データシート1!$A$1:$BT$1,0),0)</f>
        <v>54.328188327412363</v>
      </c>
      <c r="AG40" s="897">
        <f>VLOOKUP(年度マスタ!$K$4&amp;"_"&amp;AG$33,データシート1!$A:$BT,MATCH("aa_"&amp;$S40,データシート1!$A$1:$BT$1,0),0)</f>
        <v>51.496396008427752</v>
      </c>
      <c r="AH40" s="897">
        <f>VLOOKUP(年度マスタ!$K$4&amp;"_"&amp;AH$33,データシート1!$A:$BT,MATCH("aa_"&amp;$S40,データシート1!$A$1:$BT$1,0),0)</f>
        <v>49.402796611723616</v>
      </c>
      <c r="AI40" s="897">
        <f>VLOOKUP(年度マスタ!$K$4&amp;"_"&amp;AI$33,データシート1!$A:$BT,MATCH("aa_"&amp;$S40,データシート1!$A$1:$BT$1,0),0)</f>
        <v>47.062037757097087</v>
      </c>
      <c r="AJ40" s="897">
        <f>VLOOKUP(年度マスタ!$K$4&amp;"_"&amp;AJ$33,データシート1!$A:$BT,MATCH("aa_"&amp;$S40,データシート1!$A$1:$BT$1,0),0)</f>
        <v>49.710516337607082</v>
      </c>
      <c r="AK40" s="898">
        <f>VLOOKUP(年度マスタ!$K$4&amp;"_"&amp;AK$33,データシート1!$A:$BT,MATCH("aa_"&amp;$S40,データシート1!$A$1:$BT$1,0),0)</f>
        <v>52.050426293975214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3.5362789699756298</v>
      </c>
      <c r="P41" s="454">
        <f t="shared" si="9"/>
        <v>6.6754919513262248E-3</v>
      </c>
      <c r="Q41" s="328"/>
      <c r="R41" s="13"/>
      <c r="S41" s="356" t="s">
        <v>201</v>
      </c>
      <c r="T41" s="335"/>
      <c r="U41" s="246" t="s">
        <v>128</v>
      </c>
      <c r="V41" s="344"/>
      <c r="W41" s="344"/>
      <c r="X41" s="896">
        <f>X42+X45+X46</f>
        <v>116.96916329076815</v>
      </c>
      <c r="Y41" s="897">
        <f t="shared" ref="Y41:AH41" si="12">Y42+Y45+Y46</f>
        <v>117.59097511425126</v>
      </c>
      <c r="Z41" s="897">
        <f t="shared" si="12"/>
        <v>114.93391608536689</v>
      </c>
      <c r="AA41" s="897">
        <f t="shared" si="12"/>
        <v>114.86936048876802</v>
      </c>
      <c r="AB41" s="897">
        <f t="shared" si="12"/>
        <v>112.79027033721368</v>
      </c>
      <c r="AC41" s="897">
        <f t="shared" si="12"/>
        <v>109.37708128127214</v>
      </c>
      <c r="AD41" s="897">
        <f t="shared" si="12"/>
        <v>108.16737609941485</v>
      </c>
      <c r="AE41" s="897">
        <f t="shared" si="12"/>
        <v>105.46828965795692</v>
      </c>
      <c r="AF41" s="897">
        <f t="shared" si="12"/>
        <v>103.54297520796185</v>
      </c>
      <c r="AG41" s="897">
        <f t="shared" si="12"/>
        <v>100.98203940406327</v>
      </c>
      <c r="AH41" s="897">
        <f t="shared" si="12"/>
        <v>99.020758254077805</v>
      </c>
      <c r="AI41" s="897">
        <f>AI42+AI45+AI46</f>
        <v>89.720775871869549</v>
      </c>
      <c r="AJ41" s="897">
        <f>AJ42+AJ45+AJ46</f>
        <v>89.21244084693376</v>
      </c>
      <c r="AK41" s="898">
        <f>AK42+AK45+AK46</f>
        <v>90.413170179842297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114.19275159903535</v>
      </c>
      <c r="Y42" s="900">
        <f t="shared" ref="Y42:AK42" si="13">SUM(Y43:Y44)</f>
        <v>114.72777168689798</v>
      </c>
      <c r="Z42" s="900">
        <f t="shared" si="13"/>
        <v>111.67306966091871</v>
      </c>
      <c r="AA42" s="900">
        <f t="shared" si="13"/>
        <v>111.35670994759988</v>
      </c>
      <c r="AB42" s="900">
        <f t="shared" si="13"/>
        <v>109.25399136723806</v>
      </c>
      <c r="AC42" s="900">
        <f t="shared" si="13"/>
        <v>106.03440321328782</v>
      </c>
      <c r="AD42" s="900">
        <f t="shared" si="13"/>
        <v>104.94792920719658</v>
      </c>
      <c r="AE42" s="900">
        <f t="shared" si="13"/>
        <v>102.38569606644236</v>
      </c>
      <c r="AF42" s="900">
        <f t="shared" si="13"/>
        <v>100.60664028079353</v>
      </c>
      <c r="AG42" s="900">
        <f t="shared" si="13"/>
        <v>98.312058417089006</v>
      </c>
      <c r="AH42" s="900">
        <f t="shared" si="13"/>
        <v>96.463486756175513</v>
      </c>
      <c r="AI42" s="900">
        <f t="shared" si="13"/>
        <v>87.326616737533016</v>
      </c>
      <c r="AJ42" s="900">
        <f t="shared" si="13"/>
        <v>86.886006552682915</v>
      </c>
      <c r="AK42" s="901">
        <f t="shared" si="13"/>
        <v>88.114832658523227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7.9621190116906551</v>
      </c>
      <c r="P43" s="612">
        <f t="shared" si="9"/>
        <v>1.5030222962983253E-2</v>
      </c>
      <c r="Q43" s="328"/>
      <c r="R43" s="13"/>
      <c r="S43" s="356" t="s">
        <v>190</v>
      </c>
      <c r="T43" s="359"/>
      <c r="U43" s="346"/>
      <c r="V43" s="360"/>
      <c r="W43" s="347" t="s">
        <v>190</v>
      </c>
      <c r="X43" s="899">
        <f>VLOOKUP(年度マスタ!$K$4&amp;"_"&amp;X$33,データシート1!$A:$BT,MATCH("aa_"&amp;$S43,データシート1!$A$1:$BT$1,0),0)</f>
        <v>60.056445452218057</v>
      </c>
      <c r="Y43" s="900">
        <f>VLOOKUP(年度マスタ!$K$4&amp;"_"&amp;Y$33,データシート1!$A:$BT,MATCH("aa_"&amp;$S43,データシート1!$A$1:$BT$1,0),0)</f>
        <v>60.127177960512277</v>
      </c>
      <c r="Z43" s="900">
        <f>VLOOKUP(年度マスタ!$K$4&amp;"_"&amp;Z$33,データシート1!$A:$BT,MATCH("aa_"&amp;$S43,データシート1!$A$1:$BT$1,0),0)</f>
        <v>59.338180621787544</v>
      </c>
      <c r="AA43" s="900">
        <f>VLOOKUP(年度マスタ!$K$4&amp;"_"&amp;AA$33,データシート1!$A:$BT,MATCH("aa_"&amp;$S43,データシート1!$A$1:$BT$1,0),0)</f>
        <v>59.375997505820926</v>
      </c>
      <c r="AB43" s="900">
        <f>VLOOKUP(年度マスタ!$K$4&amp;"_"&amp;AB$33,データシート1!$A:$BT,MATCH("aa_"&amp;$S43,データシート1!$A$1:$BT$1,0),0)</f>
        <v>57.237266869451283</v>
      </c>
      <c r="AC43" s="900">
        <f>VLOOKUP(年度マスタ!$K$4&amp;"_"&amp;AC$33,データシート1!$A:$BT,MATCH("aa_"&amp;$S43,データシート1!$A$1:$BT$1,0),0)</f>
        <v>54.57080169163789</v>
      </c>
      <c r="AD43" s="900">
        <f>VLOOKUP(年度マスタ!$K$4&amp;"_"&amp;AD$33,データシート1!$A:$BT,MATCH("aa_"&amp;$S43,データシート1!$A$1:$BT$1,0),0)</f>
        <v>54.091931643064939</v>
      </c>
      <c r="AE43" s="900">
        <f>VLOOKUP(年度マスタ!$K$4&amp;"_"&amp;AE$33,データシート1!$A:$BT,MATCH("aa_"&amp;$S43,データシート1!$A$1:$BT$1,0),0)</f>
        <v>53.584692960736511</v>
      </c>
      <c r="AF43" s="900">
        <f>VLOOKUP(年度マスタ!$K$4&amp;"_"&amp;AF$33,データシート1!$A:$BT,MATCH("aa_"&amp;$S43,データシート1!$A$1:$BT$1,0),0)</f>
        <v>52.665159681431724</v>
      </c>
      <c r="AG43" s="900">
        <f>VLOOKUP(年度マスタ!$K$4&amp;"_"&amp;AG$33,データシート1!$A:$BT,MATCH("aa_"&amp;$S43,データシート1!$A$1:$BT$1,0),0)</f>
        <v>51.3688061782102</v>
      </c>
      <c r="AH43" s="900">
        <f>VLOOKUP(年度マスタ!$K$4&amp;"_"&amp;AH$33,データシート1!$A:$BT,MATCH("aa_"&amp;$S43,データシート1!$A$1:$BT$1,0),0)</f>
        <v>50.013815260437227</v>
      </c>
      <c r="AI43" s="900">
        <f>VLOOKUP(年度マスタ!$K$4&amp;"_"&amp;AI$33,データシート1!$A:$BT,MATCH("aa_"&amp;$S43,データシート1!$A$1:$BT$1,0),0)</f>
        <v>43.575671221991662</v>
      </c>
      <c r="AJ43" s="900">
        <f>VLOOKUP(年度マスタ!$K$4&amp;"_"&amp;AJ$33,データシート1!$A:$BT,MATCH("aa_"&amp;$S43,データシート1!$A$1:$BT$1,0),0)</f>
        <v>42.046221001973237</v>
      </c>
      <c r="AK43" s="901">
        <f>VLOOKUP(年度マスタ!$K$4&amp;"_"&amp;AK$33,データシート1!$A:$BT,MATCH("aa_"&amp;$S43,データシート1!$A$1:$BT$1,0),0)</f>
        <v>44.103952244482194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54.13630614681729</v>
      </c>
      <c r="Y44" s="900">
        <f>VLOOKUP(年度マスタ!$K$4&amp;"_"&amp;Y$33,データシート1!$A:$BT,MATCH("aa_"&amp;$S44,データシート1!$A$1:$BT$1,0),0)</f>
        <v>54.600593726385704</v>
      </c>
      <c r="Z44" s="900">
        <f>VLOOKUP(年度マスタ!$K$4&amp;"_"&amp;Z$33,データシート1!$A:$BT,MATCH("aa_"&amp;$S44,データシート1!$A$1:$BT$1,0),0)</f>
        <v>52.334889039131163</v>
      </c>
      <c r="AA44" s="900">
        <f>VLOOKUP(年度マスタ!$K$4&amp;"_"&amp;AA$33,データシート1!$A:$BT,MATCH("aa_"&amp;$S44,データシート1!$A$1:$BT$1,0),0)</f>
        <v>51.980712441778955</v>
      </c>
      <c r="AB44" s="900">
        <f>VLOOKUP(年度マスタ!$K$4&amp;"_"&amp;AB$33,データシート1!$A:$BT,MATCH("aa_"&amp;$S44,データシート1!$A$1:$BT$1,0),0)</f>
        <v>52.016724497786775</v>
      </c>
      <c r="AC44" s="900">
        <f>VLOOKUP(年度マスタ!$K$4&amp;"_"&amp;AC$33,データシート1!$A:$BT,MATCH("aa_"&amp;$S44,データシート1!$A$1:$BT$1,0),0)</f>
        <v>51.463601521649935</v>
      </c>
      <c r="AD44" s="900">
        <f>VLOOKUP(年度マスタ!$K$4&amp;"_"&amp;AD$33,データシート1!$A:$BT,MATCH("aa_"&amp;$S44,データシート1!$A$1:$BT$1,0),0)</f>
        <v>50.855997564131648</v>
      </c>
      <c r="AE44" s="900">
        <f>VLOOKUP(年度マスタ!$K$4&amp;"_"&amp;AE$33,データシート1!$A:$BT,MATCH("aa_"&amp;$S44,データシート1!$A$1:$BT$1,0),0)</f>
        <v>48.80100310570586</v>
      </c>
      <c r="AF44" s="900">
        <f>VLOOKUP(年度マスタ!$K$4&amp;"_"&amp;AF$33,データシート1!$A:$BT,MATCH("aa_"&amp;$S44,データシート1!$A$1:$BT$1,0),0)</f>
        <v>47.941480599361796</v>
      </c>
      <c r="AG44" s="900">
        <f>VLOOKUP(年度マスタ!$K$4&amp;"_"&amp;AG$33,データシート1!$A:$BT,MATCH("aa_"&amp;$S44,データシート1!$A$1:$BT$1,0),0)</f>
        <v>46.943252238878806</v>
      </c>
      <c r="AH44" s="900">
        <f>VLOOKUP(年度マスタ!$K$4&amp;"_"&amp;AH$33,データシート1!$A:$BT,MATCH("aa_"&amp;$S44,データシート1!$A$1:$BT$1,0),0)</f>
        <v>46.449671495738293</v>
      </c>
      <c r="AI44" s="900">
        <f>VLOOKUP(年度マスタ!$K$4&amp;"_"&amp;AI$33,データシート1!$A:$BT,MATCH("aa_"&amp;$S44,データシート1!$A$1:$BT$1,0),0)</f>
        <v>43.750945515541346</v>
      </c>
      <c r="AJ44" s="900">
        <f>VLOOKUP(年度マスタ!$K$4&amp;"_"&amp;AJ$33,データシート1!$A:$BT,MATCH("aa_"&amp;$S44,データシート1!$A$1:$BT$1,0),0)</f>
        <v>44.839785550709678</v>
      </c>
      <c r="AK44" s="901">
        <f>VLOOKUP(年度マスタ!$K$4&amp;"_"&amp;AK$33,データシート1!$A:$BT,MATCH("aa_"&amp;$S44,データシート1!$A$1:$BT$1,0),0)</f>
        <v>44.010880414041026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2.7764116917328101</v>
      </c>
      <c r="Y45" s="900">
        <f>VLOOKUP(年度マスタ!$K$4&amp;"_"&amp;Y$33,データシート1!$A:$BT,MATCH("aa_"&amp;$S45,データシート1!$A$1:$BT$1,0),0)</f>
        <v>2.86320342735329</v>
      </c>
      <c r="Z45" s="900">
        <f>VLOOKUP(年度マスタ!$K$4&amp;"_"&amp;Z$33,データシート1!$A:$BT,MATCH("aa_"&amp;$S45,データシート1!$A$1:$BT$1,0),0)</f>
        <v>3.2608464244481801</v>
      </c>
      <c r="AA45" s="900">
        <f>VLOOKUP(年度マスタ!$K$4&amp;"_"&amp;AA$33,データシート1!$A:$BT,MATCH("aa_"&amp;$S45,データシート1!$A$1:$BT$1,0),0)</f>
        <v>3.5126505411681399</v>
      </c>
      <c r="AB45" s="900">
        <f>VLOOKUP(年度マスタ!$K$4&amp;"_"&amp;AB$33,データシート1!$A:$BT,MATCH("aa_"&amp;$S45,データシート1!$A$1:$BT$1,0),0)</f>
        <v>3.5362789699756298</v>
      </c>
      <c r="AC45" s="900">
        <f>VLOOKUP(年度マスタ!$K$4&amp;"_"&amp;AC$33,データシート1!$A:$BT,MATCH("aa_"&amp;$S45,データシート1!$A$1:$BT$1,0),0)</f>
        <v>3.34267806798433</v>
      </c>
      <c r="AD45" s="900">
        <f>VLOOKUP(年度マスタ!$K$4&amp;"_"&amp;AD$33,データシート1!$A:$BT,MATCH("aa_"&amp;$S45,データシート1!$A$1:$BT$1,0),0)</f>
        <v>3.21944689221827</v>
      </c>
      <c r="AE45" s="900">
        <f>VLOOKUP(年度マスタ!$K$4&amp;"_"&amp;AE$33,データシート1!$A:$BT,MATCH("aa_"&amp;$S45,データシート1!$A$1:$BT$1,0),0)</f>
        <v>3.0825935915145508</v>
      </c>
      <c r="AF45" s="900">
        <f>VLOOKUP(年度マスタ!$K$4&amp;"_"&amp;AF$33,データシート1!$A:$BT,MATCH("aa_"&amp;$S45,データシート1!$A$1:$BT$1,0),0)</f>
        <v>2.9363349271683199</v>
      </c>
      <c r="AG45" s="900">
        <f>VLOOKUP(年度マスタ!$K$4&amp;"_"&amp;AG$33,データシート1!$A:$BT,MATCH("aa_"&amp;$S45,データシート1!$A$1:$BT$1,0),0)</f>
        <v>2.6699809869742701</v>
      </c>
      <c r="AH45" s="900">
        <f>VLOOKUP(年度マスタ!$K$4&amp;"_"&amp;AH$33,データシート1!$A:$BT,MATCH("aa_"&amp;$S45,データシート1!$A$1:$BT$1,0),0)</f>
        <v>2.5572714979022901</v>
      </c>
      <c r="AI45" s="900">
        <f>VLOOKUP(年度マスタ!$K$4&amp;"_"&amp;AI$33,データシート1!$A:$BT,MATCH("aa_"&amp;$S45,データシート1!$A$1:$BT$1,0),0)</f>
        <v>2.3941591343365398</v>
      </c>
      <c r="AJ45" s="900">
        <f>VLOOKUP(年度マスタ!$K$4&amp;"_"&amp;AJ$33,データシート1!$A:$BT,MATCH("aa_"&amp;$S45,データシート1!$A$1:$BT$1,0),0)</f>
        <v>2.32643429425084</v>
      </c>
      <c r="AK45" s="901">
        <f>VLOOKUP(年度マスタ!$K$4&amp;"_"&amp;AK$33,データシート1!$A:$BT,MATCH("aa_"&amp;$S45,データシート1!$A$1:$BT$1,0),0)</f>
        <v>2.2983375213190769</v>
      </c>
      <c r="AL45" s="330"/>
      <c r="AW45" s="17" t="str">
        <f>AW48</f>
        <v>桜川市</v>
      </c>
      <c r="AX45" s="1010">
        <f t="shared" ref="AX45:BB45" si="15">AX48/$BC48</f>
        <v>0.49877112573249544</v>
      </c>
      <c r="AY45" s="1010">
        <f t="shared" si="15"/>
        <v>9.5830152512909342E-2</v>
      </c>
      <c r="AZ45" s="1010">
        <f t="shared" si="15"/>
        <v>0.14306457909160941</v>
      </c>
      <c r="BA45" s="1010">
        <f t="shared" si="15"/>
        <v>0.2485075158282497</v>
      </c>
      <c r="BB45" s="1010">
        <f t="shared" si="15"/>
        <v>1.3826626834736289E-2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5.424508550483095</v>
      </c>
      <c r="Y47" s="903">
        <f>VLOOKUP(年度マスタ!$K$4&amp;"_"&amp;Y$33,データシート1!$A:$BT,MATCH("aa_"&amp;$S47,データシート1!$A$1:$BT$1,0),0)</f>
        <v>5.8901891515799063</v>
      </c>
      <c r="Z47" s="903">
        <f>VLOOKUP(年度マスタ!$K$4&amp;"_"&amp;Z$33,データシート1!$A:$BT,MATCH("aa_"&amp;$S47,データシート1!$A$1:$BT$1,0),0)</f>
        <v>6.8306133300064182</v>
      </c>
      <c r="AA47" s="903">
        <f>VLOOKUP(年度マスタ!$K$4&amp;"_"&amp;AA$33,データシート1!$A:$BT,MATCH("aa_"&amp;$S47,データシート1!$A$1:$BT$1,0),0)</f>
        <v>6.3252716681135874</v>
      </c>
      <c r="AB47" s="903">
        <f>VLOOKUP(年度マスタ!$K$4&amp;"_"&amp;AB$33,データシート1!$A:$BT,MATCH("aa_"&amp;$S47,データシート1!$A$1:$BT$1,0),0)</f>
        <v>7.9621190116906551</v>
      </c>
      <c r="AC47" s="903">
        <f>VLOOKUP(年度マスタ!$K$4&amp;"_"&amp;AC$33,データシート1!$A:$BT,MATCH("aa_"&amp;$S47,データシート1!$A$1:$BT$1,0),0)</f>
        <v>6.2250965977931516</v>
      </c>
      <c r="AD47" s="903">
        <f>VLOOKUP(年度マスタ!$K$4&amp;"_"&amp;AD$33,データシート1!$A:$BT,MATCH("aa_"&amp;$S47,データシート1!$A$1:$BT$1,0),0)</f>
        <v>6.3484698599952427</v>
      </c>
      <c r="AE47" s="903">
        <f>VLOOKUP(年度マスタ!$K$4&amp;"_"&amp;AE$33,データシート1!$A:$BT,MATCH("aa_"&amp;$S47,データシート1!$A$1:$BT$1,0),0)</f>
        <v>5.7529397538093958</v>
      </c>
      <c r="AF47" s="903">
        <f>VLOOKUP(年度マスタ!$K$4&amp;"_"&amp;AF$33,データシート1!$A:$BT,MATCH("aa_"&amp;$S47,データシート1!$A$1:$BT$1,0),0)</f>
        <v>6.2598939537679392</v>
      </c>
      <c r="AG47" s="903">
        <f>VLOOKUP(年度マスタ!$K$4&amp;"_"&amp;AG$33,データシート1!$A:$BT,MATCH("aa_"&amp;$S47,データシート1!$A$1:$BT$1,0),0)</f>
        <v>6.0652922432725456</v>
      </c>
      <c r="AH47" s="903">
        <f>VLOOKUP(年度マスタ!$K$4&amp;"_"&amp;AH$33,データシート1!$A:$BT,MATCH("aa_"&amp;$S47,データシート1!$A$1:$BT$1,0),0)</f>
        <v>6.6943570659122038</v>
      </c>
      <c r="AI47" s="903">
        <f>VLOOKUP(年度マスタ!$K$4&amp;"_"&amp;AI$33,データシート1!$A:$BT,MATCH("aa_"&amp;$S47,データシート1!$A$1:$BT$1,0),0)</f>
        <v>6.2135043294186554</v>
      </c>
      <c r="AJ47" s="903">
        <f>VLOOKUP(年度マスタ!$K$4&amp;"_"&amp;AJ$33,データシート1!$A:$BT,MATCH("aa_"&amp;$S47,データシート1!$A$1:$BT$1,0),0)</f>
        <v>6.0899853461006828</v>
      </c>
      <c r="AK47" s="904">
        <f>VLOOKUP(年度マスタ!$K$4&amp;"_"&amp;AK$33,データシート1!$A:$BT,MATCH("aa_"&amp;$S47,データシート1!$A$1:$BT$1,0),0)</f>
        <v>5.0304682369694236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桜川市</v>
      </c>
      <c r="AX48" s="1011">
        <f>SUM(AY39:BA39)</f>
        <v>181.46525074440945</v>
      </c>
      <c r="AY48" s="1011">
        <f>BB39</f>
        <v>34.865375635150016</v>
      </c>
      <c r="AZ48" s="1011">
        <f>BC39</f>
        <v>52.050426293975214</v>
      </c>
      <c r="BA48" s="1011">
        <f>SUM(BD39:BG39)</f>
        <v>90.413170179842297</v>
      </c>
      <c r="BB48" s="1011">
        <f>BH39</f>
        <v>5.0304682369694236</v>
      </c>
      <c r="BC48" s="1011">
        <f>SUM(AX48:BB48)</f>
        <v>363.82469109034633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363.82469109034633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181.46525074440945</v>
      </c>
      <c r="P52" s="453">
        <f t="shared" ref="P52:P64" si="18">O52/$O$51</f>
        <v>0.49877112573249544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170.66472019753118</v>
      </c>
      <c r="P53" s="454">
        <f t="shared" si="18"/>
        <v>0.46908504116657401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2.0222402754122113</v>
      </c>
      <c r="P54" s="454">
        <f t="shared" si="18"/>
        <v>5.5582821203029372E-3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8.7782902714660764</v>
      </c>
      <c r="P55" s="454">
        <f t="shared" si="18"/>
        <v>2.4127802445618563E-2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34.865375635150016</v>
      </c>
      <c r="P56" s="453">
        <f t="shared" si="18"/>
        <v>9.5830152512909342E-2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52.050426293975214</v>
      </c>
      <c r="P57" s="453">
        <f t="shared" si="18"/>
        <v>0.14306457909160941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90.413170179842297</v>
      </c>
      <c r="P58" s="453">
        <f t="shared" si="18"/>
        <v>0.2485075158282497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88.114832658523227</v>
      </c>
      <c r="P59" s="454">
        <f t="shared" si="18"/>
        <v>0.2421903593031354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44.103952244482194</v>
      </c>
      <c r="P60" s="454">
        <f t="shared" si="18"/>
        <v>0.12122308717505413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44.010880414041026</v>
      </c>
      <c r="P61" s="454">
        <f t="shared" si="18"/>
        <v>0.12096727212808125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2.2983375213190769</v>
      </c>
      <c r="P62" s="454">
        <f t="shared" si="18"/>
        <v>6.3171565251143027E-3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5.0304682369694236</v>
      </c>
      <c r="P64" s="612">
        <f t="shared" si="18"/>
        <v>1.3826626834736289E-2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桜川市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843.24360000000001</v>
      </c>
      <c r="AI7" s="78">
        <f>VLOOKUP(年度マスタ!$K$4&amp;"_"&amp;$AG7,データシート1!$A:$BT,MATCH("ab_"&amp;AI$2,データシート1!$A$1:$BT$1,0),0)</f>
        <v>1645</v>
      </c>
      <c r="AJ7" s="78">
        <f>VLOOKUP(年度マスタ!$K$4&amp;"_"&amp;$AG7,データシート1!$A:$BT,MATCH("ab_"&amp;AJ$2,データシート1!$A$1:$BT$1,0),0)</f>
        <v>236</v>
      </c>
      <c r="AK7" s="78">
        <f>VLOOKUP(年度マスタ!$K$4&amp;"_"&amp;$AG7,データシート1!$A:$BT,MATCH("ab_"&amp;AK$2,データシート1!$A$1:$BT$1,0),0)</f>
        <v>11520</v>
      </c>
      <c r="AL7" s="78">
        <f>VLOOKUP(年度マスタ!$K$4&amp;"_"&amp;$AG7,データシート1!$A:$BT,MATCH("ab_"&amp;AL$2,データシート1!$A$1:$BT$1,0),0)</f>
        <v>14850</v>
      </c>
      <c r="AM7" s="78">
        <f>VLOOKUP(年度マスタ!$K$4&amp;"_"&amp;$AG7,データシート1!$A:$BT,MATCH("ab_"&amp;AM$2,データシート1!$A$1:$BT$1,0),0)</f>
        <v>30360</v>
      </c>
      <c r="AN7" s="78">
        <f>VLOOKUP(年度マスタ!$K$4&amp;"_"&amp;$AG7,データシート1!$A:$BT,MATCH("ab_"&amp;AN$2,データシート1!$A$1:$BT$1,0),0)</f>
        <v>10896</v>
      </c>
      <c r="AO7" s="78">
        <f>VLOOKUP(年度マスタ!$K$4&amp;"_"&amp;$AG7,データシート1!$A:$BT,MATCH("ab_"&amp;AO$2,データシート1!$A$1:$BT$1,0),0)</f>
        <v>47625</v>
      </c>
      <c r="AP7" s="78">
        <f>VLOOKUP(年度マスタ!$K$4&amp;"_"&amp;$AG7,データシート1!$A:$BT,MATCH("ab_"&amp;AP$2,データシート1!$A$1:$BT$1,0),0)</f>
        <v>0</v>
      </c>
      <c r="AQ7" s="954">
        <f>VLOOKUP(年度マスタ!$K$4&amp;"_"&amp;$AG7,データシート1!$A:$BT,MATCH("ab_"&amp;AQ$2,データシート1!$A$1:$BT$1,0),0)</f>
        <v>5.424508550483095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1031.0966000000001</v>
      </c>
      <c r="AI8" s="78">
        <f>VLOOKUP(年度マスタ!$K$4&amp;"_"&amp;$AG8,データシート1!$A:$BT,MATCH("ab_"&amp;AI$2,データシート1!$A$1:$BT$1,0),0)</f>
        <v>1645</v>
      </c>
      <c r="AJ8" s="78">
        <f>VLOOKUP(年度マスタ!$K$4&amp;"_"&amp;$AG8,データシート1!$A:$BT,MATCH("ab_"&amp;AJ$2,データシート1!$A$1:$BT$1,0),0)</f>
        <v>236</v>
      </c>
      <c r="AK8" s="78">
        <f>VLOOKUP(年度マスタ!$K$4&amp;"_"&amp;$AG8,データシート1!$A:$BT,MATCH("ab_"&amp;AK$2,データシート1!$A$1:$BT$1,0),0)</f>
        <v>11520</v>
      </c>
      <c r="AL8" s="78">
        <f>VLOOKUP(年度マスタ!$K$4&amp;"_"&amp;$AG8,データシート1!$A:$BT,MATCH("ab_"&amp;AL$2,データシート1!$A$1:$BT$1,0),0)</f>
        <v>14903</v>
      </c>
      <c r="AM8" s="78">
        <f>VLOOKUP(年度マスタ!$K$4&amp;"_"&amp;$AG8,データシート1!$A:$BT,MATCH("ab_"&amp;AM$2,データシート1!$A$1:$BT$1,0),0)</f>
        <v>30537</v>
      </c>
      <c r="AN8" s="78">
        <f>VLOOKUP(年度マスタ!$K$4&amp;"_"&amp;$AG8,データシート1!$A:$BT,MATCH("ab_"&amp;AN$2,データシート1!$A$1:$BT$1,0),0)</f>
        <v>10715</v>
      </c>
      <c r="AO8" s="78">
        <f>VLOOKUP(年度マスタ!$K$4&amp;"_"&amp;$AG8,データシート1!$A:$BT,MATCH("ab_"&amp;AO$2,データシート1!$A$1:$BT$1,0),0)</f>
        <v>47062</v>
      </c>
      <c r="AP8" s="78">
        <f>VLOOKUP(年度マスタ!$K$4&amp;"_"&amp;$AG8,データシート1!$A:$BT,MATCH("ab_"&amp;AP$2,データシート1!$A$1:$BT$1,0),0)</f>
        <v>0</v>
      </c>
      <c r="AQ8" s="954">
        <f>VLOOKUP(年度マスタ!$K$4&amp;"_"&amp;$AG8,データシート1!$A:$BT,MATCH("ab_"&amp;AQ$2,データシート1!$A$1:$BT$1,0),0)</f>
        <v>5.8901891515799063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724.19759999999997</v>
      </c>
      <c r="AI9" s="78">
        <f>VLOOKUP(年度マスタ!$K$4&amp;"_"&amp;$AG9,データシート1!$A:$BT,MATCH("ab_"&amp;AI$2,データシート1!$A$1:$BT$1,0),0)</f>
        <v>1645</v>
      </c>
      <c r="AJ9" s="78">
        <f>VLOOKUP(年度マスタ!$K$4&amp;"_"&amp;$AG9,データシート1!$A:$BT,MATCH("ab_"&amp;AJ$2,データシート1!$A$1:$BT$1,0),0)</f>
        <v>236</v>
      </c>
      <c r="AK9" s="78">
        <f>VLOOKUP(年度マスタ!$K$4&amp;"_"&amp;$AG9,データシート1!$A:$BT,MATCH("ab_"&amp;AK$2,データシート1!$A$1:$BT$1,0),0)</f>
        <v>11520</v>
      </c>
      <c r="AL9" s="78">
        <f>VLOOKUP(年度マスタ!$K$4&amp;"_"&amp;$AG9,データシート1!$A:$BT,MATCH("ab_"&amp;AL$2,データシート1!$A$1:$BT$1,0),0)</f>
        <v>14970</v>
      </c>
      <c r="AM9" s="78">
        <f>VLOOKUP(年度マスタ!$K$4&amp;"_"&amp;$AG9,データシート1!$A:$BT,MATCH("ab_"&amp;AM$2,データシート1!$A$1:$BT$1,0),0)</f>
        <v>30791</v>
      </c>
      <c r="AN9" s="78">
        <f>VLOOKUP(年度マスタ!$K$4&amp;"_"&amp;$AG9,データシート1!$A:$BT,MATCH("ab_"&amp;AN$2,データシート1!$A$1:$BT$1,0),0)</f>
        <v>10576</v>
      </c>
      <c r="AO9" s="78">
        <f>VLOOKUP(年度マスタ!$K$4&amp;"_"&amp;$AG9,データシート1!$A:$BT,MATCH("ab_"&amp;AO$2,データシート1!$A$1:$BT$1,0),0)</f>
        <v>46466</v>
      </c>
      <c r="AP9" s="78">
        <f>VLOOKUP(年度マスタ!$K$4&amp;"_"&amp;$AG9,データシート1!$A:$BT,MATCH("ab_"&amp;AP$2,データシート1!$A$1:$BT$1,0),0)</f>
        <v>0</v>
      </c>
      <c r="AQ9" s="954">
        <f>VLOOKUP(年度マスタ!$K$4&amp;"_"&amp;$AG9,データシート1!$A:$BT,MATCH("ab_"&amp;AQ$2,データシート1!$A$1:$BT$1,0),0)</f>
        <v>6.8306133300064182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1106.6685</v>
      </c>
      <c r="AI10" s="78">
        <f>VLOOKUP(年度マスタ!$K$4&amp;"_"&amp;$AG10,データシート1!$A:$BT,MATCH("ab_"&amp;AI$2,データシート1!$A$1:$BT$1,0),0)</f>
        <v>1645</v>
      </c>
      <c r="AJ10" s="78">
        <f>VLOOKUP(年度マスタ!$K$4&amp;"_"&amp;$AG10,データシート1!$A:$BT,MATCH("ab_"&amp;AJ$2,データシート1!$A$1:$BT$1,0),0)</f>
        <v>236</v>
      </c>
      <c r="AK10" s="78">
        <f>VLOOKUP(年度マスタ!$K$4&amp;"_"&amp;$AG10,データシート1!$A:$BT,MATCH("ab_"&amp;AK$2,データシート1!$A$1:$BT$1,0),0)</f>
        <v>11520</v>
      </c>
      <c r="AL10" s="78">
        <f>VLOOKUP(年度マスタ!$K$4&amp;"_"&amp;$AG10,データシート1!$A:$BT,MATCH("ab_"&amp;AL$2,データシート1!$A$1:$BT$1,0),0)</f>
        <v>15129</v>
      </c>
      <c r="AM10" s="78">
        <f>VLOOKUP(年度マスタ!$K$4&amp;"_"&amp;$AG10,データシート1!$A:$BT,MATCH("ab_"&amp;AM$2,データシート1!$A$1:$BT$1,0),0)</f>
        <v>31055</v>
      </c>
      <c r="AN10" s="78">
        <f>VLOOKUP(年度マスタ!$K$4&amp;"_"&amp;$AG10,データシート1!$A:$BT,MATCH("ab_"&amp;AN$2,データシート1!$A$1:$BT$1,0),0)</f>
        <v>10445</v>
      </c>
      <c r="AO10" s="78">
        <f>VLOOKUP(年度マスタ!$K$4&amp;"_"&amp;$AG10,データシート1!$A:$BT,MATCH("ab_"&amp;AO$2,データシート1!$A$1:$BT$1,0),0)</f>
        <v>46070</v>
      </c>
      <c r="AP10" s="78">
        <f>VLOOKUP(年度マスタ!$K$4&amp;"_"&amp;$AG10,データシート1!$A:$BT,MATCH("ab_"&amp;AP$2,データシート1!$A$1:$BT$1,0),0)</f>
        <v>0</v>
      </c>
      <c r="AQ10" s="954">
        <f>VLOOKUP(年度マスタ!$K$4&amp;"_"&amp;$AG10,データシート1!$A:$BT,MATCH("ab_"&amp;AQ$2,データシート1!$A$1:$BT$1,0),0)</f>
        <v>6.3252716681135874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1109.8585</v>
      </c>
      <c r="AI11" s="78">
        <f>VLOOKUP(年度マスタ!$K$4&amp;"_"&amp;$AG11,データシート1!$A:$BT,MATCH("ab_"&amp;AI$2,データシート1!$A$1:$BT$1,0),0)</f>
        <v>1645</v>
      </c>
      <c r="AJ11" s="78">
        <f>VLOOKUP(年度マスタ!$K$4&amp;"_"&amp;$AG11,データシート1!$A:$BT,MATCH("ab_"&amp;AJ$2,データシート1!$A$1:$BT$1,0),0)</f>
        <v>236</v>
      </c>
      <c r="AK11" s="78">
        <f>VLOOKUP(年度マスタ!$K$4&amp;"_"&amp;$AG11,データシート1!$A:$BT,MATCH("ab_"&amp;AK$2,データシート1!$A$1:$BT$1,0),0)</f>
        <v>11520</v>
      </c>
      <c r="AL11" s="78">
        <f>VLOOKUP(年度マスタ!$K$4&amp;"_"&amp;$AG11,データシート1!$A:$BT,MATCH("ab_"&amp;AL$2,データシート1!$A$1:$BT$1,0),0)</f>
        <v>15196</v>
      </c>
      <c r="AM11" s="78">
        <f>VLOOKUP(年度マスタ!$K$4&amp;"_"&amp;$AG11,データシート1!$A:$BT,MATCH("ab_"&amp;AM$2,データシート1!$A$1:$BT$1,0),0)</f>
        <v>31273</v>
      </c>
      <c r="AN11" s="78">
        <f>VLOOKUP(年度マスタ!$K$4&amp;"_"&amp;$AG11,データシート1!$A:$BT,MATCH("ab_"&amp;AN$2,データシート1!$A$1:$BT$1,0),0)</f>
        <v>10413</v>
      </c>
      <c r="AO11" s="78">
        <f>VLOOKUP(年度マスタ!$K$4&amp;"_"&amp;$AG11,データシート1!$A:$BT,MATCH("ab_"&amp;AO$2,データシート1!$A$1:$BT$1,0),0)</f>
        <v>45715</v>
      </c>
      <c r="AP11" s="78">
        <f>VLOOKUP(年度マスタ!$K$4&amp;"_"&amp;$AG11,データシート1!$A:$BT,MATCH("ab_"&amp;AP$2,データシート1!$A$1:$BT$1,0),0)</f>
        <v>0</v>
      </c>
      <c r="AQ11" s="954">
        <f>VLOOKUP(年度マスタ!$K$4&amp;"_"&amp;$AG11,データシート1!$A:$BT,MATCH("ab_"&amp;AQ$2,データシート1!$A$1:$BT$1,0),0)</f>
        <v>7.9621190116906551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1121.3742</v>
      </c>
      <c r="AI12" s="78">
        <f>VLOOKUP(年度マスタ!$K$4&amp;"_"&amp;$AG12,データシート1!$A:$BT,MATCH("ab_"&amp;AI$2,データシート1!$A$1:$BT$1,0),0)</f>
        <v>1173</v>
      </c>
      <c r="AJ12" s="78">
        <f>VLOOKUP(年度マスタ!$K$4&amp;"_"&amp;$AG12,データシート1!$A:$BT,MATCH("ab_"&amp;AJ$2,データシート1!$A$1:$BT$1,0),0)</f>
        <v>298</v>
      </c>
      <c r="AK12" s="78">
        <f>VLOOKUP(年度マスタ!$K$4&amp;"_"&amp;$AG12,データシート1!$A:$BT,MATCH("ab_"&amp;AK$2,データシート1!$A$1:$BT$1,0),0)</f>
        <v>9657</v>
      </c>
      <c r="AL12" s="78">
        <f>VLOOKUP(年度マスタ!$K$4&amp;"_"&amp;$AG12,データシート1!$A:$BT,MATCH("ab_"&amp;AL$2,データシート1!$A$1:$BT$1,0),0)</f>
        <v>15221</v>
      </c>
      <c r="AM12" s="78">
        <f>VLOOKUP(年度マスタ!$K$4&amp;"_"&amp;$AG12,データシート1!$A:$BT,MATCH("ab_"&amp;AM$2,データシート1!$A$1:$BT$1,0),0)</f>
        <v>31403</v>
      </c>
      <c r="AN12" s="78">
        <f>VLOOKUP(年度マスタ!$K$4&amp;"_"&amp;$AG12,データシート1!$A:$BT,MATCH("ab_"&amp;AN$2,データシート1!$A$1:$BT$1,0),0)</f>
        <v>10249</v>
      </c>
      <c r="AO12" s="78">
        <f>VLOOKUP(年度マスタ!$K$4&amp;"_"&amp;$AG12,データシート1!$A:$BT,MATCH("ab_"&amp;AO$2,データシート1!$A$1:$BT$1,0),0)</f>
        <v>45039</v>
      </c>
      <c r="AP12" s="78">
        <f>VLOOKUP(年度マスタ!$K$4&amp;"_"&amp;$AG12,データシート1!$A:$BT,MATCH("ab_"&amp;AP$2,データシート1!$A$1:$BT$1,0),0)</f>
        <v>0</v>
      </c>
      <c r="AQ12" s="954">
        <f>VLOOKUP(年度マスタ!$K$4&amp;"_"&amp;$AG12,データシート1!$A:$BT,MATCH("ab_"&amp;AQ$2,データシート1!$A$1:$BT$1,0),0)</f>
        <v>6.2250965977931516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1152.1815999999999</v>
      </c>
      <c r="AI13" s="78">
        <f>VLOOKUP(年度マスタ!$K$4&amp;"_"&amp;$AG13,データシート1!$A:$BT,MATCH("ab_"&amp;AI$2,データシート1!$A$1:$BT$1,0),0)</f>
        <v>1173</v>
      </c>
      <c r="AJ13" s="78">
        <f>VLOOKUP(年度マスタ!$K$4&amp;"_"&amp;$AG13,データシート1!$A:$BT,MATCH("ab_"&amp;AJ$2,データシート1!$A$1:$BT$1,0),0)</f>
        <v>298</v>
      </c>
      <c r="AK13" s="78">
        <f>VLOOKUP(年度マスタ!$K$4&amp;"_"&amp;$AG13,データシート1!$A:$BT,MATCH("ab_"&amp;AK$2,データシート1!$A$1:$BT$1,0),0)</f>
        <v>9657</v>
      </c>
      <c r="AL13" s="78">
        <f>VLOOKUP(年度マスタ!$K$4&amp;"_"&amp;$AG13,データシート1!$A:$BT,MATCH("ab_"&amp;AL$2,データシート1!$A$1:$BT$1,0),0)</f>
        <v>15264</v>
      </c>
      <c r="AM13" s="78">
        <f>VLOOKUP(年度マスタ!$K$4&amp;"_"&amp;$AG13,データシート1!$A:$BT,MATCH("ab_"&amp;AM$2,データシート1!$A$1:$BT$1,0),0)</f>
        <v>31427</v>
      </c>
      <c r="AN13" s="78">
        <f>VLOOKUP(年度マスタ!$K$4&amp;"_"&amp;$AG13,データシート1!$A:$BT,MATCH("ab_"&amp;AN$2,データシート1!$A$1:$BT$1,0),0)</f>
        <v>10120</v>
      </c>
      <c r="AO13" s="78">
        <f>VLOOKUP(年度マスタ!$K$4&amp;"_"&amp;$AG13,データシート1!$A:$BT,MATCH("ab_"&amp;AO$2,データシート1!$A$1:$BT$1,0),0)</f>
        <v>44312</v>
      </c>
      <c r="AP13" s="78">
        <f>VLOOKUP(年度マスタ!$K$4&amp;"_"&amp;$AG13,データシート1!$A:$BT,MATCH("ab_"&amp;AP$2,データシート1!$A$1:$BT$1,0),0)</f>
        <v>0</v>
      </c>
      <c r="AQ13" s="954">
        <f>VLOOKUP(年度マスタ!$K$4&amp;"_"&amp;$AG13,データシート1!$A:$BT,MATCH("ab_"&amp;AQ$2,データシート1!$A$1:$BT$1,0),0)</f>
        <v>6.3484698599952427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992.47950000000003</v>
      </c>
      <c r="AI14" s="78">
        <f>VLOOKUP(年度マスタ!$K$4&amp;"_"&amp;$AG14,データシート1!$A:$BT,MATCH("ab_"&amp;AI$2,データシート1!$A$1:$BT$1,0),0)</f>
        <v>1173</v>
      </c>
      <c r="AJ14" s="78">
        <f>VLOOKUP(年度マスタ!$K$4&amp;"_"&amp;$AG14,データシート1!$A:$BT,MATCH("ab_"&amp;AJ$2,データシート1!$A$1:$BT$1,0),0)</f>
        <v>298</v>
      </c>
      <c r="AK14" s="78">
        <f>VLOOKUP(年度マスタ!$K$4&amp;"_"&amp;$AG14,データシート1!$A:$BT,MATCH("ab_"&amp;AK$2,データシート1!$A$1:$BT$1,0),0)</f>
        <v>9657</v>
      </c>
      <c r="AL14" s="78">
        <f>VLOOKUP(年度マスタ!$K$4&amp;"_"&amp;$AG14,データシート1!$A:$BT,MATCH("ab_"&amp;AL$2,データシート1!$A$1:$BT$1,0),0)</f>
        <v>15317</v>
      </c>
      <c r="AM14" s="78">
        <f>VLOOKUP(年度マスタ!$K$4&amp;"_"&amp;$AG14,データシート1!$A:$BT,MATCH("ab_"&amp;AM$2,データシート1!$A$1:$BT$1,0),0)</f>
        <v>31515</v>
      </c>
      <c r="AN14" s="78">
        <f>VLOOKUP(年度マスタ!$K$4&amp;"_"&amp;$AG14,データシート1!$A:$BT,MATCH("ab_"&amp;AN$2,データシート1!$A$1:$BT$1,0),0)</f>
        <v>10044</v>
      </c>
      <c r="AO14" s="78">
        <f>VLOOKUP(年度マスタ!$K$4&amp;"_"&amp;$AG14,データシート1!$A:$BT,MATCH("ab_"&amp;AO$2,データシート1!$A$1:$BT$1,0),0)</f>
        <v>43643</v>
      </c>
      <c r="AP14" s="78">
        <f>VLOOKUP(年度マスタ!$K$4&amp;"_"&amp;$AG14,データシート1!$A:$BT,MATCH("ab_"&amp;AP$2,データシート1!$A$1:$BT$1,0),0)</f>
        <v>0</v>
      </c>
      <c r="AQ14" s="954">
        <f>VLOOKUP(年度マスタ!$K$4&amp;"_"&amp;$AG14,データシート1!$A:$BT,MATCH("ab_"&amp;AQ$2,データシート1!$A$1:$BT$1,0),0)</f>
        <v>5.7529397538093958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997.07150000000001</v>
      </c>
      <c r="AI15" s="78">
        <f>VLOOKUP(年度マスタ!$K$4&amp;"_"&amp;$AG15,データシート1!$A:$BT,MATCH("ab_"&amp;AI$2,データシート1!$A$1:$BT$1,0),0)</f>
        <v>1173</v>
      </c>
      <c r="AJ15" s="78">
        <f>VLOOKUP(年度マスタ!$K$4&amp;"_"&amp;$AG15,データシート1!$A:$BT,MATCH("ab_"&amp;AJ$2,データシート1!$A$1:$BT$1,0),0)</f>
        <v>298</v>
      </c>
      <c r="AK15" s="78">
        <f>VLOOKUP(年度マスタ!$K$4&amp;"_"&amp;$AG15,データシート1!$A:$BT,MATCH("ab_"&amp;AK$2,データシート1!$A$1:$BT$1,0),0)</f>
        <v>9657</v>
      </c>
      <c r="AL15" s="78">
        <f>VLOOKUP(年度マスタ!$K$4&amp;"_"&amp;$AG15,データシート1!$A:$BT,MATCH("ab_"&amp;AL$2,データシート1!$A$1:$BT$1,0),0)</f>
        <v>15392</v>
      </c>
      <c r="AM15" s="78">
        <f>VLOOKUP(年度マスタ!$K$4&amp;"_"&amp;$AG15,データシート1!$A:$BT,MATCH("ab_"&amp;AM$2,データシート1!$A$1:$BT$1,0),0)</f>
        <v>31488</v>
      </c>
      <c r="AN15" s="78">
        <f>VLOOKUP(年度マスタ!$K$4&amp;"_"&amp;$AG15,データシート1!$A:$BT,MATCH("ab_"&amp;AN$2,データシート1!$A$1:$BT$1,0),0)</f>
        <v>9930</v>
      </c>
      <c r="AO15" s="78">
        <f>VLOOKUP(年度マスタ!$K$4&amp;"_"&amp;$AG15,データシート1!$A:$BT,MATCH("ab_"&amp;AO$2,データシート1!$A$1:$BT$1,0),0)</f>
        <v>42990</v>
      </c>
      <c r="AP15" s="78">
        <f>VLOOKUP(年度マスタ!$K$4&amp;"_"&amp;$AG15,データシート1!$A:$BT,MATCH("ab_"&amp;AP$2,データシート1!$A$1:$BT$1,0),0)</f>
        <v>0</v>
      </c>
      <c r="AQ15" s="954">
        <f>VLOOKUP(年度マスタ!$K$4&amp;"_"&amp;$AG15,データシート1!$A:$BT,MATCH("ab_"&amp;AQ$2,データシート1!$A$1:$BT$1,0),0)</f>
        <v>6.2598939537679392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1004.6496</v>
      </c>
      <c r="AI16" s="78">
        <f>VLOOKUP(年度マスタ!$K$4&amp;"_"&amp;$AG16,データシート1!$A:$BT,MATCH("ab_"&amp;AI$2,データシート1!$A$1:$BT$1,0),0)</f>
        <v>1173</v>
      </c>
      <c r="AJ16" s="78">
        <f>VLOOKUP(年度マスタ!$K$4&amp;"_"&amp;$AG16,データシート1!$A:$BT,MATCH("ab_"&amp;AJ$2,データシート1!$A$1:$BT$1,0),0)</f>
        <v>298</v>
      </c>
      <c r="AK16" s="78">
        <f>VLOOKUP(年度マスタ!$K$4&amp;"_"&amp;$AG16,データシート1!$A:$BT,MATCH("ab_"&amp;AK$2,データシート1!$A$1:$BT$1,0),0)</f>
        <v>9657</v>
      </c>
      <c r="AL16" s="78">
        <f>VLOOKUP(年度マスタ!$K$4&amp;"_"&amp;$AG16,データシート1!$A:$BT,MATCH("ab_"&amp;AL$2,データシート1!$A$1:$BT$1,0),0)</f>
        <v>15362</v>
      </c>
      <c r="AM16" s="78">
        <f>VLOOKUP(年度マスタ!$K$4&amp;"_"&amp;$AG16,データシート1!$A:$BT,MATCH("ab_"&amp;AM$2,データシート1!$A$1:$BT$1,0),0)</f>
        <v>31301</v>
      </c>
      <c r="AN16" s="78">
        <f>VLOOKUP(年度マスタ!$K$4&amp;"_"&amp;$AG16,データシート1!$A:$BT,MATCH("ab_"&amp;AN$2,データシート1!$A$1:$BT$1,0),0)</f>
        <v>9821</v>
      </c>
      <c r="AO16" s="78">
        <f>VLOOKUP(年度マスタ!$K$4&amp;"_"&amp;$AG16,データシート1!$A:$BT,MATCH("ab_"&amp;AO$2,データシート1!$A$1:$BT$1,0),0)</f>
        <v>42126</v>
      </c>
      <c r="AP16" s="78">
        <f>VLOOKUP(年度マスタ!$K$4&amp;"_"&amp;$AG16,データシート1!$A:$BT,MATCH("ab_"&amp;AP$2,データシート1!$A$1:$BT$1,0),0)</f>
        <v>0</v>
      </c>
      <c r="AQ16" s="954">
        <f>VLOOKUP(年度マスタ!$K$4&amp;"_"&amp;$AG16,データシート1!$A:$BT,MATCH("ab_"&amp;AQ$2,データシート1!$A$1:$BT$1,0),0)</f>
        <v>6.0652922432725456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969.40809999999999</v>
      </c>
      <c r="AI17" s="151">
        <f>VLOOKUP(年度マスタ!$K$4&amp;"_"&amp;$AG17,データシート1!$A:$BT,MATCH("ab_"&amp;AI$2,データシート1!$A$1:$BT$1,0),0)</f>
        <v>1173</v>
      </c>
      <c r="AJ17" s="151">
        <f>VLOOKUP(年度マスタ!$K$4&amp;"_"&amp;$AG17,データシート1!$A:$BT,MATCH("ab_"&amp;AJ$2,データシート1!$A$1:$BT$1,0),0)</f>
        <v>298</v>
      </c>
      <c r="AK17" s="151">
        <f>VLOOKUP(年度マスタ!$K$4&amp;"_"&amp;$AG17,データシート1!$A:$BT,MATCH("ab_"&amp;AK$2,データシート1!$A$1:$BT$1,0),0)</f>
        <v>9657</v>
      </c>
      <c r="AL17" s="151">
        <f>VLOOKUP(年度マスタ!$K$4&amp;"_"&amp;$AG17,データシート1!$A:$BT,MATCH("ab_"&amp;AL$2,データシート1!$A$1:$BT$1,0),0)</f>
        <v>15456</v>
      </c>
      <c r="AM17" s="151">
        <f>VLOOKUP(年度マスタ!$K$4&amp;"_"&amp;$AG17,データシート1!$A:$BT,MATCH("ab_"&amp;AM$2,データシート1!$A$1:$BT$1,0),0)</f>
        <v>31312</v>
      </c>
      <c r="AN17" s="151">
        <f>VLOOKUP(年度マスタ!$K$4&amp;"_"&amp;$AG17,データシート1!$A:$BT,MATCH("ab_"&amp;AN$2,データシート1!$A$1:$BT$1,0),0)</f>
        <v>9645</v>
      </c>
      <c r="AO17" s="151">
        <f>VLOOKUP(年度マスタ!$K$4&amp;"_"&amp;$AG17,データシート1!$A:$BT,MATCH("ab_"&amp;AO$2,データシート1!$A$1:$BT$1,0),0)</f>
        <v>41440</v>
      </c>
      <c r="AP17" s="151">
        <f>VLOOKUP(年度マスタ!$K$4&amp;"_"&amp;$AG17,データシート1!$A:$BT,MATCH("ab_"&amp;AP$2,データシート1!$A$1:$BT$1,0),0)</f>
        <v>0</v>
      </c>
      <c r="AQ17" s="955">
        <f>VLOOKUP(年度マスタ!$K$4&amp;"_"&amp;$AG17,データシート1!$A:$BT,MATCH("ab_"&amp;AQ$2,データシート1!$A$1:$BT$1,0),0)</f>
        <v>6.6943570659122038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994.60950000000003</v>
      </c>
      <c r="AI18" s="78">
        <f>VLOOKUP(年度マスタ!$K$4&amp;"_"&amp;$AG18,データシート1!$A:$BT,MATCH("ab_"&amp;AI$2,データシート1!$A$1:$BT$1,0),0)</f>
        <v>975</v>
      </c>
      <c r="AJ18" s="78">
        <f>VLOOKUP(年度マスタ!$K$4&amp;"_"&amp;$AG18,データシート1!$A:$BT,MATCH("ab_"&amp;AJ$2,データシート1!$A$1:$BT$1,0),0)</f>
        <v>233</v>
      </c>
      <c r="AK18" s="78">
        <f>VLOOKUP(年度マスタ!$K$4&amp;"_"&amp;$AG18,データシート1!$A:$BT,MATCH("ab_"&amp;AK$2,データシート1!$A$1:$BT$1,0),0)</f>
        <v>8761</v>
      </c>
      <c r="AL18" s="78">
        <f>VLOOKUP(年度マスタ!$K$4&amp;"_"&amp;$AG18,データシート1!$A:$BT,MATCH("ab_"&amp;AL$2,データシート1!$A$1:$BT$1,0),0)</f>
        <v>15431</v>
      </c>
      <c r="AM18" s="78">
        <f>VLOOKUP(年度マスタ!$K$4&amp;"_"&amp;$AG18,データシート1!$A:$BT,MATCH("ab_"&amp;AM$2,データシート1!$A$1:$BT$1,0),0)</f>
        <v>31138</v>
      </c>
      <c r="AN18" s="78">
        <f>VLOOKUP(年度マスタ!$K$4&amp;"_"&amp;$AG18,データシート1!$A:$BT,MATCH("ab_"&amp;AN$2,データシート1!$A$1:$BT$1,0),0)</f>
        <v>9656</v>
      </c>
      <c r="AO18" s="78">
        <f>VLOOKUP(年度マスタ!$K$4&amp;"_"&amp;$AG18,データシート1!$A:$BT,MATCH("ab_"&amp;AO$2,データシート1!$A$1:$BT$1,0),0)</f>
        <v>40606</v>
      </c>
      <c r="AP18" s="78">
        <f>VLOOKUP(年度マスタ!$K$4&amp;"_"&amp;$AG18,データシート1!$A:$BT,MATCH("ab_"&amp;AP$2,データシート1!$A$1:$BT$1,0),0)</f>
        <v>0</v>
      </c>
      <c r="AQ18" s="954">
        <f>VLOOKUP(年度マスタ!$K$4&amp;"_"&amp;$AG18,データシート1!$A:$BT,MATCH("ab_"&amp;AQ$2,データシート1!$A$1:$BT$1,0),0)</f>
        <v>6.2135043294186554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1049.5425</v>
      </c>
      <c r="AI19" s="78">
        <f>VLOOKUP(年度マスタ!$K$4&amp;"_"&amp;$AG19,データシート1!$A:$BT,MATCH("ab_"&amp;AI$2,データシート1!$A$1:$BT$1,0),0)</f>
        <v>975</v>
      </c>
      <c r="AJ19" s="78">
        <f>VLOOKUP(年度マスタ!$K$4&amp;"_"&amp;$AG19,データシート1!$A:$BT,MATCH("ab_"&amp;AJ$2,データシート1!$A$1:$BT$1,0),0)</f>
        <v>233</v>
      </c>
      <c r="AK19" s="78">
        <f>VLOOKUP(年度マスタ!$K$4&amp;"_"&amp;$AG19,データシート1!$A:$BT,MATCH("ab_"&amp;AK$2,データシート1!$A$1:$BT$1,0),0)</f>
        <v>8761</v>
      </c>
      <c r="AL19" s="78">
        <f>VLOOKUP(年度マスタ!$K$4&amp;"_"&amp;$AG19,データシート1!$A:$BT,MATCH("ab_"&amp;AL$2,データシート1!$A$1:$BT$1,0),0)</f>
        <v>15449</v>
      </c>
      <c r="AM19" s="78">
        <f>VLOOKUP(年度マスタ!$K$4&amp;"_"&amp;$AG19,データシート1!$A:$BT,MATCH("ab_"&amp;AM$2,データシート1!$A$1:$BT$1,0),0)</f>
        <v>30936</v>
      </c>
      <c r="AN19" s="78">
        <f>VLOOKUP(年度マスタ!$K$4&amp;"_"&amp;$AG19,データシート1!$A:$BT,MATCH("ab_"&amp;AN$2,データシート1!$A$1:$BT$1,0),0)</f>
        <v>9650</v>
      </c>
      <c r="AO19" s="78">
        <f>VLOOKUP(年度マスタ!$K$4&amp;"_"&amp;$AG19,データシート1!$A:$BT,MATCH("ab_"&amp;AO$2,データシート1!$A$1:$BT$1,0),0)</f>
        <v>39845</v>
      </c>
      <c r="AP19" s="78">
        <f>VLOOKUP(年度マスタ!$K$4&amp;"_"&amp;$AG19,データシート1!$A:$BT,MATCH("ab_"&amp;AP$2,データシート1!$A$1:$BT$1,0),0)</f>
        <v>0</v>
      </c>
      <c r="AQ19" s="954">
        <f>VLOOKUP(年度マスタ!$K$4&amp;"_"&amp;$AG19,データシート1!$A:$BT,MATCH("ab_"&amp;AQ$2,データシート1!$A$1:$BT$1,0),0)</f>
        <v>6.0899853461006828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1191.3873000000001</v>
      </c>
      <c r="AI20" s="78">
        <f>VLOOKUP(年度マスタ!$K$4&amp;"_"&amp;$AG20,データシート1!$A:$BT,MATCH("ab_"&amp;AI$2,データシート1!$A$1:$BT$1,0),0)</f>
        <v>975</v>
      </c>
      <c r="AJ20" s="78">
        <f>VLOOKUP(年度マスタ!$K$4&amp;"_"&amp;$AG20,データシート1!$A:$BT,MATCH("ab_"&amp;AJ$2,データシート1!$A$1:$BT$1,0),0)</f>
        <v>233</v>
      </c>
      <c r="AK20" s="78">
        <f>VLOOKUP(年度マスタ!$K$4&amp;"_"&amp;$AG20,データシート1!$A:$BT,MATCH("ab_"&amp;AK$2,データシート1!$A$1:$BT$1,0),0)</f>
        <v>8761</v>
      </c>
      <c r="AL20" s="78">
        <f>VLOOKUP(年度マスタ!$K$4&amp;"_"&amp;$AG20,データシート1!$A:$BT,MATCH("ab_"&amp;AL$2,データシート1!$A$1:$BT$1,0),0)</f>
        <v>15478</v>
      </c>
      <c r="AM20" s="78">
        <f>VLOOKUP(年度マスタ!$K$4&amp;"_"&amp;$AG20,データシート1!$A:$BT,MATCH("ab_"&amp;AM$2,データシート1!$A$1:$BT$1,0),0)</f>
        <v>30831</v>
      </c>
      <c r="AN20" s="78">
        <f>VLOOKUP(年度マスタ!$K$4&amp;"_"&amp;$AG20,データシート1!$A:$BT,MATCH("ab_"&amp;AN$2,データシート1!$A$1:$BT$1,0),0)</f>
        <v>9616</v>
      </c>
      <c r="AO20" s="78">
        <f>VLOOKUP(年度マスタ!$K$4&amp;"_"&amp;$AG20,データシート1!$A:$BT,MATCH("ab_"&amp;AO$2,データシート1!$A$1:$BT$1,0),0)</f>
        <v>39041</v>
      </c>
      <c r="AP20" s="78">
        <f>VLOOKUP(年度マスタ!$K$4&amp;"_"&amp;$AG20,データシート1!$A:$BT,MATCH("ab_"&amp;AP$2,データシート1!$A$1:$BT$1,0),0)</f>
        <v>0</v>
      </c>
      <c r="AQ20" s="954">
        <f>VLOOKUP(年度マスタ!$K$4&amp;"_"&amp;$AG20,データシート1!$A:$BT,MATCH("ab_"&amp;AQ$2,データシート1!$A$1:$BT$1,0),0)</f>
        <v>5.0304682369694236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桜川市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11.76</v>
      </c>
      <c r="BE13" s="70" t="str">
        <f>年度マスタ!K4</f>
        <v>08231</v>
      </c>
      <c r="BF13" s="70" t="str">
        <f>年度マスタ!K4</f>
        <v>08231</v>
      </c>
      <c r="BG13" s="70" t="str">
        <f>年度マスタ!K4</f>
        <v>08231</v>
      </c>
      <c r="BH13" s="278" t="s">
        <v>195</v>
      </c>
      <c r="BI13" s="278" t="s">
        <v>195</v>
      </c>
      <c r="BJ13" s="278" t="s">
        <v>195</v>
      </c>
      <c r="BK13" s="278" t="str">
        <f>年度マスタ!K4</f>
        <v>08231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11.76</v>
      </c>
      <c r="AY14" s="70"/>
      <c r="BE14" s="70" t="str">
        <f>AP2</f>
        <v>桜川市</v>
      </c>
      <c r="BF14" s="70" t="str">
        <f>AP2</f>
        <v>桜川市</v>
      </c>
      <c r="BG14" s="70" t="str">
        <f>AP2</f>
        <v>桜川市</v>
      </c>
      <c r="BH14" s="70" t="s">
        <v>205</v>
      </c>
      <c r="BI14" s="70" t="s">
        <v>205</v>
      </c>
      <c r="BJ14" s="70" t="s">
        <v>205</v>
      </c>
      <c r="BK14" s="70" t="str">
        <f>AP2</f>
        <v>桜川市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10.404999999999999</v>
      </c>
      <c r="G21" s="877">
        <f t="shared" ref="G21:O21" si="5">SUM(G22,G26,G27,G28)</f>
        <v>11.449</v>
      </c>
      <c r="H21" s="877">
        <f t="shared" si="5"/>
        <v>12.273999999999999</v>
      </c>
      <c r="I21" s="877">
        <f t="shared" si="5"/>
        <v>13.202</v>
      </c>
      <c r="J21" s="877">
        <f t="shared" si="5"/>
        <v>12.058999999999999</v>
      </c>
      <c r="K21" s="877">
        <f t="shared" si="5"/>
        <v>7.2850000000000001</v>
      </c>
      <c r="L21" s="877">
        <f t="shared" si="5"/>
        <v>11.992000000000001</v>
      </c>
      <c r="M21" s="877">
        <f t="shared" si="5"/>
        <v>11.976000000000001</v>
      </c>
      <c r="N21" s="877">
        <f t="shared" si="5"/>
        <v>11.484</v>
      </c>
      <c r="O21" s="877">
        <f t="shared" si="5"/>
        <v>10.545999999999999</v>
      </c>
      <c r="P21" s="878">
        <f>SUM(P22,P26,P27,P28)</f>
        <v>11.76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10.404999999999999</v>
      </c>
      <c r="G22" s="879">
        <f t="shared" ref="G22:P22" si="6">SUM(G23:G25)</f>
        <v>11.449</v>
      </c>
      <c r="H22" s="879">
        <f t="shared" si="6"/>
        <v>12.273999999999999</v>
      </c>
      <c r="I22" s="879">
        <f t="shared" si="6"/>
        <v>13.202</v>
      </c>
      <c r="J22" s="879">
        <f t="shared" si="6"/>
        <v>12.058999999999999</v>
      </c>
      <c r="K22" s="879">
        <f t="shared" si="6"/>
        <v>7.2850000000000001</v>
      </c>
      <c r="L22" s="879">
        <f t="shared" si="6"/>
        <v>11.992000000000001</v>
      </c>
      <c r="M22" s="879">
        <f t="shared" si="6"/>
        <v>11.976000000000001</v>
      </c>
      <c r="N22" s="879">
        <f t="shared" si="6"/>
        <v>11.484</v>
      </c>
      <c r="O22" s="879">
        <f t="shared" si="6"/>
        <v>10.545999999999999</v>
      </c>
      <c r="P22" s="880">
        <f t="shared" si="6"/>
        <v>11.76</v>
      </c>
      <c r="Z22" s="273"/>
      <c r="AB22" s="272"/>
      <c r="AC22" s="521" t="s">
        <v>286</v>
      </c>
      <c r="AP22" s="16" t="s">
        <v>287</v>
      </c>
      <c r="AQ22" s="273"/>
      <c r="AV22" s="70" t="str">
        <f>AW22</f>
        <v>エネルギー起源CO2</v>
      </c>
      <c r="AW22" s="70" t="str">
        <f>D56</f>
        <v>エネルギー起源CO2</v>
      </c>
      <c r="AX22" s="165">
        <f>P56</f>
        <v>11.76</v>
      </c>
      <c r="AY22" s="165">
        <f>AX22</f>
        <v>11.76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10.404999999999999</v>
      </c>
      <c r="G23" s="881">
        <f>IFERROR(VLOOKUP(年度マスタ!$K$4&amp;"_"&amp;G$20,データシート1!$A:$BU,MATCH("ba_"&amp;$E23,データシート1!$A$1:$BU$1,0),0),0)</f>
        <v>11.449</v>
      </c>
      <c r="H23" s="881">
        <f>IFERROR(VLOOKUP(年度マスタ!$K$4&amp;"_"&amp;H$20,データシート1!$A:$BU,MATCH("ba_"&amp;$E23,データシート1!$A$1:$BU$1,0),0),0)</f>
        <v>12.273999999999999</v>
      </c>
      <c r="I23" s="881">
        <f>IFERROR(VLOOKUP(年度マスタ!$K$4&amp;"_"&amp;I$20,データシート1!$A:$BU,MATCH("ba_"&amp;$E23,データシート1!$A$1:$BU$1,0),0),0)</f>
        <v>13.202</v>
      </c>
      <c r="J23" s="881">
        <f>IFERROR(VLOOKUP(年度マスタ!$K$4&amp;"_"&amp;J$20,データシート1!$A:$BU,MATCH("ba_"&amp;$E23,データシート1!$A$1:$BU$1,0),0),0)</f>
        <v>12.058999999999999</v>
      </c>
      <c r="K23" s="881">
        <f>IFERROR(VLOOKUP(年度マスタ!$K$4&amp;"_"&amp;K$20,データシート1!$A:$BU,MATCH("ba_"&amp;$E23,データシート1!$A$1:$BU$1,0),0),0)</f>
        <v>7.2850000000000001</v>
      </c>
      <c r="L23" s="881">
        <f>IFERROR(VLOOKUP(年度マスタ!$K$4&amp;"_"&amp;L$20,データシート1!$A:$BU,MATCH("ba_"&amp;$E23,データシート1!$A$1:$BU$1,0),0),0)</f>
        <v>11.992000000000001</v>
      </c>
      <c r="M23" s="881">
        <f>IFERROR(VLOOKUP(年度マスタ!$K$4&amp;"_"&amp;M$20,データシート1!$A:$BU,MATCH("ba_"&amp;$E23,データシート1!$A$1:$BU$1,0),0),0)</f>
        <v>11.976000000000001</v>
      </c>
      <c r="N23" s="881">
        <f>IFERROR(VLOOKUP(年度マスタ!$K$4&amp;"_"&amp;N$20,データシート1!$A:$BU,MATCH("ba_"&amp;$E23,データシート1!$A$1:$BU$1,0),0),0)</f>
        <v>11.484</v>
      </c>
      <c r="O23" s="881">
        <f>IFERROR(VLOOKUP(年度マスタ!$K$4&amp;"_"&amp;O$20,データシート1!$A:$BU,MATCH("ba_"&amp;$E23,データシート1!$A$1:$BU$1,0),0),0)</f>
        <v>10.545999999999999</v>
      </c>
      <c r="P23" s="882">
        <f>IFERROR(VLOOKUP(年度マスタ!$K$4&amp;"_"&amp;P$20,データシート1!$A:$BU,MATCH("ba_"&amp;$E23,データシート1!$A$1:$BU$1,0),0),0)</f>
        <v>11.76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237.9302513029827</v>
      </c>
      <c r="AG24" s="877">
        <f t="shared" ref="AG24:AP24" si="11">AG25+AG29</f>
        <v>332.39389282654537</v>
      </c>
      <c r="AH24" s="877">
        <f t="shared" si="11"/>
        <v>347.26286668272678</v>
      </c>
      <c r="AI24" s="877">
        <f t="shared" si="11"/>
        <v>315.4765644771083</v>
      </c>
      <c r="AJ24" s="877">
        <f t="shared" si="11"/>
        <v>302.21557877661746</v>
      </c>
      <c r="AK24" s="877">
        <f t="shared" si="11"/>
        <v>275.85443766495894</v>
      </c>
      <c r="AL24" s="877">
        <f t="shared" si="11"/>
        <v>240.26887911290208</v>
      </c>
      <c r="AM24" s="877">
        <f t="shared" si="11"/>
        <v>243.56555840057115</v>
      </c>
      <c r="AN24" s="877">
        <f t="shared" si="11"/>
        <v>235.59664134669271</v>
      </c>
      <c r="AO24" s="877">
        <f t="shared" si="11"/>
        <v>196.47542564735556</v>
      </c>
      <c r="AP24" s="878">
        <f t="shared" si="11"/>
        <v>221.53768857613758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175.09405687304076</v>
      </c>
      <c r="AG25" s="879">
        <f>①CO2排出量の現状把握!AA35</f>
        <v>263.70027815012884</v>
      </c>
      <c r="AH25" s="879">
        <f>①CO2排出量の現状把握!AB35</f>
        <v>280.21806709046223</v>
      </c>
      <c r="AI25" s="879">
        <f>①CO2排出量の現状把握!AC35</f>
        <v>261.03517590726943</v>
      </c>
      <c r="AJ25" s="879">
        <f>①CO2排出量の現状把握!AD35</f>
        <v>241.63923343971851</v>
      </c>
      <c r="AK25" s="879">
        <f>①CO2排出量の現状把握!AE35</f>
        <v>231.54440491057221</v>
      </c>
      <c r="AL25" s="879">
        <f>①CO2排出量の現状把握!AF35</f>
        <v>199.97038279554639</v>
      </c>
      <c r="AM25" s="879">
        <f>①CO2排出量の現状把握!AG35</f>
        <v>200.79767564238014</v>
      </c>
      <c r="AN25" s="879">
        <f>①CO2排出量の現状把握!AH35</f>
        <v>193.79113592133473</v>
      </c>
      <c r="AO25" s="879">
        <f>①CO2排出量の現状把握!AI35</f>
        <v>162.3735161389732</v>
      </c>
      <c r="AP25" s="880">
        <f>①CO2排出量の現状把握!AJ35</f>
        <v>185.26597545003793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159.17860611501109</v>
      </c>
      <c r="AG26" s="881">
        <f>①CO2排出量の現状把握!AA36</f>
        <v>247.97532727172259</v>
      </c>
      <c r="AH26" s="881">
        <f>①CO2排出量の現状把握!AB36</f>
        <v>265.39210866437361</v>
      </c>
      <c r="AI26" s="881">
        <f>①CO2排出量の現状把握!AC36</f>
        <v>241.2343321139175</v>
      </c>
      <c r="AJ26" s="881">
        <f>①CO2排出量の現状把握!AD36</f>
        <v>221.8428581415082</v>
      </c>
      <c r="AK26" s="881">
        <f>①CO2排出量の現状把握!AE36</f>
        <v>212.06127000113514</v>
      </c>
      <c r="AL26" s="881">
        <f>①CO2排出量の現状把握!AF36</f>
        <v>180.56959036715349</v>
      </c>
      <c r="AM26" s="881">
        <f>①CO2排出量の現状把握!AG36</f>
        <v>182.58617697195456</v>
      </c>
      <c r="AN26" s="881">
        <f>①CO2排出量の現状把握!AH36</f>
        <v>175.64938123289926</v>
      </c>
      <c r="AO26" s="881">
        <f>①CO2排出量の現状把握!AI36</f>
        <v>148.73756035819181</v>
      </c>
      <c r="AP26" s="882">
        <f>①CO2排出量の現状把握!AJ36</f>
        <v>173.46900040119183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4.083883512053216</v>
      </c>
      <c r="AG27" s="881">
        <f>①CO2排出量の現状把握!AA37</f>
        <v>3.8697071621748131</v>
      </c>
      <c r="AH27" s="881">
        <f>①CO2排出量の現状把握!AB37</f>
        <v>3.4502110500909509</v>
      </c>
      <c r="AI27" s="881">
        <f>①CO2排出量の現状把握!AC37</f>
        <v>2.841744911193731</v>
      </c>
      <c r="AJ27" s="881">
        <f>①CO2排出量の現状把握!AD37</f>
        <v>2.7190161011243541</v>
      </c>
      <c r="AK27" s="881">
        <f>①CO2排出量の現状把握!AE37</f>
        <v>2.5259696009733368</v>
      </c>
      <c r="AL27" s="881">
        <f>①CO2排出量の現状把握!AF37</f>
        <v>2.5149647485362898</v>
      </c>
      <c r="AM27" s="881">
        <f>①CO2排出量の現状把握!AG37</f>
        <v>2.3730557249262834</v>
      </c>
      <c r="AN27" s="881">
        <f>①CO2排出量の現状把握!AH37</f>
        <v>2.1670385551128684</v>
      </c>
      <c r="AO27" s="881">
        <f>①CO2排出量の現状把握!AI37</f>
        <v>2.116602153056832</v>
      </c>
      <c r="AP27" s="882">
        <f>①CO2排出量の現状把握!AJ37</f>
        <v>2.2540107510094205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11.83156724597645</v>
      </c>
      <c r="AG28" s="881">
        <f>①CO2排出量の現状把握!AA38</f>
        <v>11.855243716231399</v>
      </c>
      <c r="AH28" s="881">
        <f>①CO2排出量の現状把握!AB38</f>
        <v>11.37574737599768</v>
      </c>
      <c r="AI28" s="881">
        <f>①CO2排出量の現状把握!AC38</f>
        <v>16.959098882158202</v>
      </c>
      <c r="AJ28" s="881">
        <f>①CO2排出量の現状把握!AD38</f>
        <v>17.077359197085951</v>
      </c>
      <c r="AK28" s="881">
        <f>①CO2排出量の現状把握!AE38</f>
        <v>16.95716530846375</v>
      </c>
      <c r="AL28" s="881">
        <f>①CO2排出量の現状把握!AF38</f>
        <v>16.885827679856586</v>
      </c>
      <c r="AM28" s="881">
        <f>①CO2排出量の現状把握!AG38</f>
        <v>15.838442945499303</v>
      </c>
      <c r="AN28" s="881">
        <f>①CO2排出量の現状把握!AH38</f>
        <v>15.974716133322611</v>
      </c>
      <c r="AO28" s="881">
        <f>①CO2排出量の現状把握!AI38</f>
        <v>11.519353627724531</v>
      </c>
      <c r="AP28" s="882">
        <f>①CO2排出量の現状把握!AJ38</f>
        <v>9.542964297836674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62.836194429941933</v>
      </c>
      <c r="AG29" s="883">
        <f>①CO2排出量の現状把握!AA39</f>
        <v>68.693614676416516</v>
      </c>
      <c r="AH29" s="883">
        <f>①CO2排出量の現状把握!AB39</f>
        <v>67.044799592264525</v>
      </c>
      <c r="AI29" s="883">
        <f>①CO2排出量の現状把握!AC39</f>
        <v>54.44138856983885</v>
      </c>
      <c r="AJ29" s="883">
        <f>①CO2排出量の現状把握!AD39</f>
        <v>60.576345336898939</v>
      </c>
      <c r="AK29" s="883">
        <f>①CO2排出量の現状把握!AE39</f>
        <v>44.310032754386697</v>
      </c>
      <c r="AL29" s="883">
        <f>①CO2排出量の現状把握!AF39</f>
        <v>40.298496317355699</v>
      </c>
      <c r="AM29" s="883">
        <f>①CO2排出量の現状把握!AG39</f>
        <v>42.767882758191014</v>
      </c>
      <c r="AN29" s="883">
        <f>①CO2排出量の現状把握!AH39</f>
        <v>41.805505425357964</v>
      </c>
      <c r="AO29" s="883">
        <f>①CO2排出量の現状把握!AI39</f>
        <v>34.10190950838237</v>
      </c>
      <c r="AP29" s="884">
        <f>①CO2排出量の現状把握!AJ39</f>
        <v>36.271713126099648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4.3731303367347651E-2</v>
      </c>
      <c r="AG32" s="461">
        <f t="shared" si="16"/>
        <v>3.4444074476345704E-2</v>
      </c>
      <c r="AH32" s="461">
        <f t="shared" si="16"/>
        <v>3.5344982656075392E-2</v>
      </c>
      <c r="AI32" s="461">
        <f t="shared" si="16"/>
        <v>4.1847799445520993E-2</v>
      </c>
      <c r="AJ32" s="461">
        <f t="shared" si="16"/>
        <v>3.9901980066068682E-2</v>
      </c>
      <c r="AK32" s="461">
        <f t="shared" si="16"/>
        <v>2.6408855560438912E-2</v>
      </c>
      <c r="AL32" s="461">
        <f t="shared" si="16"/>
        <v>4.9910750174037198E-2</v>
      </c>
      <c r="AM32" s="461">
        <f t="shared" si="16"/>
        <v>4.9169513451093577E-2</v>
      </c>
      <c r="AN32" s="461">
        <f t="shared" si="16"/>
        <v>4.8744328163408311E-2</v>
      </c>
      <c r="AO32" s="461">
        <f t="shared" si="16"/>
        <v>5.3675923924086648E-2</v>
      </c>
      <c r="AP32" s="461">
        <f t="shared" si="16"/>
        <v>5.3083518545235471E-2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5.9425203720904006E-2</v>
      </c>
      <c r="AG33" s="458">
        <f t="shared" ref="AG33:AP33" si="17">IFERROR(IF(G22/AG25&gt;1,1,G22/AG25),0)</f>
        <v>4.3416715675521203E-2</v>
      </c>
      <c r="AH33" s="458">
        <f t="shared" si="17"/>
        <v>4.3801601115311416E-2</v>
      </c>
      <c r="AI33" s="458">
        <f t="shared" si="17"/>
        <v>5.0575559229189479E-2</v>
      </c>
      <c r="AJ33" s="458">
        <f t="shared" si="17"/>
        <v>4.9904975397996973E-2</v>
      </c>
      <c r="AK33" s="458">
        <f t="shared" si="17"/>
        <v>3.1462647533260994E-2</v>
      </c>
      <c r="AL33" s="458">
        <f t="shared" si="17"/>
        <v>5.9968880552980962E-2</v>
      </c>
      <c r="AM33" s="458">
        <f t="shared" si="17"/>
        <v>5.9642124649536325E-2</v>
      </c>
      <c r="AN33" s="458">
        <f>IFERROR(IF(N22/AN25&gt;1,1,N22/AN25),0)</f>
        <v>5.925967637994381E-2</v>
      </c>
      <c r="AO33" s="458">
        <f t="shared" si="17"/>
        <v>6.4949015398384463E-2</v>
      </c>
      <c r="AP33" s="458">
        <f t="shared" si="17"/>
        <v>6.3476307354511555E-2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6.5366824436709103E-2</v>
      </c>
      <c r="AG34" s="459">
        <f t="shared" ref="AG34:AP36" si="18">IFERROR(IF(G23/AG26&gt;1,1,G23/AG26),0)</f>
        <v>4.6169915878181665E-2</v>
      </c>
      <c r="AH34" s="459">
        <f t="shared" si="18"/>
        <v>4.6248549219382526E-2</v>
      </c>
      <c r="AI34" s="459">
        <f t="shared" si="18"/>
        <v>5.472687027717784E-2</v>
      </c>
      <c r="AJ34" s="459">
        <f t="shared" si="18"/>
        <v>5.4358297134397063E-2</v>
      </c>
      <c r="AK34" s="459">
        <f t="shared" si="18"/>
        <v>3.4353279125231138E-2</v>
      </c>
      <c r="AL34" s="459">
        <f t="shared" si="18"/>
        <v>6.6412068475187755E-2</v>
      </c>
      <c r="AM34" s="459">
        <f t="shared" si="18"/>
        <v>6.559094559408804E-2</v>
      </c>
      <c r="AN34" s="459">
        <f t="shared" si="18"/>
        <v>6.5380247396220476E-2</v>
      </c>
      <c r="AO34" s="459">
        <f t="shared" si="18"/>
        <v>7.0903408490787259E-2</v>
      </c>
      <c r="AP34" s="459">
        <f t="shared" si="18"/>
        <v>6.7793092557182924E-2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11.76</v>
      </c>
      <c r="BG38" s="952">
        <f t="shared" si="2"/>
        <v>11.76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0.85446911064494813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10.404999999999999</v>
      </c>
      <c r="G55" s="885">
        <f t="shared" ref="G55:P55" si="32">SUM(G56,G57,G60,G61,G62,G63,G64,G65,)</f>
        <v>11.449</v>
      </c>
      <c r="H55" s="885">
        <f t="shared" si="32"/>
        <v>12.273999999999999</v>
      </c>
      <c r="I55" s="885">
        <f t="shared" si="32"/>
        <v>13.202</v>
      </c>
      <c r="J55" s="885">
        <f t="shared" si="32"/>
        <v>12.058999999999999</v>
      </c>
      <c r="K55" s="885">
        <f t="shared" si="32"/>
        <v>7.2850000000000001</v>
      </c>
      <c r="L55" s="885">
        <f t="shared" si="32"/>
        <v>11.992000000000001</v>
      </c>
      <c r="M55" s="885">
        <f t="shared" si="32"/>
        <v>11.976000000000001</v>
      </c>
      <c r="N55" s="885">
        <f t="shared" si="32"/>
        <v>11.484</v>
      </c>
      <c r="O55" s="885">
        <f t="shared" si="32"/>
        <v>10.545999999999999</v>
      </c>
      <c r="P55" s="886">
        <f t="shared" si="32"/>
        <v>11.76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10.404999999999999</v>
      </c>
      <c r="G56" s="887">
        <f>IFERROR(VLOOKUP(年度マスタ!$K$4&amp;"_"&amp;G$54,データシート1!$A:$CE,MATCH("bc_"&amp;$C56,データシート1!$A$1:$CE$1,0),0),0)</f>
        <v>11.449</v>
      </c>
      <c r="H56" s="887">
        <f>IFERROR(VLOOKUP(年度マスタ!$K$4&amp;"_"&amp;H$54,データシート1!$A:$CE,MATCH("bc_"&amp;$C56,データシート1!$A$1:$CE$1,0),0),0)</f>
        <v>12.273999999999999</v>
      </c>
      <c r="I56" s="887">
        <f>IFERROR(VLOOKUP(年度マスタ!$K$4&amp;"_"&amp;I$54,データシート1!$A:$CE,MATCH("bc_"&amp;$C56,データシート1!$A$1:$CE$1,0),0),0)</f>
        <v>13.202</v>
      </c>
      <c r="J56" s="887">
        <f>IFERROR(VLOOKUP(年度マスタ!$K$4&amp;"_"&amp;J$54,データシート1!$A:$CE,MATCH("bc_"&amp;$C56,データシート1!$A$1:$CE$1,0),0),0)</f>
        <v>12.058999999999999</v>
      </c>
      <c r="K56" s="887">
        <f>IFERROR(VLOOKUP(年度マスタ!$K$4&amp;"_"&amp;K$54,データシート1!$A:$CE,MATCH("bc_"&amp;$C56,データシート1!$A$1:$CE$1,0),0),0)</f>
        <v>7.2850000000000001</v>
      </c>
      <c r="L56" s="887">
        <f>IFERROR(VLOOKUP(年度マスタ!$K$4&amp;"_"&amp;L$54,データシート1!$A:$CE,MATCH("bc_"&amp;$C56,データシート1!$A$1:$CE$1,0),0),0)</f>
        <v>11.992000000000001</v>
      </c>
      <c r="M56" s="887">
        <f>IFERROR(VLOOKUP(年度マスタ!$K$4&amp;"_"&amp;M$54,データシート1!$A:$CE,MATCH("bc_"&amp;$C56,データシート1!$A$1:$CE$1,0),0),0)</f>
        <v>11.976000000000001</v>
      </c>
      <c r="N56" s="887">
        <f>IFERROR(VLOOKUP(年度マスタ!$K$4&amp;"_"&amp;N$54,データシート1!$A:$CE,MATCH("bc_"&amp;$C56,データシート1!$A$1:$CE$1,0),0),0)</f>
        <v>11.484</v>
      </c>
      <c r="O56" s="887">
        <f>IFERROR(VLOOKUP(年度マスタ!$K$4&amp;"_"&amp;O$54,データシート1!$A:$CE,MATCH("bc_"&amp;$C56,データシート1!$A$1:$CE$1,0),0),0)</f>
        <v>10.545999999999999</v>
      </c>
      <c r="P56" s="888">
        <f>IFERROR(VLOOKUP(年度マスタ!$K$4&amp;"_"&amp;P$54,データシート1!$A:$CE,MATCH("bc_"&amp;$C56,データシート1!$A$1:$CE$1,0),0),0)</f>
        <v>11.76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桜川市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4096.6000000000004</v>
      </c>
      <c r="K6" s="619">
        <f>VLOOKUP(年度マスタ!$K$4&amp;"_"&amp;K$5,データシート1!$A:$BT,MATCH("cb_"&amp;$G6,データシート1!$A$1:$BT$1,0),0)</f>
        <v>4501.3999999999996</v>
      </c>
      <c r="L6" s="619">
        <f>VLOOKUP(年度マスタ!$K$4&amp;"_"&amp;L$5,データシート1!$A:$BT,MATCH("cb_"&amp;$G6,データシート1!$A$1:$BT$1,0),0)</f>
        <v>4863.3</v>
      </c>
      <c r="M6" s="619">
        <f>VLOOKUP(年度マスタ!$K$4&amp;"_"&amp;M$5,データシート1!$A:$BT,MATCH("cb_"&amp;$G6,データシート1!$A$1:$BT$1,0),0)</f>
        <v>5296.5</v>
      </c>
      <c r="N6" s="619">
        <f>VLOOKUP(年度マスタ!$K$4&amp;"_"&amp;N$5,データシート1!$A:$BT,MATCH("cb_"&amp;$G6,データシート1!$A$1:$BT$1,0),0)</f>
        <v>5662.7</v>
      </c>
      <c r="O6" s="619">
        <f>VLOOKUP(年度マスタ!$K$4&amp;"_"&amp;O$5,データシート1!$A:$BT,MATCH("cb_"&amp;$G6,データシート1!$A$1:$BT$1,0),0)</f>
        <v>5908.3000000000029</v>
      </c>
      <c r="P6" s="619">
        <f>VLOOKUP(年度マスタ!$K$4&amp;"_"&amp;P$5,データシート1!$A:$BT,MATCH("cb_"&amp;$G6,データシート1!$A$1:$BT$1,0),0)</f>
        <v>6272.300000000002</v>
      </c>
      <c r="Q6" s="619">
        <f>VLOOKUP(年度マスタ!$K$4&amp;"_"&amp;Q$5,データシート1!$A:$BT,MATCH("cb_"&amp;$G6,データシート1!$A$1:$BT$1,0),0)</f>
        <v>6850.299999999992</v>
      </c>
      <c r="R6" s="633">
        <f>VLOOKUP(年度マスタ!$K$4&amp;"_"&amp;R$5,データシート1!$A:$BT,MATCH("cb_"&amp;$G6,データシート1!$A$1:$BT$1,0),0)</f>
        <v>7229.7999999999865</v>
      </c>
      <c r="S6" s="568"/>
      <c r="T6" s="190"/>
      <c r="U6" s="581"/>
      <c r="V6" s="195"/>
      <c r="W6" s="195"/>
      <c r="X6" s="195"/>
      <c r="Y6" s="196" t="s">
        <v>372</v>
      </c>
      <c r="Z6" s="663" t="s">
        <v>373</v>
      </c>
      <c r="AA6" s="663"/>
      <c r="AB6" s="663"/>
      <c r="AC6" s="664">
        <f>SUM(AC7:AC8)</f>
        <v>1579259</v>
      </c>
      <c r="AD6" s="664">
        <f>SUM(AD7:AD8)</f>
        <v>2167176.1579999998</v>
      </c>
      <c r="AE6" s="665">
        <f>$AD6*3600/100000000</f>
        <v>78.018341687999992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59754.3</v>
      </c>
      <c r="K7" s="617">
        <f>VLOOKUP(年度マスタ!$K$4&amp;"_"&amp;K$5,データシート1!$A:$BT,MATCH("cb_"&amp;$G7,データシート1!$A$1:$BT$1,0),0)</f>
        <v>75197.600000000006</v>
      </c>
      <c r="L7" s="617">
        <f>VLOOKUP(年度マスタ!$K$4&amp;"_"&amp;L$5,データシート1!$A:$BT,MATCH("cb_"&amp;$G7,データシート1!$A$1:$BT$1,0),0)</f>
        <v>87254.000000000015</v>
      </c>
      <c r="M7" s="617">
        <f>VLOOKUP(年度マスタ!$K$4&amp;"_"&amp;M$5,データシート1!$A:$BT,MATCH("cb_"&amp;$G7,データシート1!$A$1:$BT$1,0),0)</f>
        <v>96499</v>
      </c>
      <c r="N7" s="617">
        <f>VLOOKUP(年度マスタ!$K$4&amp;"_"&amp;N$5,データシート1!$A:$BT,MATCH("cb_"&amp;$G7,データシート1!$A$1:$BT$1,0),0)</f>
        <v>109051.7</v>
      </c>
      <c r="O7" s="617">
        <f>VLOOKUP(年度マスタ!$K$4&amp;"_"&amp;O$5,データシート1!$A:$BT,MATCH("cb_"&amp;$G7,データシート1!$A$1:$BT$1,0),0)</f>
        <v>118406.39999999999</v>
      </c>
      <c r="P7" s="617">
        <f>VLOOKUP(年度マスタ!$K$4&amp;"_"&amp;P$5,データシート1!$A:$BT,MATCH("cb_"&amp;$G7,データシート1!$A$1:$BT$1,0),0)</f>
        <v>126832.8</v>
      </c>
      <c r="Q7" s="617">
        <f>VLOOKUP(年度マスタ!$K$4&amp;"_"&amp;Q$5,データシート1!$A:$BT,MATCH("cb_"&amp;$G7,データシート1!$A$1:$BT$1,0),0)</f>
        <v>140684.10000000003</v>
      </c>
      <c r="R7" s="634">
        <f>VLOOKUP(年度マスタ!$K$4&amp;"_"&amp;R$5,データシート1!$A:$BT,MATCH("cb_"&amp;$G7,データシート1!$A$1:$BT$1,0),0)</f>
        <v>150382.1</v>
      </c>
      <c r="S7" s="568"/>
      <c r="T7" s="190"/>
      <c r="U7" s="581"/>
      <c r="V7" s="195"/>
      <c r="W7" s="195"/>
      <c r="X7" s="195"/>
      <c r="Y7" s="196" t="s">
        <v>375</v>
      </c>
      <c r="Z7" s="212" t="s">
        <v>376</v>
      </c>
      <c r="AA7" s="212"/>
      <c r="AB7" s="212"/>
      <c r="AC7" s="1022">
        <f>VLOOKUP(年度マスタ!$K$4&amp;"_"&amp;年度マスタ!$K$9,データシート3!A:AB,MATCH("ea_"&amp;$Y7&amp;"_設備",データシート3!$A$1:$AB$1,0),0)</f>
        <v>320911</v>
      </c>
      <c r="AD7" s="1022">
        <f>VLOOKUP(年度マスタ!$K$4&amp;"_"&amp;年度マスタ!$K$9,データシート3!A:AB,MATCH("ea_"&amp;$Y7&amp;"_年間発電",データシート3!$A$1:$AB$1,0),0)/10^3</f>
        <v>442428.21399999992</v>
      </c>
      <c r="AE7" s="554">
        <f t="shared" ref="AE7:AE16" si="0">$AD7*3600/100000000</f>
        <v>15.927415703999996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1990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1258348</v>
      </c>
      <c r="AD8" s="1022">
        <f>VLOOKUP(年度マスタ!$K$4&amp;"_"&amp;年度マスタ!$K$9,データシート3!A:AB,MATCH("ea_"&amp;$Y8&amp;"_年間発電",データシート3!$A$1:$AB$1,0),0)/10^3</f>
        <v>1724747.9439999999</v>
      </c>
      <c r="AE8" s="554">
        <f t="shared" si="0"/>
        <v>62.090925983999995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82700</v>
      </c>
      <c r="AD9" s="666">
        <f>VLOOKUP(年度マスタ!$K$4&amp;"_"&amp;年度マスタ!$K$9,データシート3!A:AB,MATCH("ea_"&amp;$Y9&amp;"_年間発電",データシート3!$A$1:$AB$1,0),0)/10^3</f>
        <v>160236.28099999999</v>
      </c>
      <c r="AE9" s="667">
        <f t="shared" si="0"/>
        <v>5.7685061159999993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65840.899999999994</v>
      </c>
      <c r="K12" s="651">
        <f t="shared" ref="K12:Q12" si="1">SUM(K6:K11)</f>
        <v>81689</v>
      </c>
      <c r="L12" s="651">
        <f t="shared" si="1"/>
        <v>94107.300000000017</v>
      </c>
      <c r="M12" s="651">
        <f t="shared" si="1"/>
        <v>103785.5</v>
      </c>
      <c r="N12" s="651">
        <f t="shared" si="1"/>
        <v>116704.4</v>
      </c>
      <c r="O12" s="651">
        <f t="shared" si="1"/>
        <v>126304.7</v>
      </c>
      <c r="P12" s="651">
        <f t="shared" si="1"/>
        <v>135095.1</v>
      </c>
      <c r="Q12" s="651">
        <f t="shared" si="1"/>
        <v>149524.40000000002</v>
      </c>
      <c r="R12" s="652">
        <f t="shared" ref="R12" si="2">SUM(R6:R11)</f>
        <v>159601.9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6.9021942000000003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32.881606009999999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4916.4115920000013</v>
      </c>
      <c r="K19" s="615">
        <f>K6*別紙!$C5/100*別紙!$E5/10^3</f>
        <v>5402.2201679999998</v>
      </c>
      <c r="L19" s="615">
        <f>L6*別紙!$C5/100*別紙!$E5/10^3</f>
        <v>5836.5435959999986</v>
      </c>
      <c r="M19" s="615">
        <f>M6*別紙!$C5/100*別紙!$E5/10^3</f>
        <v>6356.4355800000003</v>
      </c>
      <c r="N19" s="615">
        <f>N6*別紙!$C5/100*別紙!$E5/10^3</f>
        <v>6795.919523999999</v>
      </c>
      <c r="O19" s="615">
        <f>O6*別紙!$C5/100*別紙!$E5/10^3</f>
        <v>7090.6689960000031</v>
      </c>
      <c r="P19" s="615">
        <f>P6*別紙!$C5/100*別紙!$E5/10^3</f>
        <v>7527.512676000003</v>
      </c>
      <c r="Q19" s="615">
        <f>Q6*別紙!$C5/100*別紙!$E5/10^3</f>
        <v>8221.1820359999892</v>
      </c>
      <c r="R19" s="639">
        <f>R6*別紙!$C5/100*別紙!$E5/10^3</f>
        <v>8676.6275759999826</v>
      </c>
      <c r="S19" s="572"/>
      <c r="T19" s="191"/>
      <c r="U19" s="588"/>
      <c r="W19" s="201"/>
      <c r="X19" s="201"/>
      <c r="Y19" s="173"/>
      <c r="Z19" s="628" t="s">
        <v>389</v>
      </c>
      <c r="AA19" s="671"/>
      <c r="AB19" s="672"/>
      <c r="AC19" s="673">
        <f>SUM($AC$6,$AC$9,$AC$10,$AC$13)</f>
        <v>1661959</v>
      </c>
      <c r="AD19" s="673">
        <f>SUM($AD$6,$AD$9,$AD$10,$AD$13)</f>
        <v>2327412.4389999998</v>
      </c>
      <c r="AE19" s="674">
        <f>SUM($AE$6,$AE$9,$AE$10,$AE$13,$AE$17,$AE$18)</f>
        <v>123.57064801399999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79040.597868000012</v>
      </c>
      <c r="K20" s="617">
        <f>K7*別紙!$C6/100*別紙!$E6/10^3</f>
        <v>99468.377376000004</v>
      </c>
      <c r="L20" s="617">
        <f>L7*別紙!$C6/100*別紙!$E6/10^3</f>
        <v>115416.10104000001</v>
      </c>
      <c r="M20" s="617">
        <f>M7*別紙!$C6/100*別紙!$E6/10^3</f>
        <v>127645.01723999999</v>
      </c>
      <c r="N20" s="617">
        <f>N7*別紙!$C6/100*別紙!$E6/10^3</f>
        <v>144249.226692</v>
      </c>
      <c r="O20" s="617">
        <f>O7*別紙!$C6/100*別紙!$E6/10^3</f>
        <v>156623.249664</v>
      </c>
      <c r="P20" s="617">
        <f>P7*別紙!$C6/100*別紙!$E6/10^3</f>
        <v>167769.35452800003</v>
      </c>
      <c r="Q20" s="617">
        <f>Q7*別紙!$C6/100*別紙!$E6/10^3</f>
        <v>186091.30011600006</v>
      </c>
      <c r="R20" s="634">
        <f>R7*別紙!$C6/100*別紙!$E6/10^3</f>
        <v>198919.426596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4323.2352000000001</v>
      </c>
      <c r="M21" s="617">
        <f>M8*別紙!$C7/100*別紙!$E7/10^3</f>
        <v>4323.2352000000001</v>
      </c>
      <c r="N21" s="617">
        <f>N8*別紙!$C7/100*別紙!$E7/10^3</f>
        <v>4323.2352000000001</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88280.244660000011</v>
      </c>
      <c r="K25" s="657">
        <f t="shared" si="3"/>
        <v>109193.832744</v>
      </c>
      <c r="L25" s="657">
        <f t="shared" si="3"/>
        <v>125575.87983600001</v>
      </c>
      <c r="M25" s="657">
        <f t="shared" si="3"/>
        <v>138324.68801999997</v>
      </c>
      <c r="N25" s="657">
        <f t="shared" si="3"/>
        <v>155368.38141599999</v>
      </c>
      <c r="O25" s="657">
        <f t="shared" si="3"/>
        <v>168037.15385999999</v>
      </c>
      <c r="P25" s="657">
        <f t="shared" si="3"/>
        <v>179620.10240400003</v>
      </c>
      <c r="Q25" s="657">
        <f t="shared" si="3"/>
        <v>198635.71735200004</v>
      </c>
      <c r="R25" s="658">
        <f t="shared" ref="R25" si="4">SUM(R19:R24)</f>
        <v>211919.28937199997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293714.64573973475</v>
      </c>
      <c r="K26" s="654">
        <f>(VLOOKUP(年度マスタ!$K$4&amp;"_"&amp;K$18,データシート1!$A:$BT,MATCH("da_合計",データシート1!$A$1:$BT$1,0),0))/10^3</f>
        <v>271029.46585713414</v>
      </c>
      <c r="L26" s="654">
        <f>(VLOOKUP(年度マスタ!$K$4&amp;"_"&amp;L$18,データシート1!$A:$BT,MATCH("da_合計",データシート1!$A$1:$BT$1,0),0))/10^3</f>
        <v>268216.82817601721</v>
      </c>
      <c r="M26" s="654">
        <f>(VLOOKUP(年度マスタ!$K$4&amp;"_"&amp;M$18,データシート1!$A:$BT,MATCH("da_合計",データシート1!$A$1:$BT$1,0),0))/10^3</f>
        <v>265470.60610592709</v>
      </c>
      <c r="N26" s="654">
        <f>(VLOOKUP(年度マスタ!$K$4&amp;"_"&amp;N$18,データシート1!$A:$BT,MATCH("da_合計",データシート1!$A$1:$BT$1,0),0))/10^3</f>
        <v>259095.67163629091</v>
      </c>
      <c r="O26" s="654">
        <f>(VLOOKUP(年度マスタ!$K$4&amp;"_"&amp;O$18,データシート1!$A:$BT,MATCH("da_合計",データシート1!$A$1:$BT$1,0),0))/10^3</f>
        <v>245734.19589834186</v>
      </c>
      <c r="P26" s="654">
        <f>(VLOOKUP(年度マスタ!$K$4&amp;"_"&amp;P$18,データシート1!$A:$BT,MATCH("da_合計",データシート1!$A$1:$BT$1,0),0))/10^3</f>
        <v>247678.19463860159</v>
      </c>
      <c r="Q26" s="654">
        <f>(VLOOKUP(年度マスタ!$K$4&amp;"_"&amp;Q$18,データシート1!$A:$BT,MATCH("da_合計",データシート1!$A$1:$BT$1,0),0))/10^3</f>
        <v>251882.26929815364</v>
      </c>
      <c r="R26" s="655">
        <f>Q26</f>
        <v>251882.26929815364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0.30056466689858752</v>
      </c>
      <c r="K27" s="839">
        <f t="shared" ref="K27:P27" si="5">K25/K26</f>
        <v>0.4028854663409866</v>
      </c>
      <c r="L27" s="839">
        <f t="shared" si="5"/>
        <v>0.46818792351683047</v>
      </c>
      <c r="M27" s="839">
        <f t="shared" si="5"/>
        <v>0.52105462841639871</v>
      </c>
      <c r="N27" s="839">
        <f t="shared" si="5"/>
        <v>0.59965641430745509</v>
      </c>
      <c r="O27" s="839">
        <f t="shared" si="5"/>
        <v>0.6838167282567198</v>
      </c>
      <c r="P27" s="839">
        <f t="shared" si="5"/>
        <v>0.72521564793417448</v>
      </c>
      <c r="Q27" s="839">
        <f>Q25/Q26</f>
        <v>0.78860539848826938</v>
      </c>
      <c r="R27" s="840">
        <f>R25/R26</f>
        <v>0.84134262392701653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0.84134262392701653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9.240080476824021</v>
      </c>
      <c r="AA52" s="173"/>
      <c r="AB52" s="678" t="s">
        <v>413</v>
      </c>
      <c r="AC52" s="679">
        <f>$AD6</f>
        <v>2167176.1579999998</v>
      </c>
      <c r="AD52" s="680">
        <f>R19+R20</f>
        <v>207596.05417199997</v>
      </c>
      <c r="AE52" s="681">
        <f t="shared" ref="AE52:AE54" si="6">IFERROR(AD52/AC52,"-")</f>
        <v>9.5791038216100563E-2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2075530.1697018461</v>
      </c>
      <c r="Z53" s="1130"/>
      <c r="AA53" s="173"/>
      <c r="AB53" s="678" t="s">
        <v>377</v>
      </c>
      <c r="AC53" s="679">
        <f>$AD9</f>
        <v>160236.28099999999</v>
      </c>
      <c r="AD53" s="680">
        <f>R21</f>
        <v>4323.2352000000001</v>
      </c>
      <c r="AE53" s="681">
        <f t="shared" si="6"/>
        <v>2.6980376560287244E-2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953</v>
      </c>
      <c r="AK54" s="443">
        <f>VLOOKUP(年度マスタ!$K$4&amp;"_"&amp;AK$53,データシート1!$A$1:$BT$2000,MATCH("ca_太陽光発電（10kW未満）",データシート1!$A$1:$BT$1,0),0)</f>
        <v>1031</v>
      </c>
      <c r="AL54" s="443">
        <f>VLOOKUP(年度マスタ!$K$4&amp;"_"&amp;AL$53,データシート1!$A$1:$BT$2000,MATCH("ca_太陽光発電（10kW未満）",データシート1!$A$1:$BT$1,0),0)</f>
        <v>1097</v>
      </c>
      <c r="AM54" s="443">
        <f>VLOOKUP(年度マスタ!$K$4&amp;"_"&amp;AM$53,データシート1!$A$1:$BT$2000,MATCH("ca_太陽光発電（10kW未満）",データシート1!$A$1:$BT$1,0),0)</f>
        <v>1178</v>
      </c>
      <c r="AN54" s="443">
        <f>VLOOKUP(年度マスタ!$K$4&amp;"_"&amp;AN$53,データシート1!$A$1:$BT$2000,MATCH("ca_太陽光発電（10kW未満）",データシート1!$A$1:$BT$1,0),0)</f>
        <v>1245</v>
      </c>
      <c r="AO54" s="443">
        <f>VLOOKUP(年度マスタ!$K$4&amp;"_"&amp;AO$53,データシート1!$A$1:$BT$2000,MATCH("ca_太陽光発電（10kW未満）",データシート1!$A$1:$BT$1,0),0)</f>
        <v>1290</v>
      </c>
      <c r="AP54" s="443">
        <f>VLOOKUP(年度マスタ!$K$4&amp;"_"&amp;AP$53,データシート1!$A$1:$BT$2000,MATCH("ca_太陽光発電（10kW未満）",データシート1!$A$1:$BT$1,0),0)</f>
        <v>1347</v>
      </c>
      <c r="AQ54" s="443">
        <f>VLOOKUP(年度マスタ!$K$4&amp;"_"&amp;AQ$53,データシート1!$A$1:$BT$2000,MATCH("ca_太陽光発電（10kW未満）",データシート1!$A$1:$BT$1,0),0)</f>
        <v>1429</v>
      </c>
      <c r="AR54" s="443">
        <f>VLOOKUP(年度マスタ!$K$4&amp;"_"&amp;AR$53,データシート1!$A$1:$BT$2000,MATCH("ca_太陽光発電（10kW未満）",データシート1!$A$1:$BT$1,0),0)</f>
        <v>1495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桜川市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桜川市</v>
      </c>
      <c r="AZ12" s="1023" t="str">
        <f>年度マスタ!$K4</f>
        <v>08231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桜川市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桜川市</v>
      </c>
      <c r="AZ4" s="1038" t="str">
        <f>年度マスタ!$K4</f>
        <v>08231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桜川市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10.404999999999999</v>
      </c>
      <c r="S7" s="910">
        <f t="shared" si="0"/>
        <v>11.449</v>
      </c>
      <c r="T7" s="910">
        <f t="shared" si="0"/>
        <v>12.273999999999999</v>
      </c>
      <c r="U7" s="910">
        <f t="shared" si="0"/>
        <v>13.202</v>
      </c>
      <c r="V7" s="910">
        <f t="shared" si="0"/>
        <v>12.058999999999999</v>
      </c>
      <c r="W7" s="910">
        <f t="shared" si="0"/>
        <v>7.2850000000000001</v>
      </c>
      <c r="X7" s="910">
        <f t="shared" si="0"/>
        <v>11.992000000000001</v>
      </c>
      <c r="Y7" s="910">
        <f t="shared" si="0"/>
        <v>11.976000000000001</v>
      </c>
      <c r="Z7" s="910">
        <f>SUM(Z8:Z13)</f>
        <v>11.484</v>
      </c>
      <c r="AA7" s="910">
        <f>SUM(AA8:AA13)</f>
        <v>10.545999999999999</v>
      </c>
      <c r="AB7" s="911">
        <f t="shared" si="0"/>
        <v>11.76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10.404999999999999</v>
      </c>
      <c r="S10" s="916">
        <f>VLOOKUP($D$3&amp;"_"&amp;S$3,データシート1!$A:$BU,MATCH($R$2&amp;"_"&amp;$C10,データシート1!$A$1:$BU$1,0),0)</f>
        <v>11.449</v>
      </c>
      <c r="T10" s="916">
        <f>VLOOKUP($D$3&amp;"_"&amp;T$3,データシート1!$A:$BU,MATCH($R$2&amp;"_"&amp;$C10,データシート1!$A$1:$BU$1,0),0)</f>
        <v>12.273999999999999</v>
      </c>
      <c r="U10" s="916">
        <f>VLOOKUP($D$3&amp;"_"&amp;U$3,データシート1!$A:$BU,MATCH($R$2&amp;"_"&amp;$C10,データシート1!$A$1:$BU$1,0),0)</f>
        <v>13.202</v>
      </c>
      <c r="V10" s="916">
        <f>VLOOKUP($D$3&amp;"_"&amp;V$3,データシート1!$A:$BU,MATCH($R$2&amp;"_"&amp;$C10,データシート1!$A$1:$BU$1,0),0)</f>
        <v>12.058999999999999</v>
      </c>
      <c r="W10" s="916">
        <f>VLOOKUP($D$3&amp;"_"&amp;W$3,データシート1!$A:$BU,MATCH($R$2&amp;"_"&amp;$C10,データシート1!$A$1:$BU$1,0),0)</f>
        <v>7.2850000000000001</v>
      </c>
      <c r="X10" s="916">
        <f>VLOOKUP($D$3&amp;"_"&amp;X$3,データシート1!$A:$BU,MATCH($R$2&amp;"_"&amp;$C10,データシート1!$A$1:$BU$1,0),0)</f>
        <v>11.992000000000001</v>
      </c>
      <c r="Y10" s="916">
        <f>VLOOKUP($D$3&amp;"_"&amp;Y$3,データシート1!$A:$BU,MATCH($R$2&amp;"_"&amp;$C10,データシート1!$A$1:$BU$1,0),0)</f>
        <v>11.976000000000001</v>
      </c>
      <c r="Z10" s="916">
        <f>VLOOKUP($D$3&amp;"_"&amp;Z$3,データシート1!$A:$BU,MATCH($R$2&amp;"_"&amp;$C10,データシート1!$A$1:$BU$1,0),0)</f>
        <v>11.484</v>
      </c>
      <c r="AA10" s="916">
        <f>VLOOKUP($D$3&amp;"_"&amp;AA$3,データシート1!$A:$BU,MATCH($R$2&amp;"_"&amp;$C10,データシート1!$A$1:$BU$1,0),0)</f>
        <v>10.545999999999999</v>
      </c>
      <c r="AB10" s="917">
        <f>VLOOKUP($D$3&amp;"_"&amp;AB$3,データシート1!$A:$BU,MATCH($R$2&amp;"_"&amp;$C10,データシート1!$A$1:$BU$1,0),0)</f>
        <v>11.76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10.404999999999999</v>
      </c>
      <c r="S26" s="925">
        <f>VLOOKUP($D$3&amp;"_"&amp;S$3,データシート2!$A:$SI,MATCH($R$2&amp;"_"&amp;$B26,データシート2!$A$1:$SI$1,0),0)</f>
        <v>11.449</v>
      </c>
      <c r="T26" s="925">
        <f>VLOOKUP($D$3&amp;"_"&amp;T$3,データシート2!$A:$SI,MATCH($R$2&amp;"_"&amp;$B26,データシート2!$A$1:$SI$1,0),0)</f>
        <v>12.273999999999999</v>
      </c>
      <c r="U26" s="925">
        <f>VLOOKUP($D$3&amp;"_"&amp;U$3,データシート2!$A:$SI,MATCH($R$2&amp;"_"&amp;$B26,データシート2!$A$1:$SI$1,0),0)</f>
        <v>13.202</v>
      </c>
      <c r="V26" s="925">
        <f>VLOOKUP($D$3&amp;"_"&amp;V$3,データシート2!$A:$SI,MATCH($R$2&amp;"_"&amp;$B26,データシート2!$A$1:$SI$1,0),0)</f>
        <v>12.058999999999999</v>
      </c>
      <c r="W26" s="925">
        <f>VLOOKUP($D$3&amp;"_"&amp;W$3,データシート2!$A:$SI,MATCH($R$2&amp;"_"&amp;$B26,データシート2!$A$1:$SI$1,0),0)</f>
        <v>7.2850000000000001</v>
      </c>
      <c r="X26" s="925">
        <f>VLOOKUP($D$3&amp;"_"&amp;X$3,データシート2!$A:$SI,MATCH($R$2&amp;"_"&amp;$B26,データシート2!$A$1:$SI$1,0),0)</f>
        <v>11.992000000000001</v>
      </c>
      <c r="Y26" s="925">
        <f>VLOOKUP($D$3&amp;"_"&amp;Y$3,データシート2!$A:$SI,MATCH($R$2&amp;"_"&amp;$B26,データシート2!$A$1:$SI$1,0),0)</f>
        <v>11.976000000000001</v>
      </c>
      <c r="Z26" s="925">
        <f>VLOOKUP($D$3&amp;"_"&amp;Z$3,データシート2!$A:$SI,MATCH($R$2&amp;"_"&amp;$B26,データシート2!$A$1:$SI$1,0),0)</f>
        <v>11.484</v>
      </c>
      <c r="AA26" s="925">
        <f>VLOOKUP($D$3&amp;"_"&amp;AA$3,データシート2!$A:$SI,MATCH($R$2&amp;"_"&amp;$B26,データシート2!$A$1:$SI$1,0),0)</f>
        <v>10.545999999999999</v>
      </c>
      <c r="AB26" s="926">
        <f>VLOOKUP($D$3&amp;"_"&amp;AB$3,データシート2!$A:$SI,MATCH($R$2&amp;"_"&amp;$B26,データシート2!$A$1:$SI$1,0),0)</f>
        <v>11.76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10.404999999999999</v>
      </c>
      <c r="S51" s="938">
        <f>VLOOKUP($D$3&amp;"_"&amp;S$3,データシート2!$A:$SI,MATCH($R$2&amp;"_"&amp;$C51,データシート2!$A$1:$SI$1,0),0)</f>
        <v>11.449</v>
      </c>
      <c r="T51" s="938">
        <f>VLOOKUP($D$3&amp;"_"&amp;T$3,データシート2!$A:$SI,MATCH($R$2&amp;"_"&amp;$C51,データシート2!$A$1:$SI$1,0),0)</f>
        <v>12.273999999999999</v>
      </c>
      <c r="U51" s="938">
        <f>VLOOKUP($D$3&amp;"_"&amp;U$3,データシート2!$A:$SI,MATCH($R$2&amp;"_"&amp;$C51,データシート2!$A$1:$SI$1,0),0)</f>
        <v>13.202</v>
      </c>
      <c r="V51" s="938">
        <f>VLOOKUP($D$3&amp;"_"&amp;V$3,データシート2!$A:$SI,MATCH($R$2&amp;"_"&amp;$C51,データシート2!$A$1:$SI$1,0),0)</f>
        <v>12.058999999999999</v>
      </c>
      <c r="W51" s="938">
        <f>VLOOKUP($D$3&amp;"_"&amp;W$3,データシート2!$A:$SI,MATCH($R$2&amp;"_"&amp;$C51,データシート2!$A$1:$SI$1,0),0)</f>
        <v>7.2850000000000001</v>
      </c>
      <c r="X51" s="938">
        <f>VLOOKUP($D$3&amp;"_"&amp;X$3,データシート2!$A:$SI,MATCH($R$2&amp;"_"&amp;$C51,データシート2!$A$1:$SI$1,0),0)</f>
        <v>11.992000000000001</v>
      </c>
      <c r="Y51" s="938">
        <f>VLOOKUP($D$3&amp;"_"&amp;Y$3,データシート2!$A:$SI,MATCH($R$2&amp;"_"&amp;$C51,データシート2!$A$1:$SI$1,0),0)</f>
        <v>11.976000000000001</v>
      </c>
      <c r="Z51" s="938">
        <f>VLOOKUP($D$3&amp;"_"&amp;Z$3,データシート2!$A:$SI,MATCH($R$2&amp;"_"&amp;$C51,データシート2!$A$1:$SI$1,0),0)</f>
        <v>11.484</v>
      </c>
      <c r="AA51" s="938">
        <f>VLOOKUP($D$3&amp;"_"&amp;AA$3,データシート2!$A:$SI,MATCH($R$2&amp;"_"&amp;$C51,データシート2!$A$1:$SI$1,0),0)</f>
        <v>10.545999999999999</v>
      </c>
      <c r="AB51" s="939">
        <f>VLOOKUP($D$3&amp;"_"&amp;AB$3,データシート2!$A:$SI,MATCH($R$2&amp;"_"&amp;$C51,データシート2!$A$1:$SI$1,0),0)</f>
        <v>11.76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2025-03-04T09:20:40Z</dcterms:created>
  <dcterms:modified xsi:type="dcterms:W3CDTF">2025-03-04T09:20:40Z</dcterms:modified>
  <cp:category/>
  <cp:contentStatus/>
</cp:coreProperties>
</file>