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ustomProperty2.bin" ContentType="application/vnd.openxmlformats-officedocument.spreadsheetml.customProperty"/>
  <Override PartName="/xl/drawings/drawing3.xml" ContentType="application/vnd.openxmlformats-officedocument.drawing+xml"/>
  <Override PartName="/xl/customProperty3.bin" ContentType="application/vnd.openxmlformats-officedocument.spreadsheetml.customProperty"/>
  <Override PartName="/xl/drawings/drawing4.xml" ContentType="application/vnd.openxmlformats-officedocument.drawing+xml"/>
  <Override PartName="/xl/customProperty4.bin" ContentType="application/vnd.openxmlformats-officedocument.spreadsheetml.customProperty"/>
  <Override PartName="/xl/drawings/drawing5.xml" ContentType="application/vnd.openxmlformats-officedocument.drawing+xml"/>
  <Override PartName="/xl/customProperty5.bin" ContentType="application/vnd.openxmlformats-officedocument.spreadsheetml.customProperty"/>
  <Override PartName="/xl/drawings/drawing6.xml" ContentType="application/vnd.openxmlformats-officedocument.drawing+xml"/>
  <Override PartName="/xl/customProperty6.bin" ContentType="application/vnd.openxmlformats-officedocument.spreadsheetml.customProperty"/>
  <Override PartName="/xl/drawings/drawing7.xml" ContentType="application/vnd.openxmlformats-officedocument.drawing+xml"/>
  <Override PartName="/xl/customProperty7.bin" ContentType="application/vnd.openxmlformats-officedocument.spreadsheetml.customProperty"/>
  <Override PartName="/xl/drawings/drawing8.xml" ContentType="application/vnd.openxmlformats-officedocument.drawing+xml"/>
  <Override PartName="/xl/customProperty8.bin" ContentType="application/vnd.openxmlformats-officedocument.spreadsheetml.customProperty"/>
  <Override PartName="/xl/drawings/drawing9.xml" ContentType="application/vnd.openxmlformats-officedocument.drawing+xml"/>
  <Override PartName="/xl/customProperty9.bin" ContentType="application/vnd.openxmlformats-officedocument.spreadsheetml.customProperty"/>
  <Override PartName="/xl/drawings/drawing10.xml" ContentType="application/vnd.openxmlformats-officedocument.drawing+xml"/>
  <Override PartName="/xl/customProperty10.bin" ContentType="application/vnd.openxmlformats-officedocument.spreadsheetml.customProperty"/>
  <Override PartName="/xl/drawings/drawing11.xml" ContentType="application/vnd.openxmlformats-officedocument.drawing+xml"/>
  <Override PartName="/xl/customProperty11.bin" ContentType="application/vnd.openxmlformats-officedocument.spreadsheetml.customProperty"/>
  <Override PartName="/xl/drawings/drawing12.xml" ContentType="application/vnd.openxmlformats-officedocument.drawing+xml"/>
  <Override PartName="/xl/customProperty12.bin" ContentType="application/vnd.openxmlformats-officedocument.spreadsheetml.customProperty"/>
  <Override PartName="/xl/drawings/drawing13.xml" ContentType="application/vnd.openxmlformats-officedocument.drawing+xml"/>
  <Override PartName="/xl/customProperty13.bin" ContentType="application/vnd.openxmlformats-officedocument.spreadsheetml.customProperty"/>
  <Override PartName="/xl/drawings/drawing14.xml" ContentType="application/vnd.openxmlformats-officedocument.drawing+xml"/>
  <Override PartName="/xl/customProperty14.bin" ContentType="application/vnd.openxmlformats-officedocument.spreadsheetml.customProperty"/>
  <Override PartName="/xl/drawings/drawing15.xml" ContentType="application/vnd.openxmlformats-officedocument.drawing+xml"/>
  <Override PartName="/xl/customProperty15.bin" ContentType="application/vnd.openxmlformats-officedocument.spreadsheetml.customProperty"/>
  <Override PartName="/xl/drawings/drawing16.xml" ContentType="application/vnd.openxmlformats-officedocument.drawing+xml"/>
  <Override PartName="/xl/customProperty16.bin" ContentType="application/vnd.openxmlformats-officedocument.spreadsheetml.customProperty"/>
  <Override PartName="/xl/drawings/drawing17.xml" ContentType="application/vnd.openxmlformats-officedocument.drawing+xml"/>
  <Override PartName="/xl/customProperty17.bin" ContentType="application/vnd.openxmlformats-officedocument.spreadsheetml.customProperty"/>
  <Override PartName="/xl/drawings/drawing18.xml" ContentType="application/vnd.openxmlformats-officedocument.drawing+xml"/>
  <Override PartName="/xl/customProperty18.bin" ContentType="application/vnd.openxmlformats-officedocument.spreadsheetml.customProperty"/>
  <Override PartName="/xl/drawings/drawing19.xml" ContentType="application/vnd.openxmlformats-officedocument.drawing+xml"/>
  <Override PartName="/xl/customProperty19.bin" ContentType="application/vnd.openxmlformats-officedocument.spreadsheetml.customProperty"/>
  <Override PartName="/xl/drawings/drawing20.xml" ContentType="application/vnd.openxmlformats-officedocument.drawing+xml"/>
  <Override PartName="/xl/customProperty20.bin" ContentType="application/vnd.openxmlformats-officedocument.spreadsheetml.customProperty"/>
  <Override PartName="/xl/drawings/drawing21.xml" ContentType="application/vnd.openxmlformats-officedocument.drawing+xml"/>
  <Override PartName="/xl/customProperty21.bin" ContentType="application/vnd.openxmlformats-officedocument.spreadsheetml.customProperty"/>
  <Override PartName="/xl/drawings/drawing22.xml" ContentType="application/vnd.openxmlformats-officedocument.drawing+xml"/>
  <Override PartName="/xl/customProperty22.bin" ContentType="application/vnd.openxmlformats-officedocument.spreadsheetml.customProperty"/>
  <Override PartName="/xl/drawings/drawing23.xml" ContentType="application/vnd.openxmlformats-officedocument.drawing+xml"/>
  <Override PartName="/xl/customProperty23.bin" ContentType="application/vnd.openxmlformats-officedocument.spreadsheetml.customProperty"/>
  <Override PartName="/xl/drawings/drawing24.xml" ContentType="application/vnd.openxmlformats-officedocument.drawing+xml"/>
  <Override PartName="/xl/customProperty24.bin" ContentType="application/vnd.openxmlformats-officedocument.spreadsheetml.customProperty"/>
  <Override PartName="/xl/drawings/drawing25.xml" ContentType="application/vnd.openxmlformats-officedocument.drawing+xml"/>
  <Override PartName="/xl/customProperty25.bin" ContentType="application/vnd.openxmlformats-officedocument.spreadsheetml.customProperty"/>
  <Override PartName="/xl/customProperty26.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57105CE0-96E2-4C20-9879-66AA95E0B715}" xr6:coauthVersionLast="47" xr6:coauthVersionMax="47" xr10:uidLastSave="{00000000-0000-0000-0000-000000000000}"/>
  <bookViews>
    <workbookView xWindow="-45" yWindow="-16320" windowWidth="29040" windowHeight="15990" tabRatio="746" firstSheet="1" activeTab="1" xr2:uid="{DE7030C9-C5A4-4CB1-B9BC-740DD879CAC9}"/>
  </bookViews>
  <sheets>
    <sheet name="check" sheetId="214" state="veryHidden" r:id="rId1"/>
    <sheet name="はじめにお読みください" sheetId="213" r:id="rId2"/>
    <sheet name="表紙" sheetId="88" r:id="rId3"/>
    <sheet name="1.1対象エリアの規模等" sheetId="204" r:id="rId4"/>
    <sheet name="3.4活用想定補助金(事業別)" sheetId="207" r:id="rId5"/>
    <sheet name="3.4活用想定補助金(年度別)" sheetId="152" r:id="rId6"/>
    <sheet name="4.1(1)再エネ導入可能量" sheetId="166" r:id="rId7"/>
    <sheet name="4.1(2)新規再エネ導入予定（設備情報）" sheetId="149" r:id="rId8"/>
    <sheet name="4.1(2)新規再エネ導入予定(FS調査、系統接続検討状況)" sheetId="183" r:id="rId9"/>
    <sheet name="4.1(2)新規再エネ導入予定(合意形成)" sheetId="190" r:id="rId10"/>
    <sheet name="4.1(2)新規の再エネ発電設備の導入(別表)" sheetId="185" r:id="rId11"/>
    <sheet name="4.1(3)活用可能な既存の再エネ発電設備" sheetId="138" r:id="rId12"/>
    <sheet name="4.2実質ゼロ(計算結果)" sheetId="123" r:id="rId13"/>
    <sheet name="4.2対象地域の民生需要家数等" sheetId="198" r:id="rId14"/>
    <sheet name="4.2実質ゼロ(サマリ)" sheetId="141" r:id="rId15"/>
    <sheet name="4.2民生電力需要量" sheetId="139" r:id="rId16"/>
    <sheet name="4.2需要家合意形成状況(住宅)" sheetId="165" r:id="rId17"/>
    <sheet name="4.2需要家合意形成状況(民生・業務その他)" sheetId="161" r:id="rId18"/>
    <sheet name="4.2需要家合意形成状況(公共)" sheetId="177" r:id="rId19"/>
    <sheet name="4.2電力供給状況(民生部門)" sheetId="117" r:id="rId20"/>
    <sheet name="4.2地産地消割合" sheetId="143" r:id="rId21"/>
    <sheet name="4.2電力削減量" sheetId="119" r:id="rId22"/>
    <sheet name="4.3民生部門電力以外の排出削減取組" sheetId="122" r:id="rId23"/>
    <sheet name="4.3民生部門電力以外の取組" sheetId="164" r:id="rId24"/>
    <sheet name="4.3電力供給状況(民生部門電力以外)" sheetId="206" r:id="rId25"/>
    <sheet name="6.2関係者との合意形成状況" sheetId="160" r:id="rId26"/>
    <sheet name="実質ゼロ分類" sheetId="194" state="veryHidden" r:id="rId27"/>
    <sheet name="(非表示)新規再エネ実現可能性判定" sheetId="209" state="veryHidden" r:id="rId28"/>
  </sheets>
  <definedNames>
    <definedName name="_xlnm._FilterDatabase" localSheetId="14" hidden="1">'4.2実質ゼロ(サマリ)'!$C$16:$T$16</definedName>
    <definedName name="_xlnm._FilterDatabase" localSheetId="12" hidden="1">'4.2実質ゼロ(計算結果)'!$B$1:$B$36</definedName>
    <definedName name="_xlnm._FilterDatabase" localSheetId="20" hidden="1">'4.2地産地消割合'!$B$1:$B$74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6" i="152" l="1"/>
  <c r="P26" i="152" s="1"/>
  <c r="O28" i="152"/>
  <c r="P28" i="152" s="1"/>
  <c r="R28" i="152"/>
  <c r="O29" i="152"/>
  <c r="P29" i="152" s="1"/>
  <c r="O30" i="152"/>
  <c r="P30" i="152" s="1"/>
  <c r="O31" i="152"/>
  <c r="P31" i="152" s="1"/>
  <c r="Q9" i="207" l="1"/>
  <c r="Q10" i="207"/>
  <c r="Q11" i="207"/>
  <c r="Q12" i="207"/>
  <c r="Q13" i="207"/>
  <c r="Q14" i="207"/>
  <c r="Q15" i="207"/>
  <c r="Q16" i="207"/>
  <c r="Q17" i="207"/>
  <c r="Q18" i="207"/>
  <c r="Q19" i="207"/>
  <c r="Q20" i="207"/>
  <c r="Q21" i="207"/>
  <c r="Q22" i="207"/>
  <c r="Q23" i="207"/>
  <c r="Q24" i="207"/>
  <c r="Q25" i="207"/>
  <c r="Q26" i="207"/>
  <c r="Q27" i="207"/>
  <c r="Q28" i="207"/>
  <c r="Q29" i="207"/>
  <c r="Q8" i="207"/>
  <c r="Z46" i="206" l="1"/>
  <c r="Z45" i="206"/>
  <c r="P38" i="206"/>
  <c r="Z12" i="206"/>
  <c r="Z13" i="206"/>
  <c r="Z14" i="206"/>
  <c r="Z15" i="206"/>
  <c r="Z16" i="206"/>
  <c r="Z17" i="206"/>
  <c r="Z18" i="206"/>
  <c r="Z19" i="206"/>
  <c r="Z20" i="206"/>
  <c r="Z21" i="206"/>
  <c r="Z22" i="206"/>
  <c r="Z23" i="206"/>
  <c r="Z24" i="206"/>
  <c r="Z25" i="206"/>
  <c r="Z26" i="206"/>
  <c r="Z27" i="206"/>
  <c r="Z28" i="206"/>
  <c r="Z30" i="206"/>
  <c r="Z31" i="206"/>
  <c r="Z32" i="206"/>
  <c r="Z33" i="206"/>
  <c r="Z34" i="206"/>
  <c r="Z35" i="206"/>
  <c r="Z36" i="206"/>
  <c r="Z37" i="206"/>
  <c r="Z38" i="206"/>
  <c r="Z39" i="206"/>
  <c r="Z40" i="206"/>
  <c r="Z41" i="206"/>
  <c r="Z42" i="206"/>
  <c r="Z43" i="206"/>
  <c r="Z44" i="206"/>
  <c r="Z10" i="206"/>
  <c r="Z11" i="206"/>
  <c r="P11" i="206"/>
  <c r="P46" i="206"/>
  <c r="P45" i="206"/>
  <c r="P44" i="206"/>
  <c r="P43" i="206"/>
  <c r="P42" i="206"/>
  <c r="P41" i="206"/>
  <c r="P40" i="206"/>
  <c r="P39" i="206"/>
  <c r="P37" i="206"/>
  <c r="P36" i="206"/>
  <c r="P35" i="206"/>
  <c r="P34" i="206"/>
  <c r="P33" i="206"/>
  <c r="P32" i="206"/>
  <c r="P31" i="206"/>
  <c r="P30" i="206"/>
  <c r="P28" i="206"/>
  <c r="P27" i="206"/>
  <c r="P26" i="206"/>
  <c r="P25" i="206"/>
  <c r="P24" i="206"/>
  <c r="P23" i="206"/>
  <c r="P22" i="206"/>
  <c r="P21" i="206"/>
  <c r="P20" i="206"/>
  <c r="P19" i="206"/>
  <c r="P18" i="206"/>
  <c r="P17" i="206"/>
  <c r="P16" i="206"/>
  <c r="P15" i="206"/>
  <c r="P14" i="206"/>
  <c r="P13" i="206"/>
  <c r="P12" i="206"/>
  <c r="O41" i="206"/>
  <c r="Y10" i="206"/>
  <c r="Q47" i="206"/>
  <c r="O11" i="206"/>
  <c r="O12" i="206"/>
  <c r="D150" i="190" l="1"/>
  <c r="D145" i="183"/>
  <c r="S83" i="149"/>
  <c r="S26" i="149"/>
  <c r="S27" i="149"/>
  <c r="C442" i="164"/>
  <c r="C7" i="165"/>
  <c r="E22" i="166" l="1"/>
  <c r="C3" i="214"/>
  <c r="K66" i="119"/>
  <c r="G66" i="119"/>
  <c r="L52" i="119"/>
  <c r="L45" i="119"/>
  <c r="L38" i="119"/>
  <c r="L31" i="119"/>
  <c r="L24" i="119"/>
  <c r="L17" i="119"/>
  <c r="L68" i="119" l="1"/>
  <c r="D25" i="214" s="1"/>
  <c r="F9" i="177" l="1"/>
  <c r="W9" i="177" s="1"/>
  <c r="W444" i="177"/>
  <c r="W429" i="177"/>
  <c r="W414" i="177"/>
  <c r="W399" i="177"/>
  <c r="W384" i="177"/>
  <c r="W369" i="177"/>
  <c r="W354" i="177"/>
  <c r="W339" i="177"/>
  <c r="W324" i="177"/>
  <c r="W309" i="177"/>
  <c r="W294" i="177"/>
  <c r="W279" i="177"/>
  <c r="W264" i="177"/>
  <c r="W249" i="177"/>
  <c r="W234" i="177"/>
  <c r="W219" i="177"/>
  <c r="W204" i="177"/>
  <c r="W189" i="177"/>
  <c r="W174" i="177"/>
  <c r="W159" i="177"/>
  <c r="W144" i="177"/>
  <c r="W129" i="177"/>
  <c r="W114" i="177"/>
  <c r="W99" i="177"/>
  <c r="W84" i="177"/>
  <c r="W69" i="177"/>
  <c r="W54" i="177"/>
  <c r="W39" i="177"/>
  <c r="W24" i="177"/>
  <c r="AA444" i="161"/>
  <c r="AA429" i="161"/>
  <c r="AA414" i="161"/>
  <c r="AA399" i="161"/>
  <c r="AA384" i="161"/>
  <c r="AA369" i="161"/>
  <c r="AA354" i="161"/>
  <c r="AA339" i="161"/>
  <c r="AA324" i="161"/>
  <c r="AA309" i="161"/>
  <c r="AA294" i="161"/>
  <c r="AA279" i="161"/>
  <c r="AA264" i="161"/>
  <c r="AA249" i="161"/>
  <c r="AA234" i="161"/>
  <c r="AA219" i="161"/>
  <c r="AA204" i="161"/>
  <c r="AA189" i="161"/>
  <c r="AA174" i="161"/>
  <c r="AA159" i="161"/>
  <c r="AA144" i="161"/>
  <c r="AA129" i="161"/>
  <c r="AA114" i="161"/>
  <c r="AA99" i="161"/>
  <c r="AA84" i="161"/>
  <c r="AA69" i="161"/>
  <c r="AA54" i="161"/>
  <c r="AA39" i="161"/>
  <c r="AA24" i="161"/>
  <c r="AA9" i="161"/>
  <c r="AB417" i="165" a="1"/>
  <c r="AB417" i="165" s="1"/>
  <c r="AB415" i="165"/>
  <c r="AB403" i="165" a="1"/>
  <c r="AB403" i="165" s="1"/>
  <c r="AB401" i="165"/>
  <c r="AB389" i="165" a="1"/>
  <c r="AB389" i="165" s="1"/>
  <c r="AB387" i="165"/>
  <c r="AB375" i="165" a="1"/>
  <c r="AB375" i="165" s="1"/>
  <c r="AB373" i="165"/>
  <c r="AB361" i="165" a="1"/>
  <c r="AB361" i="165" s="1"/>
  <c r="AB359" i="165"/>
  <c r="AB347" i="165" a="1"/>
  <c r="AB347" i="165" s="1"/>
  <c r="AB345" i="165"/>
  <c r="AB333" i="165" a="1"/>
  <c r="AB333" i="165" s="1"/>
  <c r="AB331" i="165"/>
  <c r="AB319" i="165" a="1"/>
  <c r="AB319" i="165" s="1"/>
  <c r="AB317" i="165"/>
  <c r="AB305" i="165" a="1"/>
  <c r="AB305" i="165" s="1"/>
  <c r="AB303" i="165"/>
  <c r="AB291" i="165" a="1"/>
  <c r="AB291" i="165" s="1"/>
  <c r="AB289" i="165"/>
  <c r="AB277" i="165" a="1"/>
  <c r="AB277" i="165" s="1"/>
  <c r="AB275" i="165"/>
  <c r="AB263" i="165" a="1"/>
  <c r="AB263" i="165" s="1"/>
  <c r="AB261" i="165"/>
  <c r="AB249" i="165" a="1"/>
  <c r="AB249" i="165" s="1"/>
  <c r="AB247" i="165"/>
  <c r="AB235" i="165" a="1"/>
  <c r="AB235" i="165" s="1"/>
  <c r="AB233" i="165"/>
  <c r="AB221" i="165" a="1"/>
  <c r="AB221" i="165" s="1"/>
  <c r="AB219" i="165"/>
  <c r="AB207" i="165" a="1"/>
  <c r="AB207" i="165" s="1"/>
  <c r="AB205" i="165"/>
  <c r="AB193" i="165" a="1"/>
  <c r="AB193" i="165" s="1"/>
  <c r="AB191" i="165"/>
  <c r="AB179" i="165" a="1"/>
  <c r="AB179" i="165" s="1"/>
  <c r="AB177" i="165"/>
  <c r="AB165" i="165" a="1"/>
  <c r="AB165" i="165" s="1"/>
  <c r="AB163" i="165"/>
  <c r="AB151" i="165" a="1"/>
  <c r="AB151" i="165" s="1"/>
  <c r="AB149" i="165"/>
  <c r="AB137" i="165" a="1"/>
  <c r="AB137" i="165" s="1"/>
  <c r="AB135" i="165"/>
  <c r="AB123" i="165" a="1"/>
  <c r="AB123" i="165" s="1"/>
  <c r="AB121" i="165"/>
  <c r="AB109" i="165" a="1"/>
  <c r="AB109" i="165" s="1"/>
  <c r="AB107" i="165"/>
  <c r="AB95" i="165" a="1"/>
  <c r="AB95" i="165" s="1"/>
  <c r="AB93" i="165"/>
  <c r="AB81" i="165" a="1"/>
  <c r="AB81" i="165" s="1"/>
  <c r="AB79" i="165"/>
  <c r="AB67" i="165" a="1"/>
  <c r="AB67" i="165" s="1"/>
  <c r="AB65" i="165"/>
  <c r="AB53" i="165" a="1"/>
  <c r="AB53" i="165" s="1"/>
  <c r="AB51" i="165"/>
  <c r="AB39" i="165" a="1"/>
  <c r="AB39" i="165" s="1"/>
  <c r="AB37" i="165"/>
  <c r="AB23" i="165"/>
  <c r="AB25" i="165" a="1"/>
  <c r="AB25" i="165" s="1"/>
  <c r="F9" i="165"/>
  <c r="AB9" i="165" s="1"/>
  <c r="AB11" i="165" a="1"/>
  <c r="AB11" i="165" s="1"/>
  <c r="D17" i="214" l="1"/>
  <c r="N9" i="198" a="1"/>
  <c r="N9" i="198" s="1"/>
  <c r="N10" i="198"/>
  <c r="G10" i="198"/>
  <c r="I16" i="138"/>
  <c r="J16" i="138"/>
  <c r="J30" i="138"/>
  <c r="H30" i="138"/>
  <c r="T43" i="138"/>
  <c r="I43" i="138"/>
  <c r="J43" i="138"/>
  <c r="N43" i="138"/>
  <c r="K161" i="183"/>
  <c r="AJ146" i="149"/>
  <c r="AJ145" i="149"/>
  <c r="AJ144" i="149"/>
  <c r="AJ143" i="149"/>
  <c r="AJ142" i="149"/>
  <c r="AJ141" i="149"/>
  <c r="AJ140" i="149"/>
  <c r="AJ139" i="149"/>
  <c r="AJ138" i="149"/>
  <c r="AJ137" i="149"/>
  <c r="AJ136" i="149"/>
  <c r="AJ135" i="149"/>
  <c r="AJ134" i="149"/>
  <c r="AJ133" i="149"/>
  <c r="AJ132" i="149"/>
  <c r="AJ131" i="149"/>
  <c r="AJ130" i="149"/>
  <c r="AJ129" i="149"/>
  <c r="AJ128" i="149"/>
  <c r="AJ127" i="149"/>
  <c r="AJ126" i="149"/>
  <c r="AJ125" i="149"/>
  <c r="AJ124" i="149"/>
  <c r="AJ123" i="149"/>
  <c r="AJ122" i="149"/>
  <c r="AJ121" i="149"/>
  <c r="AJ120" i="149"/>
  <c r="AJ119" i="149"/>
  <c r="AJ118" i="149"/>
  <c r="AJ117" i="149"/>
  <c r="AJ116" i="149"/>
  <c r="AJ115" i="149"/>
  <c r="AJ114" i="149"/>
  <c r="AJ113" i="149"/>
  <c r="AJ112" i="149"/>
  <c r="AJ111" i="149"/>
  <c r="AJ110" i="149"/>
  <c r="AJ109" i="149"/>
  <c r="AJ108" i="149"/>
  <c r="AJ107" i="149"/>
  <c r="AJ106" i="149"/>
  <c r="AJ105" i="149"/>
  <c r="AJ104" i="149"/>
  <c r="AJ103" i="149"/>
  <c r="AJ102" i="149"/>
  <c r="AJ101" i="149"/>
  <c r="AJ100" i="149"/>
  <c r="AJ99" i="149"/>
  <c r="AJ98" i="149"/>
  <c r="AJ97" i="149"/>
  <c r="AJ96" i="149"/>
  <c r="AJ95" i="149"/>
  <c r="AJ94" i="149"/>
  <c r="AJ93" i="149"/>
  <c r="AJ92" i="149"/>
  <c r="AJ91" i="149"/>
  <c r="AJ90" i="149"/>
  <c r="AJ89" i="149"/>
  <c r="AJ88" i="149"/>
  <c r="AJ87" i="149"/>
  <c r="AJ86" i="149"/>
  <c r="AJ85" i="149"/>
  <c r="AJ84" i="149"/>
  <c r="AJ83" i="149"/>
  <c r="AJ82" i="149"/>
  <c r="AJ81" i="149"/>
  <c r="AJ80" i="149"/>
  <c r="AJ79" i="149"/>
  <c r="AJ78" i="149"/>
  <c r="AJ77" i="149"/>
  <c r="AJ76" i="149"/>
  <c r="AJ75" i="149"/>
  <c r="AJ74" i="149"/>
  <c r="AJ73" i="149"/>
  <c r="AJ72" i="149"/>
  <c r="AJ71" i="149"/>
  <c r="AJ70" i="149"/>
  <c r="AJ69" i="149"/>
  <c r="AJ68" i="149"/>
  <c r="AJ67" i="149"/>
  <c r="AJ66" i="149"/>
  <c r="AJ65" i="149"/>
  <c r="AJ64" i="149"/>
  <c r="AJ63" i="149"/>
  <c r="AJ62" i="149"/>
  <c r="AJ61" i="149"/>
  <c r="AJ60" i="149"/>
  <c r="AJ59" i="149"/>
  <c r="AJ58" i="149"/>
  <c r="AJ57" i="149"/>
  <c r="AJ56" i="149"/>
  <c r="AJ55" i="149"/>
  <c r="AJ54" i="149"/>
  <c r="AJ53" i="149"/>
  <c r="AJ52" i="149"/>
  <c r="AJ51" i="149"/>
  <c r="AJ50" i="149"/>
  <c r="AJ49" i="149"/>
  <c r="AJ48" i="149"/>
  <c r="AJ47" i="149"/>
  <c r="AJ46" i="149"/>
  <c r="AJ45" i="149"/>
  <c r="AJ44" i="149"/>
  <c r="AJ43" i="149"/>
  <c r="AJ42" i="149"/>
  <c r="AJ41" i="149"/>
  <c r="AJ40" i="149"/>
  <c r="AJ39" i="149"/>
  <c r="AJ38" i="149"/>
  <c r="AJ37" i="149"/>
  <c r="AJ36" i="149"/>
  <c r="AJ35" i="149"/>
  <c r="AJ34" i="149"/>
  <c r="AJ33" i="149"/>
  <c r="AJ32" i="149"/>
  <c r="AJ31" i="149"/>
  <c r="AJ30" i="149"/>
  <c r="AJ29" i="149"/>
  <c r="AJ28" i="149"/>
  <c r="AJ27" i="149"/>
  <c r="AJ26" i="149"/>
  <c r="AJ25" i="149"/>
  <c r="AJ24" i="149"/>
  <c r="AJ23" i="149"/>
  <c r="AJ22" i="149"/>
  <c r="AJ21" i="149"/>
  <c r="AJ20" i="149"/>
  <c r="AJ19" i="149"/>
  <c r="AJ18" i="149"/>
  <c r="AJ17" i="149"/>
  <c r="AJ16" i="149"/>
  <c r="AJ15" i="149"/>
  <c r="AJ14" i="149"/>
  <c r="AJ13" i="149"/>
  <c r="AJ12" i="149"/>
  <c r="AJ11" i="149"/>
  <c r="AJ10" i="149"/>
  <c r="AJ9" i="149"/>
  <c r="AJ8" i="149"/>
  <c r="AJ148" i="149"/>
  <c r="AJ147" i="149"/>
  <c r="H50" i="138" l="1"/>
  <c r="F15" i="123" s="1"/>
  <c r="Z421" i="165"/>
  <c r="X421" i="165"/>
  <c r="V421" i="165"/>
  <c r="U421" i="165"/>
  <c r="S421" i="165"/>
  <c r="R421" i="165"/>
  <c r="Z420" i="165"/>
  <c r="X420" i="165"/>
  <c r="V420" i="165"/>
  <c r="U420" i="165"/>
  <c r="S420" i="165"/>
  <c r="R420" i="165"/>
  <c r="V419" i="165"/>
  <c r="U419" i="165"/>
  <c r="S419" i="165"/>
  <c r="R419" i="165"/>
  <c r="Z419" i="165" s="1"/>
  <c r="V418" i="165"/>
  <c r="U418" i="165"/>
  <c r="S418" i="165"/>
  <c r="R418" i="165"/>
  <c r="Z418" i="165" s="1"/>
  <c r="Z417" i="165"/>
  <c r="X417" i="165"/>
  <c r="V417" i="165"/>
  <c r="U417" i="165"/>
  <c r="S417" i="165"/>
  <c r="R417" i="165"/>
  <c r="Z407" i="165"/>
  <c r="X407" i="165"/>
  <c r="V407" i="165"/>
  <c r="U407" i="165"/>
  <c r="S407" i="165"/>
  <c r="R407" i="165"/>
  <c r="Z406" i="165"/>
  <c r="X406" i="165"/>
  <c r="V406" i="165"/>
  <c r="U406" i="165"/>
  <c r="S406" i="165"/>
  <c r="R406" i="165"/>
  <c r="V405" i="165"/>
  <c r="X405" i="165" s="1"/>
  <c r="U405" i="165"/>
  <c r="S405" i="165"/>
  <c r="R405" i="165"/>
  <c r="Z405" i="165" s="1"/>
  <c r="V404" i="165"/>
  <c r="U404" i="165"/>
  <c r="S404" i="165"/>
  <c r="R404" i="165"/>
  <c r="Z404" i="165" s="1"/>
  <c r="Z403" i="165"/>
  <c r="X403" i="165"/>
  <c r="V403" i="165"/>
  <c r="U403" i="165"/>
  <c r="S403" i="165"/>
  <c r="R403" i="165"/>
  <c r="Z393" i="165"/>
  <c r="X393" i="165"/>
  <c r="V393" i="165"/>
  <c r="U393" i="165"/>
  <c r="S393" i="165"/>
  <c r="R393" i="165"/>
  <c r="Z392" i="165"/>
  <c r="X392" i="165"/>
  <c r="V392" i="165"/>
  <c r="U392" i="165"/>
  <c r="S392" i="165"/>
  <c r="R392" i="165"/>
  <c r="V391" i="165"/>
  <c r="X391" i="165" s="1"/>
  <c r="U391" i="165"/>
  <c r="S391" i="165"/>
  <c r="R391" i="165"/>
  <c r="Z391" i="165" s="1"/>
  <c r="V390" i="165"/>
  <c r="U390" i="165"/>
  <c r="S390" i="165"/>
  <c r="R390" i="165"/>
  <c r="Z390" i="165" s="1"/>
  <c r="Z389" i="165"/>
  <c r="X389" i="165"/>
  <c r="V389" i="165"/>
  <c r="U389" i="165"/>
  <c r="S389" i="165"/>
  <c r="R389" i="165"/>
  <c r="Z379" i="165"/>
  <c r="X379" i="165"/>
  <c r="V379" i="165"/>
  <c r="U379" i="165"/>
  <c r="S379" i="165"/>
  <c r="R379" i="165"/>
  <c r="Z378" i="165"/>
  <c r="X378" i="165"/>
  <c r="V378" i="165"/>
  <c r="U378" i="165"/>
  <c r="S378" i="165"/>
  <c r="R378" i="165"/>
  <c r="V377" i="165"/>
  <c r="U377" i="165"/>
  <c r="S377" i="165"/>
  <c r="R377" i="165"/>
  <c r="Z377" i="165" s="1"/>
  <c r="X376" i="165"/>
  <c r="V376" i="165"/>
  <c r="U376" i="165"/>
  <c r="S376" i="165"/>
  <c r="R376" i="165"/>
  <c r="Z376" i="165" s="1"/>
  <c r="Z375" i="165"/>
  <c r="X375" i="165"/>
  <c r="V375" i="165"/>
  <c r="U375" i="165"/>
  <c r="S375" i="165"/>
  <c r="R375" i="165"/>
  <c r="Z365" i="165"/>
  <c r="X365" i="165"/>
  <c r="V365" i="165"/>
  <c r="U365" i="165"/>
  <c r="S365" i="165"/>
  <c r="R365" i="165"/>
  <c r="Z364" i="165"/>
  <c r="X364" i="165"/>
  <c r="V364" i="165"/>
  <c r="U364" i="165"/>
  <c r="S364" i="165"/>
  <c r="R364" i="165"/>
  <c r="V363" i="165"/>
  <c r="U363" i="165"/>
  <c r="S363" i="165"/>
  <c r="R363" i="165"/>
  <c r="X363" i="165" s="1"/>
  <c r="V362" i="165"/>
  <c r="U362" i="165"/>
  <c r="S362" i="165"/>
  <c r="R362" i="165"/>
  <c r="Z362" i="165" s="1"/>
  <c r="Z361" i="165"/>
  <c r="X361" i="165"/>
  <c r="V361" i="165"/>
  <c r="U361" i="165"/>
  <c r="S361" i="165"/>
  <c r="R361" i="165"/>
  <c r="Z351" i="165"/>
  <c r="X351" i="165"/>
  <c r="V351" i="165"/>
  <c r="U351" i="165"/>
  <c r="S351" i="165"/>
  <c r="R351" i="165"/>
  <c r="Z350" i="165"/>
  <c r="X350" i="165"/>
  <c r="V350" i="165"/>
  <c r="U350" i="165"/>
  <c r="S350" i="165"/>
  <c r="R350" i="165"/>
  <c r="V349" i="165"/>
  <c r="U349" i="165"/>
  <c r="S349" i="165"/>
  <c r="R349" i="165"/>
  <c r="Z349" i="165" s="1"/>
  <c r="V348" i="165"/>
  <c r="U348" i="165"/>
  <c r="S348" i="165"/>
  <c r="R348" i="165"/>
  <c r="Z348" i="165" s="1"/>
  <c r="Z347" i="165"/>
  <c r="X347" i="165"/>
  <c r="V347" i="165"/>
  <c r="U347" i="165"/>
  <c r="S347" i="165"/>
  <c r="R347" i="165"/>
  <c r="Z337" i="165"/>
  <c r="X337" i="165"/>
  <c r="V337" i="165"/>
  <c r="U337" i="165"/>
  <c r="S337" i="165"/>
  <c r="R337" i="165"/>
  <c r="Z336" i="165"/>
  <c r="X336" i="165"/>
  <c r="V336" i="165"/>
  <c r="U336" i="165"/>
  <c r="S336" i="165"/>
  <c r="R336" i="165"/>
  <c r="V335" i="165"/>
  <c r="U335" i="165"/>
  <c r="S335" i="165"/>
  <c r="R335" i="165"/>
  <c r="Z335" i="165" s="1"/>
  <c r="V334" i="165"/>
  <c r="U334" i="165"/>
  <c r="S334" i="165"/>
  <c r="R334" i="165"/>
  <c r="X334" i="165" s="1"/>
  <c r="Z333" i="165"/>
  <c r="X333" i="165"/>
  <c r="V333" i="165"/>
  <c r="U333" i="165"/>
  <c r="S333" i="165"/>
  <c r="R333" i="165"/>
  <c r="Z323" i="165"/>
  <c r="X323" i="165"/>
  <c r="V323" i="165"/>
  <c r="U323" i="165"/>
  <c r="S323" i="165"/>
  <c r="R323" i="165"/>
  <c r="Z322" i="165"/>
  <c r="X322" i="165"/>
  <c r="V322" i="165"/>
  <c r="U322" i="165"/>
  <c r="S322" i="165"/>
  <c r="R322" i="165"/>
  <c r="V321" i="165"/>
  <c r="U321" i="165"/>
  <c r="S321" i="165"/>
  <c r="R321" i="165"/>
  <c r="Z321" i="165" s="1"/>
  <c r="V320" i="165"/>
  <c r="U320" i="165"/>
  <c r="S320" i="165"/>
  <c r="R320" i="165"/>
  <c r="X320" i="165" s="1"/>
  <c r="Z319" i="165"/>
  <c r="X319" i="165"/>
  <c r="V319" i="165"/>
  <c r="U319" i="165"/>
  <c r="S319" i="165"/>
  <c r="R319" i="165"/>
  <c r="Z309" i="165"/>
  <c r="X309" i="165"/>
  <c r="V309" i="165"/>
  <c r="U309" i="165"/>
  <c r="S309" i="165"/>
  <c r="R309" i="165"/>
  <c r="Z308" i="165"/>
  <c r="X308" i="165"/>
  <c r="V308" i="165"/>
  <c r="U308" i="165"/>
  <c r="S308" i="165"/>
  <c r="R308" i="165"/>
  <c r="V307" i="165"/>
  <c r="U307" i="165"/>
  <c r="S307" i="165"/>
  <c r="R307" i="165"/>
  <c r="Z307" i="165" s="1"/>
  <c r="V306" i="165"/>
  <c r="U306" i="165"/>
  <c r="S306" i="165"/>
  <c r="R306" i="165"/>
  <c r="X306" i="165" s="1"/>
  <c r="Z305" i="165"/>
  <c r="X305" i="165"/>
  <c r="V305" i="165"/>
  <c r="U305" i="165"/>
  <c r="S305" i="165"/>
  <c r="R305" i="165"/>
  <c r="Z295" i="165"/>
  <c r="X295" i="165"/>
  <c r="V295" i="165"/>
  <c r="U295" i="165"/>
  <c r="S295" i="165"/>
  <c r="R295" i="165"/>
  <c r="Z294" i="165"/>
  <c r="X294" i="165"/>
  <c r="V294" i="165"/>
  <c r="U294" i="165"/>
  <c r="S294" i="165"/>
  <c r="R294" i="165"/>
  <c r="Z293" i="165"/>
  <c r="V293" i="165"/>
  <c r="U293" i="165"/>
  <c r="S293" i="165"/>
  <c r="R293" i="165"/>
  <c r="X292" i="165"/>
  <c r="V292" i="165"/>
  <c r="U292" i="165"/>
  <c r="S292" i="165"/>
  <c r="R292" i="165"/>
  <c r="Z292" i="165" s="1"/>
  <c r="Z291" i="165"/>
  <c r="X291" i="165"/>
  <c r="V291" i="165"/>
  <c r="U291" i="165"/>
  <c r="S291" i="165"/>
  <c r="R291" i="165"/>
  <c r="Z281" i="165"/>
  <c r="X281" i="165"/>
  <c r="V281" i="165"/>
  <c r="U281" i="165"/>
  <c r="S281" i="165"/>
  <c r="R281" i="165"/>
  <c r="Z280" i="165"/>
  <c r="X280" i="165"/>
  <c r="V280" i="165"/>
  <c r="U280" i="165"/>
  <c r="S280" i="165"/>
  <c r="R280" i="165"/>
  <c r="V279" i="165"/>
  <c r="U279" i="165"/>
  <c r="S279" i="165"/>
  <c r="R279" i="165"/>
  <c r="Z279" i="165" s="1"/>
  <c r="V278" i="165"/>
  <c r="U278" i="165"/>
  <c r="S278" i="165"/>
  <c r="R278" i="165"/>
  <c r="Z278" i="165" s="1"/>
  <c r="Z277" i="165"/>
  <c r="X277" i="165"/>
  <c r="V277" i="165"/>
  <c r="U277" i="165"/>
  <c r="S277" i="165"/>
  <c r="R277" i="165"/>
  <c r="Z267" i="165"/>
  <c r="X267" i="165"/>
  <c r="V267" i="165"/>
  <c r="U267" i="165"/>
  <c r="S267" i="165"/>
  <c r="R267" i="165"/>
  <c r="Z266" i="165"/>
  <c r="X266" i="165"/>
  <c r="V266" i="165"/>
  <c r="U266" i="165"/>
  <c r="S266" i="165"/>
  <c r="R266" i="165"/>
  <c r="V265" i="165"/>
  <c r="U265" i="165"/>
  <c r="S265" i="165"/>
  <c r="R265" i="165"/>
  <c r="Z265" i="165" s="1"/>
  <c r="V264" i="165"/>
  <c r="U264" i="165"/>
  <c r="S264" i="165"/>
  <c r="R264" i="165"/>
  <c r="Z264" i="165" s="1"/>
  <c r="Z263" i="165"/>
  <c r="X263" i="165"/>
  <c r="V263" i="165"/>
  <c r="U263" i="165"/>
  <c r="S263" i="165"/>
  <c r="R263" i="165"/>
  <c r="Z253" i="165"/>
  <c r="X253" i="165"/>
  <c r="V253" i="165"/>
  <c r="U253" i="165"/>
  <c r="S253" i="165"/>
  <c r="R253" i="165"/>
  <c r="Z252" i="165"/>
  <c r="X252" i="165"/>
  <c r="V252" i="165"/>
  <c r="U252" i="165"/>
  <c r="S252" i="165"/>
  <c r="R252" i="165"/>
  <c r="V251" i="165"/>
  <c r="U251" i="165"/>
  <c r="S251" i="165"/>
  <c r="R251" i="165"/>
  <c r="X251" i="165" s="1"/>
  <c r="V250" i="165"/>
  <c r="U250" i="165"/>
  <c r="S250" i="165"/>
  <c r="R250" i="165"/>
  <c r="Z250" i="165" s="1"/>
  <c r="Z249" i="165"/>
  <c r="X249" i="165"/>
  <c r="V249" i="165"/>
  <c r="U249" i="165"/>
  <c r="S249" i="165"/>
  <c r="R249" i="165"/>
  <c r="Z239" i="165"/>
  <c r="X239" i="165"/>
  <c r="V239" i="165"/>
  <c r="U239" i="165"/>
  <c r="S239" i="165"/>
  <c r="R239" i="165"/>
  <c r="Z238" i="165"/>
  <c r="X238" i="165"/>
  <c r="V238" i="165"/>
  <c r="U238" i="165"/>
  <c r="S238" i="165"/>
  <c r="R238" i="165"/>
  <c r="V237" i="165"/>
  <c r="U237" i="165"/>
  <c r="S237" i="165"/>
  <c r="R237" i="165"/>
  <c r="Z237" i="165" s="1"/>
  <c r="V236" i="165"/>
  <c r="U236" i="165"/>
  <c r="S236" i="165"/>
  <c r="R236" i="165"/>
  <c r="Z236" i="165" s="1"/>
  <c r="Z235" i="165"/>
  <c r="X235" i="165"/>
  <c r="V235" i="165"/>
  <c r="U235" i="165"/>
  <c r="S235" i="165"/>
  <c r="R235" i="165"/>
  <c r="Z225" i="165"/>
  <c r="X225" i="165"/>
  <c r="V225" i="165"/>
  <c r="U225" i="165"/>
  <c r="S225" i="165"/>
  <c r="R225" i="165"/>
  <c r="Z224" i="165"/>
  <c r="X224" i="165"/>
  <c r="V224" i="165"/>
  <c r="U224" i="165"/>
  <c r="S224" i="165"/>
  <c r="R224" i="165"/>
  <c r="X223" i="165"/>
  <c r="V223" i="165"/>
  <c r="U223" i="165"/>
  <c r="S223" i="165"/>
  <c r="R223" i="165"/>
  <c r="Z223" i="165" s="1"/>
  <c r="V222" i="165"/>
  <c r="U222" i="165"/>
  <c r="S222" i="165"/>
  <c r="R222" i="165"/>
  <c r="Z222" i="165" s="1"/>
  <c r="Z221" i="165"/>
  <c r="X221" i="165"/>
  <c r="V221" i="165"/>
  <c r="U221" i="165"/>
  <c r="S221" i="165"/>
  <c r="R221" i="165"/>
  <c r="Z211" i="165"/>
  <c r="X211" i="165"/>
  <c r="V211" i="165"/>
  <c r="U211" i="165"/>
  <c r="S211" i="165"/>
  <c r="R211" i="165"/>
  <c r="Z210" i="165"/>
  <c r="X210" i="165"/>
  <c r="V210" i="165"/>
  <c r="U210" i="165"/>
  <c r="S210" i="165"/>
  <c r="R210" i="165"/>
  <c r="X209" i="165"/>
  <c r="V209" i="165"/>
  <c r="U209" i="165"/>
  <c r="S209" i="165"/>
  <c r="R209" i="165"/>
  <c r="Z209" i="165" s="1"/>
  <c r="V208" i="165"/>
  <c r="U208" i="165"/>
  <c r="S208" i="165"/>
  <c r="R208" i="165"/>
  <c r="Z208" i="165" s="1"/>
  <c r="Z207" i="165"/>
  <c r="X207" i="165"/>
  <c r="V207" i="165"/>
  <c r="U207" i="165"/>
  <c r="S207" i="165"/>
  <c r="R207" i="165"/>
  <c r="Z197" i="165"/>
  <c r="X197" i="165"/>
  <c r="V197" i="165"/>
  <c r="U197" i="165"/>
  <c r="S197" i="165"/>
  <c r="R197" i="165"/>
  <c r="Z196" i="165"/>
  <c r="X196" i="165"/>
  <c r="V196" i="165"/>
  <c r="U196" i="165"/>
  <c r="S196" i="165"/>
  <c r="R196" i="165"/>
  <c r="Z195" i="165"/>
  <c r="V195" i="165"/>
  <c r="U195" i="165"/>
  <c r="S195" i="165"/>
  <c r="R195" i="165"/>
  <c r="X195" i="165" s="1"/>
  <c r="X194" i="165"/>
  <c r="V194" i="165"/>
  <c r="U194" i="165"/>
  <c r="S194" i="165"/>
  <c r="R194" i="165"/>
  <c r="Z194" i="165" s="1"/>
  <c r="Z193" i="165"/>
  <c r="X193" i="165"/>
  <c r="V193" i="165"/>
  <c r="U193" i="165"/>
  <c r="S193" i="165"/>
  <c r="R193" i="165"/>
  <c r="Z183" i="165"/>
  <c r="X183" i="165"/>
  <c r="V183" i="165"/>
  <c r="U183" i="165"/>
  <c r="S183" i="165"/>
  <c r="R183" i="165"/>
  <c r="Z182" i="165"/>
  <c r="X182" i="165"/>
  <c r="V182" i="165"/>
  <c r="U182" i="165"/>
  <c r="S182" i="165"/>
  <c r="R182" i="165"/>
  <c r="V181" i="165"/>
  <c r="U181" i="165"/>
  <c r="S181" i="165"/>
  <c r="R181" i="165"/>
  <c r="Z181" i="165" s="1"/>
  <c r="V180" i="165"/>
  <c r="U180" i="165"/>
  <c r="S180" i="165"/>
  <c r="R180" i="165"/>
  <c r="Z180" i="165" s="1"/>
  <c r="Z179" i="165"/>
  <c r="X179" i="165"/>
  <c r="V179" i="165"/>
  <c r="U179" i="165"/>
  <c r="S179" i="165"/>
  <c r="R179" i="165"/>
  <c r="Z169" i="165"/>
  <c r="X169" i="165"/>
  <c r="V169" i="165"/>
  <c r="U169" i="165"/>
  <c r="S169" i="165"/>
  <c r="R169" i="165"/>
  <c r="Z168" i="165"/>
  <c r="X168" i="165"/>
  <c r="V168" i="165"/>
  <c r="U168" i="165"/>
  <c r="S168" i="165"/>
  <c r="R168" i="165"/>
  <c r="V167" i="165"/>
  <c r="U167" i="165"/>
  <c r="S167" i="165"/>
  <c r="R167" i="165"/>
  <c r="Z167" i="165" s="1"/>
  <c r="V166" i="165"/>
  <c r="U166" i="165"/>
  <c r="S166" i="165"/>
  <c r="R166" i="165"/>
  <c r="X166" i="165" s="1"/>
  <c r="Z165" i="165"/>
  <c r="X165" i="165"/>
  <c r="V165" i="165"/>
  <c r="U165" i="165"/>
  <c r="S165" i="165"/>
  <c r="R165" i="165"/>
  <c r="Z155" i="165"/>
  <c r="X155" i="165"/>
  <c r="V155" i="165"/>
  <c r="U155" i="165"/>
  <c r="S155" i="165"/>
  <c r="R155" i="165"/>
  <c r="Z154" i="165"/>
  <c r="X154" i="165"/>
  <c r="V154" i="165"/>
  <c r="U154" i="165"/>
  <c r="S154" i="165"/>
  <c r="R154" i="165"/>
  <c r="X153" i="165"/>
  <c r="V153" i="165"/>
  <c r="U153" i="165"/>
  <c r="S153" i="165"/>
  <c r="R153" i="165"/>
  <c r="Z153" i="165" s="1"/>
  <c r="V152" i="165"/>
  <c r="U152" i="165"/>
  <c r="S152" i="165"/>
  <c r="R152" i="165"/>
  <c r="Z152" i="165" s="1"/>
  <c r="Z151" i="165"/>
  <c r="X151" i="165"/>
  <c r="V151" i="165"/>
  <c r="U151" i="165"/>
  <c r="S151" i="165"/>
  <c r="R151" i="165"/>
  <c r="Z141" i="165"/>
  <c r="X141" i="165"/>
  <c r="V141" i="165"/>
  <c r="U141" i="165"/>
  <c r="S141" i="165"/>
  <c r="R141" i="165"/>
  <c r="Z140" i="165"/>
  <c r="X140" i="165"/>
  <c r="V140" i="165"/>
  <c r="U140" i="165"/>
  <c r="S140" i="165"/>
  <c r="R140" i="165"/>
  <c r="Z139" i="165"/>
  <c r="V139" i="165"/>
  <c r="U139" i="165"/>
  <c r="X139" i="165" s="1"/>
  <c r="S139" i="165"/>
  <c r="R139" i="165"/>
  <c r="V138" i="165"/>
  <c r="U138" i="165"/>
  <c r="S138" i="165"/>
  <c r="R138" i="165"/>
  <c r="Z138" i="165" s="1"/>
  <c r="Z137" i="165"/>
  <c r="X137" i="165"/>
  <c r="V137" i="165"/>
  <c r="U137" i="165"/>
  <c r="S137" i="165"/>
  <c r="R137" i="165"/>
  <c r="Z127" i="165"/>
  <c r="X127" i="165"/>
  <c r="V127" i="165"/>
  <c r="U127" i="165"/>
  <c r="S127" i="165"/>
  <c r="R127" i="165"/>
  <c r="Z126" i="165"/>
  <c r="X126" i="165"/>
  <c r="V126" i="165"/>
  <c r="U126" i="165"/>
  <c r="S126" i="165"/>
  <c r="R126" i="165"/>
  <c r="V125" i="165"/>
  <c r="X125" i="165" s="1"/>
  <c r="U125" i="165"/>
  <c r="S125" i="165"/>
  <c r="R125" i="165"/>
  <c r="Z125" i="165" s="1"/>
  <c r="Z124" i="165"/>
  <c r="X124" i="165"/>
  <c r="V124" i="165"/>
  <c r="U124" i="165"/>
  <c r="S124" i="165"/>
  <c r="R124" i="165"/>
  <c r="Z123" i="165"/>
  <c r="X123" i="165"/>
  <c r="V123" i="165"/>
  <c r="U123" i="165"/>
  <c r="S123" i="165"/>
  <c r="R123" i="165"/>
  <c r="Z113" i="165"/>
  <c r="X113" i="165"/>
  <c r="V113" i="165"/>
  <c r="U113" i="165"/>
  <c r="S113" i="165"/>
  <c r="R113" i="165"/>
  <c r="Z112" i="165"/>
  <c r="X112" i="165"/>
  <c r="V112" i="165"/>
  <c r="U112" i="165"/>
  <c r="S112" i="165"/>
  <c r="R112" i="165"/>
  <c r="V111" i="165"/>
  <c r="U111" i="165"/>
  <c r="S111" i="165"/>
  <c r="R111" i="165"/>
  <c r="Z111" i="165" s="1"/>
  <c r="V110" i="165"/>
  <c r="U110" i="165"/>
  <c r="S110" i="165"/>
  <c r="R110" i="165"/>
  <c r="X110" i="165" s="1"/>
  <c r="Z109" i="165"/>
  <c r="X109" i="165"/>
  <c r="V109" i="165"/>
  <c r="U109" i="165"/>
  <c r="S109" i="165"/>
  <c r="R109" i="165"/>
  <c r="Z99" i="165"/>
  <c r="X99" i="165"/>
  <c r="V99" i="165"/>
  <c r="U99" i="165"/>
  <c r="S99" i="165"/>
  <c r="R99" i="165"/>
  <c r="Z98" i="165"/>
  <c r="X98" i="165"/>
  <c r="V98" i="165"/>
  <c r="U98" i="165"/>
  <c r="S98" i="165"/>
  <c r="R98" i="165"/>
  <c r="V97" i="165"/>
  <c r="U97" i="165"/>
  <c r="S97" i="165"/>
  <c r="R97" i="165"/>
  <c r="Z97" i="165" s="1"/>
  <c r="V96" i="165"/>
  <c r="U96" i="165"/>
  <c r="S96" i="165"/>
  <c r="R96" i="165"/>
  <c r="Z96" i="165" s="1"/>
  <c r="Z95" i="165"/>
  <c r="X95" i="165"/>
  <c r="V95" i="165"/>
  <c r="U95" i="165"/>
  <c r="S95" i="165"/>
  <c r="R95" i="165"/>
  <c r="Z85" i="165"/>
  <c r="X85" i="165"/>
  <c r="V85" i="165"/>
  <c r="U85" i="165"/>
  <c r="S85" i="165"/>
  <c r="R85" i="165"/>
  <c r="Z84" i="165"/>
  <c r="X84" i="165"/>
  <c r="V84" i="165"/>
  <c r="U84" i="165"/>
  <c r="S84" i="165"/>
  <c r="R84" i="165"/>
  <c r="V83" i="165"/>
  <c r="U83" i="165"/>
  <c r="S83" i="165"/>
  <c r="R83" i="165"/>
  <c r="Z83" i="165" s="1"/>
  <c r="X82" i="165"/>
  <c r="V82" i="165"/>
  <c r="U82" i="165"/>
  <c r="S82" i="165"/>
  <c r="R82" i="165"/>
  <c r="Z82" i="165" s="1"/>
  <c r="Z81" i="165"/>
  <c r="X81" i="165"/>
  <c r="V81" i="165"/>
  <c r="U81" i="165"/>
  <c r="S81" i="165"/>
  <c r="R81" i="165"/>
  <c r="Z71" i="165"/>
  <c r="X71" i="165"/>
  <c r="V71" i="165"/>
  <c r="U71" i="165"/>
  <c r="S71" i="165"/>
  <c r="R71" i="165"/>
  <c r="Z70" i="165"/>
  <c r="X70" i="165"/>
  <c r="V70" i="165"/>
  <c r="U70" i="165"/>
  <c r="S70" i="165"/>
  <c r="R70" i="165"/>
  <c r="V69" i="165"/>
  <c r="U69" i="165"/>
  <c r="S69" i="165"/>
  <c r="R69" i="165"/>
  <c r="Z69" i="165" s="1"/>
  <c r="V68" i="165"/>
  <c r="U68" i="165"/>
  <c r="S68" i="165"/>
  <c r="R68" i="165"/>
  <c r="Z68" i="165" s="1"/>
  <c r="Z67" i="165"/>
  <c r="X67" i="165"/>
  <c r="V67" i="165"/>
  <c r="U67" i="165"/>
  <c r="S67" i="165"/>
  <c r="R67" i="165"/>
  <c r="Z57" i="165"/>
  <c r="X57" i="165"/>
  <c r="V57" i="165"/>
  <c r="U57" i="165"/>
  <c r="S57" i="165"/>
  <c r="R57" i="165"/>
  <c r="Z56" i="165"/>
  <c r="X56" i="165"/>
  <c r="V56" i="165"/>
  <c r="U56" i="165"/>
  <c r="S56" i="165"/>
  <c r="R56" i="165"/>
  <c r="V55" i="165"/>
  <c r="U55" i="165"/>
  <c r="S55" i="165"/>
  <c r="R55" i="165"/>
  <c r="Z55" i="165" s="1"/>
  <c r="V54" i="165"/>
  <c r="U54" i="165"/>
  <c r="S54" i="165"/>
  <c r="R54" i="165"/>
  <c r="Z54" i="165" s="1"/>
  <c r="Z53" i="165"/>
  <c r="X53" i="165"/>
  <c r="V53" i="165"/>
  <c r="U53" i="165"/>
  <c r="S53" i="165"/>
  <c r="R53" i="165"/>
  <c r="Z43" i="165"/>
  <c r="X43" i="165"/>
  <c r="V43" i="165"/>
  <c r="U43" i="165"/>
  <c r="S43" i="165"/>
  <c r="R43" i="165"/>
  <c r="Z42" i="165"/>
  <c r="X42" i="165"/>
  <c r="V42" i="165"/>
  <c r="U42" i="165"/>
  <c r="S42" i="165"/>
  <c r="R42" i="165"/>
  <c r="Z41" i="165"/>
  <c r="V41" i="165"/>
  <c r="U41" i="165"/>
  <c r="S41" i="165"/>
  <c r="R41" i="165"/>
  <c r="X41" i="165" s="1"/>
  <c r="V40" i="165"/>
  <c r="U40" i="165"/>
  <c r="S40" i="165"/>
  <c r="R40" i="165"/>
  <c r="Z40" i="165" s="1"/>
  <c r="Z39" i="165"/>
  <c r="X39" i="165"/>
  <c r="V39" i="165"/>
  <c r="U39" i="165"/>
  <c r="S39" i="165"/>
  <c r="R39" i="165"/>
  <c r="Z29" i="165"/>
  <c r="X29" i="165"/>
  <c r="V29" i="165"/>
  <c r="U29" i="165"/>
  <c r="S29" i="165"/>
  <c r="R29" i="165"/>
  <c r="Z28" i="165"/>
  <c r="X28" i="165"/>
  <c r="V28" i="165"/>
  <c r="U28" i="165"/>
  <c r="S28" i="165"/>
  <c r="R28" i="165"/>
  <c r="V27" i="165"/>
  <c r="U27" i="165"/>
  <c r="S27" i="165"/>
  <c r="R27" i="165"/>
  <c r="Z27" i="165" s="1"/>
  <c r="V26" i="165"/>
  <c r="U26" i="165"/>
  <c r="S26" i="165"/>
  <c r="R26" i="165"/>
  <c r="Z26" i="165" s="1"/>
  <c r="Z25" i="165"/>
  <c r="X25" i="165"/>
  <c r="V25" i="165"/>
  <c r="U25" i="165"/>
  <c r="S25" i="165"/>
  <c r="R25" i="165"/>
  <c r="Z15" i="165"/>
  <c r="Z14" i="165"/>
  <c r="Z11" i="165"/>
  <c r="Y267" i="165" l="1"/>
  <c r="Y197" i="165"/>
  <c r="Y196" i="165"/>
  <c r="Y195" i="165"/>
  <c r="Y194" i="165"/>
  <c r="Y193" i="165"/>
  <c r="Z251" i="165"/>
  <c r="Z306" i="165"/>
  <c r="Y85" i="165"/>
  <c r="Y127" i="165"/>
  <c r="Y126" i="165"/>
  <c r="Y125" i="165"/>
  <c r="Y124" i="165"/>
  <c r="Y123" i="165"/>
  <c r="X335" i="165"/>
  <c r="Y239" i="165"/>
  <c r="Y278" i="165"/>
  <c r="Y56" i="165"/>
  <c r="X68" i="165"/>
  <c r="Y166" i="165"/>
  <c r="X307" i="165"/>
  <c r="Y308" i="165" s="1"/>
  <c r="X349" i="165"/>
  <c r="Y419" i="165"/>
  <c r="Z110" i="165"/>
  <c r="Y295" i="165"/>
  <c r="Z334" i="165"/>
  <c r="Y309" i="165"/>
  <c r="Y305" i="165"/>
  <c r="Y69" i="165"/>
  <c r="Y365" i="165"/>
  <c r="Y364" i="165"/>
  <c r="Y363" i="165"/>
  <c r="Y225" i="165"/>
  <c r="Y335" i="165"/>
  <c r="Y334" i="165"/>
  <c r="Y336" i="165"/>
  <c r="Y333" i="165"/>
  <c r="Y337" i="165"/>
  <c r="Y405" i="165"/>
  <c r="X418" i="165"/>
  <c r="Y417" i="165" s="1"/>
  <c r="X26" i="165"/>
  <c r="Y25" i="165" s="1"/>
  <c r="X55" i="165"/>
  <c r="X167" i="165"/>
  <c r="Y169" i="165" s="1"/>
  <c r="X321" i="165"/>
  <c r="Y323" i="165" s="1"/>
  <c r="X348" i="165"/>
  <c r="Y351" i="165" s="1"/>
  <c r="X390" i="165"/>
  <c r="Y392" i="165" s="1"/>
  <c r="X279" i="165"/>
  <c r="X362" i="165"/>
  <c r="Y361" i="165" s="1"/>
  <c r="X69" i="165"/>
  <c r="Y70" i="165" s="1"/>
  <c r="X237" i="165"/>
  <c r="X404" i="165"/>
  <c r="Y406" i="165" s="1"/>
  <c r="X419" i="165"/>
  <c r="X111" i="165"/>
  <c r="Y112" i="165" s="1"/>
  <c r="X181" i="165"/>
  <c r="X54" i="165"/>
  <c r="Y54" i="165" s="1"/>
  <c r="X97" i="165"/>
  <c r="Z166" i="165"/>
  <c r="X293" i="165"/>
  <c r="Y294" i="165" s="1"/>
  <c r="Z320" i="165"/>
  <c r="X377" i="165"/>
  <c r="Y378" i="165" s="1"/>
  <c r="Z363" i="165"/>
  <c r="X278" i="165"/>
  <c r="Y281" i="165" s="1"/>
  <c r="X264" i="165"/>
  <c r="Y264" i="165" s="1"/>
  <c r="X265" i="165"/>
  <c r="X250" i="165"/>
  <c r="Y250" i="165" s="1"/>
  <c r="X236" i="165"/>
  <c r="Y237" i="165" s="1"/>
  <c r="X222" i="165"/>
  <c r="Y223" i="165" s="1"/>
  <c r="X208" i="165"/>
  <c r="Y211" i="165" s="1"/>
  <c r="X180" i="165"/>
  <c r="Y181" i="165" s="1"/>
  <c r="X152" i="165"/>
  <c r="Y154" i="165" s="1"/>
  <c r="X138" i="165"/>
  <c r="Y137" i="165" s="1"/>
  <c r="X96" i="165"/>
  <c r="Y99" i="165" s="1"/>
  <c r="X83" i="165"/>
  <c r="Y83" i="165" s="1"/>
  <c r="X40" i="165"/>
  <c r="Y42" i="165" s="1"/>
  <c r="X27" i="165"/>
  <c r="Y180" i="165" l="1"/>
  <c r="Y407" i="165"/>
  <c r="Y109" i="165"/>
  <c r="Y179" i="165"/>
  <c r="Y71" i="165"/>
  <c r="Y293" i="165"/>
  <c r="Y249" i="165"/>
  <c r="Y418" i="165"/>
  <c r="Y393" i="165"/>
  <c r="Y165" i="165"/>
  <c r="Y55" i="165"/>
  <c r="Y277" i="165"/>
  <c r="Y238" i="165"/>
  <c r="Y84" i="165"/>
  <c r="Y265" i="165"/>
  <c r="Y403" i="165"/>
  <c r="Y224" i="165"/>
  <c r="Y111" i="165"/>
  <c r="Y139" i="165"/>
  <c r="Y67" i="165"/>
  <c r="Y320" i="165"/>
  <c r="Y291" i="165"/>
  <c r="Y96" i="165"/>
  <c r="Y420" i="165"/>
  <c r="Y167" i="165"/>
  <c r="Y57" i="165"/>
  <c r="Y279" i="165"/>
  <c r="Y39" i="165"/>
  <c r="Y375" i="165"/>
  <c r="Y266" i="165"/>
  <c r="Y110" i="165"/>
  <c r="Y404" i="165"/>
  <c r="Y221" i="165"/>
  <c r="Y27" i="165"/>
  <c r="Y362" i="165"/>
  <c r="Y140" i="165"/>
  <c r="Y68" i="165"/>
  <c r="Y321" i="165"/>
  <c r="Y292" i="165"/>
  <c r="Y95" i="165"/>
  <c r="Y421" i="165"/>
  <c r="Y208" i="165"/>
  <c r="Y168" i="165"/>
  <c r="Y347" i="165"/>
  <c r="Y280" i="165"/>
  <c r="Y43" i="165"/>
  <c r="Y376" i="165"/>
  <c r="Y155" i="165"/>
  <c r="Y222" i="165"/>
  <c r="Y28" i="165"/>
  <c r="Y141" i="165"/>
  <c r="Y319" i="165"/>
  <c r="Y251" i="165"/>
  <c r="Y97" i="165"/>
  <c r="Y389" i="165"/>
  <c r="Y207" i="165"/>
  <c r="Y348" i="165"/>
  <c r="Y40" i="165"/>
  <c r="Y377" i="165"/>
  <c r="Y151" i="165"/>
  <c r="Y29" i="165"/>
  <c r="Y182" i="165"/>
  <c r="Y138" i="165"/>
  <c r="Y306" i="165"/>
  <c r="Y322" i="165"/>
  <c r="Y252" i="165"/>
  <c r="Y98" i="165"/>
  <c r="Y390" i="165"/>
  <c r="Y209" i="165"/>
  <c r="Y349" i="165"/>
  <c r="Y235" i="165"/>
  <c r="Y41" i="165"/>
  <c r="Y81" i="165"/>
  <c r="Y379" i="165"/>
  <c r="Y152" i="165"/>
  <c r="Y113" i="165"/>
  <c r="Y26" i="165"/>
  <c r="Y183" i="165"/>
  <c r="Y307" i="165"/>
  <c r="Y253" i="165"/>
  <c r="Y391" i="165"/>
  <c r="Y210" i="165"/>
  <c r="Y53" i="165"/>
  <c r="Y350" i="165"/>
  <c r="Y236" i="165"/>
  <c r="Y82" i="165"/>
  <c r="Y263" i="165"/>
  <c r="Y153" i="165"/>
  <c r="Y14" i="206"/>
  <c r="O62" i="117"/>
  <c r="W65" i="117"/>
  <c r="W64" i="117"/>
  <c r="W63" i="117"/>
  <c r="W62" i="117"/>
  <c r="W61" i="117"/>
  <c r="W60" i="117"/>
  <c r="W58" i="117"/>
  <c r="W57" i="117"/>
  <c r="W56" i="117"/>
  <c r="W55" i="117"/>
  <c r="W54" i="117"/>
  <c r="W53" i="117"/>
  <c r="W51" i="117"/>
  <c r="W50" i="117"/>
  <c r="W49" i="117"/>
  <c r="W48" i="117"/>
  <c r="W47" i="117"/>
  <c r="W46" i="117"/>
  <c r="W44" i="117"/>
  <c r="W43" i="117"/>
  <c r="W42" i="117"/>
  <c r="W41" i="117"/>
  <c r="W40" i="117"/>
  <c r="W39" i="117"/>
  <c r="W37" i="117"/>
  <c r="W36" i="117"/>
  <c r="W35" i="117"/>
  <c r="W34" i="117"/>
  <c r="W33" i="117"/>
  <c r="W32" i="117"/>
  <c r="W30" i="117"/>
  <c r="W29" i="117"/>
  <c r="W28" i="117"/>
  <c r="W27" i="117"/>
  <c r="W26" i="117"/>
  <c r="W25" i="117"/>
  <c r="W23" i="117"/>
  <c r="W22" i="117"/>
  <c r="W21" i="117"/>
  <c r="W20" i="117"/>
  <c r="W19" i="117"/>
  <c r="W18" i="117"/>
  <c r="W12" i="117"/>
  <c r="W13" i="117"/>
  <c r="W14" i="117"/>
  <c r="W15" i="117"/>
  <c r="W16" i="117"/>
  <c r="W11" i="117"/>
  <c r="O11" i="117"/>
  <c r="Y12" i="141"/>
  <c r="V52" i="117"/>
  <c r="L15" i="141" s="1"/>
  <c r="U52" i="117"/>
  <c r="W15" i="141" s="1"/>
  <c r="T52" i="117"/>
  <c r="J15" i="141" s="1"/>
  <c r="S52" i="117"/>
  <c r="U15" i="141" s="1"/>
  <c r="V45" i="117"/>
  <c r="X14" i="141" s="1"/>
  <c r="U45" i="117"/>
  <c r="W14" i="141" s="1"/>
  <c r="T45" i="117"/>
  <c r="V14" i="141" s="1"/>
  <c r="S45" i="117"/>
  <c r="I14" i="141" s="1"/>
  <c r="V38" i="117"/>
  <c r="X13" i="141" s="1"/>
  <c r="U38" i="117"/>
  <c r="W13" i="141" s="1"/>
  <c r="T38" i="117"/>
  <c r="J13" i="141" s="1"/>
  <c r="S38" i="117"/>
  <c r="U13" i="141" s="1"/>
  <c r="V31" i="117"/>
  <c r="L12" i="141" s="1"/>
  <c r="U31" i="117"/>
  <c r="K12" i="141" s="1"/>
  <c r="T31" i="117"/>
  <c r="V12" i="141" s="1"/>
  <c r="S31" i="117"/>
  <c r="V24" i="117"/>
  <c r="X11" i="141" s="1"/>
  <c r="U24" i="117"/>
  <c r="W11" i="141" s="1"/>
  <c r="T24" i="117"/>
  <c r="V11" i="141" s="1"/>
  <c r="S24" i="117"/>
  <c r="U11" i="141" s="1"/>
  <c r="V17" i="117"/>
  <c r="L10" i="141" s="1"/>
  <c r="U17" i="117"/>
  <c r="W10" i="141" s="1"/>
  <c r="T17" i="117"/>
  <c r="J10" i="141" s="1"/>
  <c r="S17" i="117"/>
  <c r="U10" i="141" s="1"/>
  <c r="V10" i="117"/>
  <c r="X9" i="141" s="1"/>
  <c r="U10" i="117"/>
  <c r="K9" i="141" s="1"/>
  <c r="T10" i="117"/>
  <c r="J9" i="141" s="1"/>
  <c r="S10" i="117"/>
  <c r="U9" i="141" s="1"/>
  <c r="M14" i="141"/>
  <c r="M12" i="141"/>
  <c r="M10" i="141"/>
  <c r="K37" i="119"/>
  <c r="K36" i="119"/>
  <c r="K34" i="119"/>
  <c r="K33" i="119"/>
  <c r="Y15" i="141"/>
  <c r="Y14" i="141"/>
  <c r="Y13" i="141"/>
  <c r="Y11" i="141"/>
  <c r="Y10" i="141"/>
  <c r="L10" i="119"/>
  <c r="Y9" i="141" s="1"/>
  <c r="K10" i="190"/>
  <c r="I10" i="190"/>
  <c r="H11" i="190"/>
  <c r="H10" i="190"/>
  <c r="F36" i="183"/>
  <c r="H35" i="183"/>
  <c r="H29" i="183"/>
  <c r="F10" i="183"/>
  <c r="H11" i="183"/>
  <c r="I11" i="183"/>
  <c r="M13" i="123"/>
  <c r="O13" i="117"/>
  <c r="K66" i="117"/>
  <c r="G14" i="198"/>
  <c r="N14" i="198"/>
  <c r="I45" i="152"/>
  <c r="H47" i="152"/>
  <c r="O29" i="207"/>
  <c r="G18" i="204"/>
  <c r="F18" i="204"/>
  <c r="F31" i="204"/>
  <c r="G31" i="204"/>
  <c r="H31" i="204"/>
  <c r="I31" i="204"/>
  <c r="H18" i="204"/>
  <c r="J11" i="204"/>
  <c r="N20" i="204"/>
  <c r="N19" i="204"/>
  <c r="N17" i="204"/>
  <c r="N16" i="204"/>
  <c r="N15" i="204"/>
  <c r="N14" i="204"/>
  <c r="N13" i="204"/>
  <c r="N12" i="204"/>
  <c r="N11" i="204"/>
  <c r="J17" i="204"/>
  <c r="G11" i="198"/>
  <c r="K28" i="207"/>
  <c r="K11" i="141" l="1"/>
  <c r="K13" i="141"/>
  <c r="X12" i="141"/>
  <c r="K15" i="141"/>
  <c r="W17" i="117"/>
  <c r="W31" i="117"/>
  <c r="I9" i="141"/>
  <c r="L9" i="141"/>
  <c r="I13" i="141"/>
  <c r="L13" i="141"/>
  <c r="X15" i="141"/>
  <c r="I15" i="141"/>
  <c r="W10" i="117"/>
  <c r="J12" i="141"/>
  <c r="V13" i="141"/>
  <c r="M15" i="141"/>
  <c r="M13" i="141"/>
  <c r="M11" i="141"/>
  <c r="M9" i="141"/>
  <c r="V15" i="141"/>
  <c r="W52" i="117"/>
  <c r="J14" i="141"/>
  <c r="L14" i="141"/>
  <c r="W45" i="117"/>
  <c r="K14" i="141"/>
  <c r="U14" i="141"/>
  <c r="W38" i="117"/>
  <c r="I12" i="141"/>
  <c r="W12" i="141"/>
  <c r="U12" i="141"/>
  <c r="J11" i="141"/>
  <c r="I11" i="141"/>
  <c r="L11" i="141"/>
  <c r="W24" i="117"/>
  <c r="K10" i="141"/>
  <c r="V10" i="141"/>
  <c r="I10" i="141"/>
  <c r="X10" i="141"/>
  <c r="W9" i="141"/>
  <c r="V9" i="141"/>
  <c r="X8" i="190"/>
  <c r="R13" i="165"/>
  <c r="Z13" i="165" s="1"/>
  <c r="S13" i="165"/>
  <c r="U13" i="165"/>
  <c r="V13" i="165" s="1"/>
  <c r="X13" i="165" l="1"/>
  <c r="X171" i="190" l="1"/>
  <c r="X170" i="190"/>
  <c r="X169" i="190"/>
  <c r="X168" i="190"/>
  <c r="X167" i="190"/>
  <c r="X166" i="190"/>
  <c r="X165" i="190"/>
  <c r="X164" i="190"/>
  <c r="X163" i="190"/>
  <c r="X162" i="190"/>
  <c r="X161" i="190"/>
  <c r="X160" i="190"/>
  <c r="X159" i="190"/>
  <c r="X158" i="190"/>
  <c r="X157" i="190"/>
  <c r="X156" i="190"/>
  <c r="X155" i="190"/>
  <c r="X154" i="190"/>
  <c r="X153" i="190"/>
  <c r="X152" i="190"/>
  <c r="X151" i="190"/>
  <c r="X149" i="190"/>
  <c r="X148" i="190"/>
  <c r="X147" i="190"/>
  <c r="X146" i="190"/>
  <c r="X145" i="190"/>
  <c r="X144" i="190"/>
  <c r="X143" i="190"/>
  <c r="X142" i="190"/>
  <c r="X141" i="190"/>
  <c r="X140" i="190"/>
  <c r="X139" i="190"/>
  <c r="X138" i="190"/>
  <c r="X137" i="190"/>
  <c r="X136" i="190"/>
  <c r="X135" i="190"/>
  <c r="X134" i="190"/>
  <c r="X133" i="190"/>
  <c r="X132" i="190"/>
  <c r="X131" i="190"/>
  <c r="X130" i="190"/>
  <c r="X129" i="190"/>
  <c r="X128" i="190"/>
  <c r="X127" i="190"/>
  <c r="X126" i="190"/>
  <c r="X125" i="190"/>
  <c r="X124" i="190"/>
  <c r="X123" i="190"/>
  <c r="X122" i="190"/>
  <c r="X121" i="190"/>
  <c r="X120" i="190"/>
  <c r="X119" i="190"/>
  <c r="X118" i="190"/>
  <c r="X117" i="190"/>
  <c r="X116" i="190"/>
  <c r="X115" i="190"/>
  <c r="X114" i="190"/>
  <c r="X113" i="190"/>
  <c r="X112" i="190"/>
  <c r="X111" i="190"/>
  <c r="X110" i="190"/>
  <c r="X109" i="190"/>
  <c r="X108" i="190"/>
  <c r="X107" i="190"/>
  <c r="X106" i="190"/>
  <c r="X105" i="190"/>
  <c r="X104" i="190"/>
  <c r="X103" i="190"/>
  <c r="X102" i="190"/>
  <c r="X101" i="190"/>
  <c r="X100" i="190"/>
  <c r="X99" i="190"/>
  <c r="X98" i="190"/>
  <c r="X97" i="190"/>
  <c r="X96" i="190"/>
  <c r="X95" i="190"/>
  <c r="X94" i="190"/>
  <c r="X93" i="190"/>
  <c r="X92" i="190"/>
  <c r="X91" i="190"/>
  <c r="X90" i="190"/>
  <c r="X89" i="190"/>
  <c r="X88" i="190"/>
  <c r="X87" i="190"/>
  <c r="X86" i="190"/>
  <c r="X85" i="190"/>
  <c r="X84" i="190"/>
  <c r="X83" i="190"/>
  <c r="X82" i="190"/>
  <c r="X81" i="190"/>
  <c r="X80" i="190"/>
  <c r="X79" i="190"/>
  <c r="X78" i="190"/>
  <c r="X77" i="190"/>
  <c r="X76" i="190"/>
  <c r="X75" i="190"/>
  <c r="X74" i="190"/>
  <c r="X73" i="190"/>
  <c r="X72" i="190"/>
  <c r="X71" i="190"/>
  <c r="X70" i="190"/>
  <c r="X69" i="190"/>
  <c r="X68" i="190"/>
  <c r="X67" i="190"/>
  <c r="X66" i="190"/>
  <c r="X65" i="190"/>
  <c r="X64" i="190"/>
  <c r="X63" i="190"/>
  <c r="X62" i="190"/>
  <c r="X61" i="190"/>
  <c r="X60" i="190"/>
  <c r="X59" i="190"/>
  <c r="X58" i="190"/>
  <c r="X57" i="190"/>
  <c r="X56" i="190"/>
  <c r="X55" i="190"/>
  <c r="X54" i="190"/>
  <c r="X53" i="190"/>
  <c r="X52" i="190"/>
  <c r="X51" i="190"/>
  <c r="X50" i="190"/>
  <c r="X49" i="190"/>
  <c r="X48" i="190"/>
  <c r="X47" i="190"/>
  <c r="X46" i="190"/>
  <c r="X45" i="190"/>
  <c r="X44" i="190"/>
  <c r="X43" i="190"/>
  <c r="X42" i="190"/>
  <c r="X41" i="190"/>
  <c r="X40" i="190"/>
  <c r="X39" i="190"/>
  <c r="X38" i="190"/>
  <c r="X37" i="190"/>
  <c r="X36" i="190"/>
  <c r="X35" i="190"/>
  <c r="X34" i="190"/>
  <c r="X33" i="190"/>
  <c r="X32" i="190"/>
  <c r="X31" i="190"/>
  <c r="X30" i="190"/>
  <c r="X29" i="190"/>
  <c r="X28" i="190"/>
  <c r="X27" i="190"/>
  <c r="X26" i="190"/>
  <c r="X25" i="190"/>
  <c r="X24" i="190"/>
  <c r="X23" i="190"/>
  <c r="X22" i="190"/>
  <c r="X21" i="190"/>
  <c r="X20" i="190"/>
  <c r="X19" i="190"/>
  <c r="X18" i="190"/>
  <c r="X17" i="190"/>
  <c r="X16" i="190"/>
  <c r="X15" i="190"/>
  <c r="X14" i="190"/>
  <c r="X13" i="190"/>
  <c r="X12" i="190"/>
  <c r="X10" i="190"/>
  <c r="X9" i="190"/>
  <c r="X11" i="190" l="1"/>
  <c r="J77" i="183" l="1"/>
  <c r="J102" i="183"/>
  <c r="J11" i="183"/>
  <c r="J89" i="183"/>
  <c r="J10" i="183"/>
  <c r="R27" i="183" l="1"/>
  <c r="H22" i="166"/>
  <c r="O21" i="166"/>
  <c r="O20" i="166"/>
  <c r="O19" i="166"/>
  <c r="O18" i="166"/>
  <c r="O17" i="166"/>
  <c r="O16" i="166"/>
  <c r="O15" i="166"/>
  <c r="O14" i="166"/>
  <c r="O13" i="166"/>
  <c r="O12" i="166"/>
  <c r="O11" i="166"/>
  <c r="O10" i="166"/>
  <c r="O9" i="166"/>
  <c r="I18" i="204"/>
  <c r="V165" i="183"/>
  <c r="V164" i="183"/>
  <c r="V163" i="183"/>
  <c r="V162" i="183"/>
  <c r="V161" i="183"/>
  <c r="V160" i="183"/>
  <c r="V159" i="183"/>
  <c r="V158" i="183"/>
  <c r="V157" i="183"/>
  <c r="V156" i="183"/>
  <c r="V155" i="183"/>
  <c r="V154" i="183"/>
  <c r="V153" i="183"/>
  <c r="V152" i="183"/>
  <c r="V151" i="183"/>
  <c r="V150" i="183"/>
  <c r="V149" i="183"/>
  <c r="V148" i="183"/>
  <c r="V147" i="183"/>
  <c r="V146" i="183"/>
  <c r="V145" i="183"/>
  <c r="V144" i="183"/>
  <c r="V143" i="183"/>
  <c r="V142" i="183"/>
  <c r="V141" i="183"/>
  <c r="V140" i="183"/>
  <c r="V139" i="183"/>
  <c r="V138" i="183"/>
  <c r="V137" i="183"/>
  <c r="V136" i="183"/>
  <c r="V135" i="183"/>
  <c r="V134" i="183"/>
  <c r="V133" i="183"/>
  <c r="V132" i="183"/>
  <c r="V131" i="183"/>
  <c r="V130" i="183"/>
  <c r="V129" i="183"/>
  <c r="V128" i="183"/>
  <c r="V127" i="183"/>
  <c r="V126" i="183"/>
  <c r="V125" i="183"/>
  <c r="V124" i="183"/>
  <c r="V123" i="183"/>
  <c r="V122" i="183"/>
  <c r="V121" i="183"/>
  <c r="V120" i="183"/>
  <c r="V119" i="183"/>
  <c r="V118" i="183"/>
  <c r="V117" i="183"/>
  <c r="V116" i="183"/>
  <c r="V115" i="183"/>
  <c r="V114" i="183"/>
  <c r="V113" i="183"/>
  <c r="V112" i="183"/>
  <c r="V111" i="183"/>
  <c r="V110" i="183"/>
  <c r="V109" i="183"/>
  <c r="V108" i="183"/>
  <c r="V107" i="183"/>
  <c r="V106" i="183"/>
  <c r="V105" i="183"/>
  <c r="V104" i="183"/>
  <c r="V103" i="183"/>
  <c r="V102" i="183"/>
  <c r="V101" i="183"/>
  <c r="V100" i="183"/>
  <c r="V99" i="183"/>
  <c r="V98" i="183"/>
  <c r="V97" i="183"/>
  <c r="V96" i="183"/>
  <c r="V95" i="183"/>
  <c r="V94" i="183"/>
  <c r="V93" i="183"/>
  <c r="V92" i="183"/>
  <c r="V91" i="183"/>
  <c r="V90" i="183"/>
  <c r="V89" i="183"/>
  <c r="V88" i="183"/>
  <c r="V87" i="183"/>
  <c r="V86" i="183"/>
  <c r="V85" i="183"/>
  <c r="V84" i="183"/>
  <c r="V83" i="183"/>
  <c r="V82" i="183"/>
  <c r="V81" i="183"/>
  <c r="V80" i="183"/>
  <c r="V79" i="183"/>
  <c r="V78" i="183"/>
  <c r="V77" i="183"/>
  <c r="V76" i="183"/>
  <c r="V75" i="183"/>
  <c r="V74" i="183"/>
  <c r="V73" i="183"/>
  <c r="V72" i="183"/>
  <c r="V71" i="183"/>
  <c r="V70" i="183"/>
  <c r="V69" i="183"/>
  <c r="V68" i="183"/>
  <c r="V67" i="183"/>
  <c r="V66" i="183"/>
  <c r="V65" i="183"/>
  <c r="V64" i="183"/>
  <c r="V63" i="183"/>
  <c r="V62" i="183"/>
  <c r="V61" i="183"/>
  <c r="V60" i="183"/>
  <c r="V59" i="183"/>
  <c r="V58" i="183"/>
  <c r="V57" i="183"/>
  <c r="V56" i="183"/>
  <c r="V55" i="183"/>
  <c r="V54" i="183"/>
  <c r="V53" i="183"/>
  <c r="V52" i="183"/>
  <c r="V51" i="183"/>
  <c r="V50" i="183"/>
  <c r="V49" i="183"/>
  <c r="V48" i="183"/>
  <c r="V47" i="183"/>
  <c r="V46" i="183"/>
  <c r="V45" i="183"/>
  <c r="V44" i="183"/>
  <c r="V43" i="183"/>
  <c r="V42" i="183"/>
  <c r="V41" i="183"/>
  <c r="V40" i="183"/>
  <c r="V39" i="183"/>
  <c r="V38" i="183"/>
  <c r="V37" i="183"/>
  <c r="V36" i="183"/>
  <c r="V35" i="183"/>
  <c r="V34" i="183"/>
  <c r="V33" i="183"/>
  <c r="V32" i="183"/>
  <c r="V31" i="183"/>
  <c r="V30" i="183"/>
  <c r="V29" i="183"/>
  <c r="V28" i="183"/>
  <c r="V27" i="183"/>
  <c r="V26" i="183"/>
  <c r="V25" i="183"/>
  <c r="V24" i="183"/>
  <c r="V23" i="183"/>
  <c r="V22" i="183"/>
  <c r="V21" i="183"/>
  <c r="V20" i="183"/>
  <c r="V19" i="183"/>
  <c r="V18" i="183"/>
  <c r="V17" i="183"/>
  <c r="V16" i="183"/>
  <c r="V15" i="183"/>
  <c r="V14" i="183"/>
  <c r="V13" i="183"/>
  <c r="V12" i="183"/>
  <c r="V11" i="183"/>
  <c r="V10" i="183"/>
  <c r="V9" i="183"/>
  <c r="V8" i="183"/>
  <c r="F443" i="164" l="1"/>
  <c r="F8" i="164"/>
  <c r="U165" i="183" l="1"/>
  <c r="T165" i="183"/>
  <c r="U164" i="183"/>
  <c r="T164" i="183"/>
  <c r="U163" i="183"/>
  <c r="T163" i="183"/>
  <c r="U162" i="183"/>
  <c r="T162" i="183"/>
  <c r="U161" i="183"/>
  <c r="T161" i="183"/>
  <c r="U160" i="183"/>
  <c r="T160" i="183"/>
  <c r="U159" i="183"/>
  <c r="T159" i="183"/>
  <c r="U158" i="183"/>
  <c r="T158" i="183"/>
  <c r="U157" i="183"/>
  <c r="T157" i="183"/>
  <c r="U156" i="183"/>
  <c r="T156" i="183"/>
  <c r="U155" i="183"/>
  <c r="T155" i="183"/>
  <c r="U154" i="183"/>
  <c r="T154" i="183"/>
  <c r="U153" i="183"/>
  <c r="T153" i="183"/>
  <c r="U152" i="183"/>
  <c r="T152" i="183"/>
  <c r="U151" i="183"/>
  <c r="T151" i="183"/>
  <c r="U150" i="183"/>
  <c r="T150" i="183"/>
  <c r="U149" i="183"/>
  <c r="T149" i="183"/>
  <c r="U148" i="183"/>
  <c r="T148" i="183"/>
  <c r="U147" i="183"/>
  <c r="T147" i="183"/>
  <c r="U146" i="183"/>
  <c r="T146" i="183"/>
  <c r="U145" i="183"/>
  <c r="T145" i="183"/>
  <c r="U144" i="183"/>
  <c r="T144" i="183"/>
  <c r="U143" i="183"/>
  <c r="T143" i="183"/>
  <c r="U142" i="183"/>
  <c r="T142" i="183"/>
  <c r="U141" i="183"/>
  <c r="T141" i="183"/>
  <c r="U140" i="183"/>
  <c r="T140" i="183"/>
  <c r="U139" i="183"/>
  <c r="T139" i="183"/>
  <c r="U138" i="183"/>
  <c r="T138" i="183"/>
  <c r="U137" i="183"/>
  <c r="T137" i="183"/>
  <c r="U136" i="183"/>
  <c r="T136" i="183"/>
  <c r="U135" i="183"/>
  <c r="T135" i="183"/>
  <c r="U134" i="183"/>
  <c r="T134" i="183"/>
  <c r="U133" i="183"/>
  <c r="T133" i="183"/>
  <c r="U132" i="183"/>
  <c r="T132" i="183"/>
  <c r="U131" i="183"/>
  <c r="T131" i="183"/>
  <c r="U130" i="183"/>
  <c r="T130" i="183"/>
  <c r="U129" i="183"/>
  <c r="T129" i="183"/>
  <c r="U128" i="183"/>
  <c r="T128" i="183"/>
  <c r="U127" i="183"/>
  <c r="T127" i="183"/>
  <c r="U126" i="183"/>
  <c r="T126" i="183"/>
  <c r="U125" i="183"/>
  <c r="T125" i="183"/>
  <c r="U124" i="183"/>
  <c r="T124" i="183"/>
  <c r="U123" i="183"/>
  <c r="T123" i="183"/>
  <c r="U122" i="183"/>
  <c r="T122" i="183"/>
  <c r="U121" i="183"/>
  <c r="T121" i="183"/>
  <c r="U120" i="183"/>
  <c r="T120" i="183"/>
  <c r="U119" i="183"/>
  <c r="T119" i="183"/>
  <c r="U118" i="183"/>
  <c r="T118" i="183"/>
  <c r="U117" i="183"/>
  <c r="T117" i="183"/>
  <c r="U116" i="183"/>
  <c r="T116" i="183"/>
  <c r="U115" i="183"/>
  <c r="T115" i="183"/>
  <c r="U114" i="183"/>
  <c r="T114" i="183"/>
  <c r="U113" i="183"/>
  <c r="T113" i="183"/>
  <c r="U112" i="183"/>
  <c r="T112" i="183"/>
  <c r="U111" i="183"/>
  <c r="T111" i="183"/>
  <c r="U110" i="183"/>
  <c r="T110" i="183"/>
  <c r="U109" i="183"/>
  <c r="T109" i="183"/>
  <c r="U108" i="183"/>
  <c r="T108" i="183"/>
  <c r="U107" i="183"/>
  <c r="T107" i="183"/>
  <c r="U106" i="183"/>
  <c r="T106" i="183"/>
  <c r="U105" i="183"/>
  <c r="T105" i="183"/>
  <c r="U104" i="183"/>
  <c r="T104" i="183"/>
  <c r="U103" i="183"/>
  <c r="T103" i="183"/>
  <c r="U102" i="183"/>
  <c r="T102" i="183"/>
  <c r="U101" i="183"/>
  <c r="T101" i="183"/>
  <c r="U100" i="183"/>
  <c r="T100" i="183"/>
  <c r="U99" i="183"/>
  <c r="T99" i="183"/>
  <c r="U98" i="183"/>
  <c r="T98" i="183"/>
  <c r="U97" i="183"/>
  <c r="T97" i="183"/>
  <c r="U96" i="183"/>
  <c r="T96" i="183"/>
  <c r="U95" i="183"/>
  <c r="T95" i="183"/>
  <c r="U94" i="183"/>
  <c r="T94" i="183"/>
  <c r="U93" i="183"/>
  <c r="T93" i="183"/>
  <c r="U92" i="183"/>
  <c r="T92" i="183"/>
  <c r="U91" i="183"/>
  <c r="T91" i="183"/>
  <c r="U90" i="183"/>
  <c r="T90" i="183"/>
  <c r="U89" i="183"/>
  <c r="T89" i="183"/>
  <c r="U88" i="183"/>
  <c r="T88" i="183"/>
  <c r="U87" i="183"/>
  <c r="T87" i="183"/>
  <c r="U86" i="183"/>
  <c r="T86" i="183"/>
  <c r="U85" i="183"/>
  <c r="T85" i="183"/>
  <c r="U84" i="183"/>
  <c r="T84" i="183"/>
  <c r="U83" i="183"/>
  <c r="T83" i="183"/>
  <c r="U82" i="183"/>
  <c r="T82" i="183"/>
  <c r="U81" i="183"/>
  <c r="T81" i="183"/>
  <c r="U80" i="183"/>
  <c r="T80" i="183"/>
  <c r="U79" i="183"/>
  <c r="T79" i="183"/>
  <c r="U78" i="183"/>
  <c r="T78" i="183"/>
  <c r="U77" i="183"/>
  <c r="T77" i="183"/>
  <c r="U76" i="183"/>
  <c r="T76" i="183"/>
  <c r="U75" i="183"/>
  <c r="T75" i="183"/>
  <c r="U74" i="183"/>
  <c r="T74" i="183"/>
  <c r="U73" i="183"/>
  <c r="T73" i="183"/>
  <c r="U72" i="183"/>
  <c r="T72" i="183"/>
  <c r="U71" i="183"/>
  <c r="T71" i="183"/>
  <c r="U70" i="183"/>
  <c r="T70" i="183"/>
  <c r="U69" i="183"/>
  <c r="T69" i="183"/>
  <c r="U68" i="183"/>
  <c r="T68" i="183"/>
  <c r="U67" i="183"/>
  <c r="T67" i="183"/>
  <c r="U66" i="183"/>
  <c r="T66" i="183"/>
  <c r="U65" i="183"/>
  <c r="T65" i="183"/>
  <c r="U64" i="183"/>
  <c r="T64" i="183"/>
  <c r="U63" i="183"/>
  <c r="T63" i="183"/>
  <c r="U62" i="183"/>
  <c r="T62" i="183"/>
  <c r="U61" i="183"/>
  <c r="T61" i="183"/>
  <c r="U60" i="183"/>
  <c r="T60" i="183"/>
  <c r="U59" i="183"/>
  <c r="T59" i="183"/>
  <c r="U58" i="183"/>
  <c r="T58" i="183"/>
  <c r="U57" i="183"/>
  <c r="T57" i="183"/>
  <c r="U56" i="183"/>
  <c r="T56" i="183"/>
  <c r="U55" i="183"/>
  <c r="T55" i="183"/>
  <c r="U54" i="183"/>
  <c r="T54" i="183"/>
  <c r="U53" i="183"/>
  <c r="T53" i="183"/>
  <c r="U52" i="183"/>
  <c r="T52" i="183"/>
  <c r="U51" i="183"/>
  <c r="T51" i="183"/>
  <c r="U50" i="183"/>
  <c r="T50" i="183"/>
  <c r="U49" i="183"/>
  <c r="T49" i="183"/>
  <c r="U48" i="183"/>
  <c r="T48" i="183"/>
  <c r="U47" i="183"/>
  <c r="T47" i="183"/>
  <c r="U46" i="183"/>
  <c r="T46" i="183"/>
  <c r="U45" i="183"/>
  <c r="T45" i="183"/>
  <c r="U44" i="183"/>
  <c r="T44" i="183"/>
  <c r="U43" i="183"/>
  <c r="T43" i="183"/>
  <c r="U42" i="183"/>
  <c r="T42" i="183"/>
  <c r="U41" i="183"/>
  <c r="T41" i="183"/>
  <c r="U40" i="183"/>
  <c r="T40" i="183"/>
  <c r="U39" i="183"/>
  <c r="T39" i="183"/>
  <c r="U38" i="183"/>
  <c r="T38" i="183"/>
  <c r="U37" i="183"/>
  <c r="T37" i="183"/>
  <c r="U36" i="183"/>
  <c r="T36" i="183"/>
  <c r="U35" i="183"/>
  <c r="T35" i="183"/>
  <c r="U34" i="183"/>
  <c r="T34" i="183"/>
  <c r="U33" i="183"/>
  <c r="T33" i="183"/>
  <c r="U32" i="183"/>
  <c r="T32" i="183"/>
  <c r="U31" i="183"/>
  <c r="T31" i="183"/>
  <c r="U30" i="183"/>
  <c r="T30" i="183"/>
  <c r="U29" i="183"/>
  <c r="T29" i="183"/>
  <c r="U28" i="183"/>
  <c r="T28" i="183"/>
  <c r="U27" i="183"/>
  <c r="T27" i="183"/>
  <c r="U26" i="183"/>
  <c r="T26" i="183"/>
  <c r="U25" i="183"/>
  <c r="T25" i="183"/>
  <c r="U24" i="183"/>
  <c r="T24" i="183"/>
  <c r="U23" i="183"/>
  <c r="T23" i="183"/>
  <c r="U22" i="183"/>
  <c r="T22" i="183"/>
  <c r="U21" i="183"/>
  <c r="T21" i="183"/>
  <c r="U20" i="183"/>
  <c r="T20" i="183"/>
  <c r="U19" i="183"/>
  <c r="T19" i="183"/>
  <c r="U18" i="183"/>
  <c r="T18" i="183"/>
  <c r="U17" i="183"/>
  <c r="T17" i="183"/>
  <c r="U16" i="183"/>
  <c r="T16" i="183"/>
  <c r="U15" i="183"/>
  <c r="T15" i="183"/>
  <c r="U14" i="183"/>
  <c r="T14" i="183"/>
  <c r="U13" i="183"/>
  <c r="T13" i="183"/>
  <c r="U12" i="183"/>
  <c r="T12" i="183"/>
  <c r="U11" i="183"/>
  <c r="T11" i="183"/>
  <c r="U10" i="183"/>
  <c r="T10" i="183"/>
  <c r="U9" i="183"/>
  <c r="T9" i="183"/>
  <c r="T8" i="183"/>
  <c r="U8" i="183"/>
  <c r="AH22" i="190" a="1"/>
  <c r="AH22" i="190" s="1"/>
  <c r="AF22" i="190"/>
  <c r="AE22" i="190"/>
  <c r="AD22" i="190"/>
  <c r="AC22" i="190"/>
  <c r="AA22" i="190"/>
  <c r="Y22" i="190"/>
  <c r="V22" i="190"/>
  <c r="K22" i="190"/>
  <c r="J22" i="190"/>
  <c r="I22" i="190"/>
  <c r="H22" i="190"/>
  <c r="F22" i="190"/>
  <c r="AH23" i="190" a="1"/>
  <c r="AH23" i="190" s="1"/>
  <c r="AF23" i="190"/>
  <c r="AE23" i="190"/>
  <c r="AD23" i="190"/>
  <c r="AC23" i="190"/>
  <c r="AA23" i="190"/>
  <c r="Y23" i="190"/>
  <c r="V23" i="190"/>
  <c r="K23" i="190"/>
  <c r="J23" i="190"/>
  <c r="I23" i="190"/>
  <c r="H23" i="190"/>
  <c r="F23" i="190"/>
  <c r="AG23" i="190" l="1"/>
  <c r="AG22" i="190"/>
  <c r="N18" i="204" l="1"/>
  <c r="K91" i="183"/>
  <c r="K89" i="183"/>
  <c r="K90" i="183"/>
  <c r="K11" i="183"/>
  <c r="J47" i="206"/>
  <c r="I6" i="122"/>
  <c r="V31" i="122"/>
  <c r="V26" i="122"/>
  <c r="V21" i="122"/>
  <c r="V16" i="122"/>
  <c r="V11" i="122"/>
  <c r="V6" i="122"/>
  <c r="K116" i="190"/>
  <c r="K143" i="190"/>
  <c r="K169" i="190"/>
  <c r="L93" i="152"/>
  <c r="K92" i="183" l="1"/>
  <c r="N11" i="198" l="1"/>
  <c r="G12" i="198"/>
  <c r="N12" i="198"/>
  <c r="G13" i="198"/>
  <c r="N13" i="198"/>
  <c r="O25" i="206" l="1"/>
  <c r="O29" i="206"/>
  <c r="I31" i="122"/>
  <c r="I26" i="122"/>
  <c r="P8" i="122"/>
  <c r="R8" i="122"/>
  <c r="Q8" i="122" s="1"/>
  <c r="T8" i="122"/>
  <c r="J8" i="122" s="1"/>
  <c r="P9" i="122"/>
  <c r="R9" i="122"/>
  <c r="Q9" i="122" s="1"/>
  <c r="T9" i="122"/>
  <c r="J9" i="122" s="1"/>
  <c r="P10" i="122"/>
  <c r="R10" i="122"/>
  <c r="Q10" i="122" s="1"/>
  <c r="T10" i="122"/>
  <c r="J10" i="122" s="1"/>
  <c r="I21" i="122"/>
  <c r="Y47" i="206" l="1"/>
  <c r="Z29" i="206"/>
  <c r="P29" i="206"/>
  <c r="I11" i="122"/>
  <c r="L59" i="119"/>
  <c r="O12" i="117"/>
  <c r="K9" i="139"/>
  <c r="K19" i="139"/>
  <c r="K14" i="139"/>
  <c r="M43" i="138"/>
  <c r="H11" i="152"/>
  <c r="O10" i="152"/>
  <c r="H40" i="152"/>
  <c r="H35" i="152"/>
  <c r="H28" i="152"/>
  <c r="H23" i="152"/>
  <c r="H16" i="152"/>
  <c r="Y16" i="141" l="1"/>
  <c r="H10" i="141"/>
  <c r="T10" i="141"/>
  <c r="H9" i="141"/>
  <c r="T9" i="141"/>
  <c r="T11" i="141"/>
  <c r="H11" i="141"/>
  <c r="M16" i="141"/>
  <c r="Y17" i="141" s="1"/>
  <c r="I9" i="152"/>
  <c r="P10" i="152"/>
  <c r="R11" i="152"/>
  <c r="H52" i="152"/>
  <c r="H59" i="152"/>
  <c r="H64" i="152"/>
  <c r="H71" i="152"/>
  <c r="H76" i="152"/>
  <c r="H83" i="152"/>
  <c r="H88" i="152"/>
  <c r="N8" i="149"/>
  <c r="O48" i="152"/>
  <c r="T48" i="152"/>
  <c r="O49" i="152"/>
  <c r="T49" i="152"/>
  <c r="O50" i="152"/>
  <c r="T50" i="152"/>
  <c r="O53" i="152"/>
  <c r="T53" i="152"/>
  <c r="O54" i="152"/>
  <c r="T54" i="152"/>
  <c r="O55" i="152"/>
  <c r="T55" i="152"/>
  <c r="J12" i="204"/>
  <c r="S131" i="149"/>
  <c r="S19" i="149"/>
  <c r="K89" i="190"/>
  <c r="F89" i="190"/>
  <c r="H89" i="190"/>
  <c r="I89" i="190"/>
  <c r="J89" i="190"/>
  <c r="F90" i="190"/>
  <c r="H90" i="190"/>
  <c r="I90" i="190"/>
  <c r="J90" i="190"/>
  <c r="K90" i="190"/>
  <c r="F91" i="190"/>
  <c r="H91" i="190"/>
  <c r="I91" i="190"/>
  <c r="J91" i="190"/>
  <c r="K91" i="190"/>
  <c r="F92" i="190"/>
  <c r="H92" i="190"/>
  <c r="I92" i="190"/>
  <c r="J92" i="190"/>
  <c r="K92" i="190"/>
  <c r="J20" i="204"/>
  <c r="J19" i="204"/>
  <c r="J18" i="204"/>
  <c r="J16" i="204"/>
  <c r="J15" i="204"/>
  <c r="J14" i="204"/>
  <c r="J13" i="204"/>
  <c r="AH171" i="190" a="1"/>
  <c r="AH171" i="190" s="1"/>
  <c r="AH170" i="190" a="1"/>
  <c r="AH170" i="190" s="1"/>
  <c r="AH169" i="190" a="1"/>
  <c r="AH169" i="190" s="1"/>
  <c r="AH168" i="190" a="1"/>
  <c r="AH168" i="190" s="1"/>
  <c r="AH167" i="190" a="1"/>
  <c r="AH167" i="190" s="1"/>
  <c r="AH166" i="190" a="1"/>
  <c r="AH166" i="190" s="1"/>
  <c r="AH165" i="190" a="1"/>
  <c r="AH165" i="190" s="1"/>
  <c r="AH164" i="190" a="1"/>
  <c r="AH164" i="190" s="1"/>
  <c r="AH163" i="190" a="1"/>
  <c r="AH163" i="190" s="1"/>
  <c r="AH162" i="190" a="1"/>
  <c r="AH162" i="190" s="1"/>
  <c r="AH161" i="190" a="1"/>
  <c r="AH161" i="190" s="1"/>
  <c r="AH160" i="190" a="1"/>
  <c r="AH160" i="190" s="1"/>
  <c r="AH159" i="190" a="1"/>
  <c r="AH159" i="190" s="1"/>
  <c r="AH158" i="190" a="1"/>
  <c r="AH158" i="190" s="1"/>
  <c r="AH157" i="190" a="1"/>
  <c r="AH157" i="190" s="1"/>
  <c r="AH156" i="190" a="1"/>
  <c r="AH156" i="190" s="1"/>
  <c r="AH155" i="190" a="1"/>
  <c r="AH155" i="190" s="1"/>
  <c r="AH154" i="190" a="1"/>
  <c r="AH154" i="190" s="1"/>
  <c r="AH153" i="190" a="1"/>
  <c r="AH153" i="190" s="1"/>
  <c r="AH152" i="190" a="1"/>
  <c r="AH152" i="190" s="1"/>
  <c r="AH151" i="190" a="1"/>
  <c r="AH151" i="190" s="1"/>
  <c r="AH150" i="190" a="1"/>
  <c r="AH150" i="190" s="1"/>
  <c r="AH149" i="190" a="1"/>
  <c r="AH149" i="190" s="1"/>
  <c r="AH148" i="190" a="1"/>
  <c r="AH148" i="190" s="1"/>
  <c r="AH147" i="190" a="1"/>
  <c r="AH147" i="190" s="1"/>
  <c r="AH146" i="190" a="1"/>
  <c r="AH146" i="190" s="1"/>
  <c r="AH145" i="190" a="1"/>
  <c r="AH145" i="190" s="1"/>
  <c r="AH144" i="190" a="1"/>
  <c r="AH144" i="190" s="1"/>
  <c r="AH143" i="190" a="1"/>
  <c r="AH143" i="190" s="1"/>
  <c r="AH142" i="190" a="1"/>
  <c r="AH142" i="190" s="1"/>
  <c r="AH141" i="190" a="1"/>
  <c r="AH141" i="190" s="1"/>
  <c r="AH140" i="190" a="1"/>
  <c r="AH140" i="190" s="1"/>
  <c r="AH139" i="190" a="1"/>
  <c r="AH139" i="190" s="1"/>
  <c r="AH138" i="190" a="1"/>
  <c r="AH138" i="190" s="1"/>
  <c r="AH137" i="190" a="1"/>
  <c r="AH137" i="190" s="1"/>
  <c r="AH136" i="190" a="1"/>
  <c r="AH136" i="190" s="1"/>
  <c r="AH135" i="190" a="1"/>
  <c r="AH135" i="190" s="1"/>
  <c r="AH134" i="190" a="1"/>
  <c r="AH134" i="190" s="1"/>
  <c r="AH133" i="190" a="1"/>
  <c r="AH133" i="190" s="1"/>
  <c r="AH132" i="190" a="1"/>
  <c r="AH132" i="190" s="1"/>
  <c r="AH131" i="190" a="1"/>
  <c r="AH131" i="190" s="1"/>
  <c r="AH130" i="190" a="1"/>
  <c r="AH130" i="190" s="1"/>
  <c r="AH129" i="190" a="1"/>
  <c r="AH129" i="190" s="1"/>
  <c r="AH128" i="190" a="1"/>
  <c r="AH128" i="190" s="1"/>
  <c r="AH127" i="190" a="1"/>
  <c r="AH127" i="190" s="1"/>
  <c r="AH126" i="190" a="1"/>
  <c r="AH126" i="190" s="1"/>
  <c r="AH125" i="190" a="1"/>
  <c r="AH125" i="190" s="1"/>
  <c r="AH124" i="190" a="1"/>
  <c r="AH124" i="190" s="1"/>
  <c r="AH123" i="190" a="1"/>
  <c r="AH123" i="190" s="1"/>
  <c r="AH122" i="190" a="1"/>
  <c r="AH122" i="190" s="1"/>
  <c r="AH121" i="190" a="1"/>
  <c r="AH121" i="190" s="1"/>
  <c r="AH120" i="190" a="1"/>
  <c r="AH120" i="190" s="1"/>
  <c r="AH119" i="190" a="1"/>
  <c r="AH119" i="190" s="1"/>
  <c r="AH118" i="190" a="1"/>
  <c r="AH118" i="190" s="1"/>
  <c r="AH117" i="190" a="1"/>
  <c r="AH117" i="190" s="1"/>
  <c r="AH116" i="190" a="1"/>
  <c r="AH116" i="190" s="1"/>
  <c r="AH115" i="190" a="1"/>
  <c r="AH115" i="190" s="1"/>
  <c r="AH114" i="190" a="1"/>
  <c r="AH114" i="190" s="1"/>
  <c r="AH113" i="190" a="1"/>
  <c r="AH113" i="190" s="1"/>
  <c r="AH112" i="190" a="1"/>
  <c r="AH112" i="190" s="1"/>
  <c r="AH111" i="190" a="1"/>
  <c r="AH111" i="190" s="1"/>
  <c r="AH110" i="190" a="1"/>
  <c r="AH110" i="190" s="1"/>
  <c r="AH109" i="190" a="1"/>
  <c r="AH109" i="190" s="1"/>
  <c r="AH108" i="190" a="1"/>
  <c r="AH108" i="190" s="1"/>
  <c r="AH107" i="190" a="1"/>
  <c r="AH107" i="190" s="1"/>
  <c r="AH106" i="190" a="1"/>
  <c r="AH106" i="190" s="1"/>
  <c r="AH105" i="190" a="1"/>
  <c r="AH105" i="190" s="1"/>
  <c r="AH104" i="190" a="1"/>
  <c r="AH104" i="190" s="1"/>
  <c r="AH103" i="190" a="1"/>
  <c r="AH103" i="190" s="1"/>
  <c r="AH102" i="190" a="1"/>
  <c r="AH102" i="190" s="1"/>
  <c r="AH101" i="190" a="1"/>
  <c r="AH101" i="190" s="1"/>
  <c r="AH100" i="190" a="1"/>
  <c r="AH100" i="190" s="1"/>
  <c r="AH99" i="190" a="1"/>
  <c r="AH99" i="190" s="1"/>
  <c r="AH98" i="190" a="1"/>
  <c r="AH98" i="190" s="1"/>
  <c r="AH97" i="190" a="1"/>
  <c r="AH97" i="190" s="1"/>
  <c r="AH96" i="190" a="1"/>
  <c r="AH96" i="190" s="1"/>
  <c r="AH95" i="190" a="1"/>
  <c r="AH95" i="190" s="1"/>
  <c r="AH94" i="190" a="1"/>
  <c r="AH94" i="190" s="1"/>
  <c r="AH93" i="190" a="1"/>
  <c r="AH93" i="190" s="1"/>
  <c r="AH92" i="190" a="1"/>
  <c r="AH92" i="190" s="1"/>
  <c r="AH91" i="190" a="1"/>
  <c r="AH91" i="190" s="1"/>
  <c r="AH90" i="190" a="1"/>
  <c r="AH90" i="190" s="1"/>
  <c r="AH89" i="190" a="1"/>
  <c r="AH89" i="190" s="1"/>
  <c r="AH88" i="190" a="1"/>
  <c r="AH88" i="190" s="1"/>
  <c r="AH87" i="190" a="1"/>
  <c r="AH87" i="190" s="1"/>
  <c r="AH86" i="190" a="1"/>
  <c r="AH86" i="190" s="1"/>
  <c r="AH85" i="190" a="1"/>
  <c r="AH85" i="190" s="1"/>
  <c r="AH84" i="190" a="1"/>
  <c r="AH84" i="190" s="1"/>
  <c r="AH83" i="190" a="1"/>
  <c r="AH83" i="190" s="1"/>
  <c r="AH82" i="190" a="1"/>
  <c r="AH82" i="190" s="1"/>
  <c r="AH81" i="190" a="1"/>
  <c r="AH81" i="190" s="1"/>
  <c r="AH80" i="190" a="1"/>
  <c r="AH80" i="190" s="1"/>
  <c r="AH79" i="190" a="1"/>
  <c r="AH79" i="190" s="1"/>
  <c r="AH78" i="190" a="1"/>
  <c r="AH78" i="190" s="1"/>
  <c r="AH77" i="190" a="1"/>
  <c r="AH77" i="190" s="1"/>
  <c r="AH76" i="190" a="1"/>
  <c r="AH76" i="190" s="1"/>
  <c r="AH75" i="190" a="1"/>
  <c r="AH75" i="190" s="1"/>
  <c r="AH74" i="190" a="1"/>
  <c r="AH74" i="190" s="1"/>
  <c r="AH73" i="190" a="1"/>
  <c r="AH73" i="190" s="1"/>
  <c r="AH72" i="190" a="1"/>
  <c r="AH72" i="190" s="1"/>
  <c r="AH71" i="190" a="1"/>
  <c r="AH71" i="190" s="1"/>
  <c r="AH70" i="190" a="1"/>
  <c r="AH70" i="190" s="1"/>
  <c r="AH69" i="190" a="1"/>
  <c r="AH69" i="190" s="1"/>
  <c r="AH68" i="190" a="1"/>
  <c r="AH68" i="190" s="1"/>
  <c r="AH67" i="190" a="1"/>
  <c r="AH67" i="190" s="1"/>
  <c r="AH66" i="190" a="1"/>
  <c r="AH66" i="190" s="1"/>
  <c r="AH65" i="190" a="1"/>
  <c r="AH65" i="190" s="1"/>
  <c r="AH64" i="190" a="1"/>
  <c r="AH64" i="190" s="1"/>
  <c r="AH63" i="190" a="1"/>
  <c r="AH63" i="190" s="1"/>
  <c r="AH62" i="190" a="1"/>
  <c r="AH62" i="190" s="1"/>
  <c r="AH61" i="190" a="1"/>
  <c r="AH61" i="190" s="1"/>
  <c r="AH60" i="190" a="1"/>
  <c r="AH60" i="190" s="1"/>
  <c r="AH59" i="190" a="1"/>
  <c r="AH59" i="190" s="1"/>
  <c r="AH58" i="190" a="1"/>
  <c r="AH58" i="190" s="1"/>
  <c r="AH57" i="190" a="1"/>
  <c r="AH57" i="190" s="1"/>
  <c r="AH56" i="190" a="1"/>
  <c r="AH56" i="190" s="1"/>
  <c r="AH55" i="190" a="1"/>
  <c r="AH55" i="190" s="1"/>
  <c r="AH54" i="190" a="1"/>
  <c r="AH54" i="190" s="1"/>
  <c r="AH53" i="190" a="1"/>
  <c r="AH53" i="190" s="1"/>
  <c r="AH52" i="190" a="1"/>
  <c r="AH52" i="190" s="1"/>
  <c r="AH51" i="190" a="1"/>
  <c r="AH51" i="190" s="1"/>
  <c r="AH50" i="190" a="1"/>
  <c r="AH50" i="190" s="1"/>
  <c r="AH49" i="190" a="1"/>
  <c r="AH49" i="190" s="1"/>
  <c r="AH48" i="190" a="1"/>
  <c r="AH48" i="190" s="1"/>
  <c r="AH47" i="190" a="1"/>
  <c r="AH47" i="190" s="1"/>
  <c r="AH46" i="190" a="1"/>
  <c r="AH46" i="190" s="1"/>
  <c r="AH45" i="190" a="1"/>
  <c r="AH45" i="190" s="1"/>
  <c r="AH44" i="190" a="1"/>
  <c r="AH44" i="190" s="1"/>
  <c r="AH43" i="190" a="1"/>
  <c r="AH43" i="190" s="1"/>
  <c r="AH42" i="190" a="1"/>
  <c r="AH42" i="190" s="1"/>
  <c r="AH41" i="190" a="1"/>
  <c r="AH41" i="190" s="1"/>
  <c r="AH40" i="190" a="1"/>
  <c r="AH40" i="190" s="1"/>
  <c r="AH39" i="190" a="1"/>
  <c r="AH39" i="190" s="1"/>
  <c r="AH38" i="190" a="1"/>
  <c r="AH38" i="190" s="1"/>
  <c r="AH37" i="190" a="1"/>
  <c r="AH37" i="190" s="1"/>
  <c r="AH36" i="190" a="1"/>
  <c r="AH36" i="190" s="1"/>
  <c r="AH35" i="190" a="1"/>
  <c r="AH35" i="190" s="1"/>
  <c r="AH34" i="190" a="1"/>
  <c r="AH34" i="190" s="1"/>
  <c r="AH33" i="190" a="1"/>
  <c r="AH33" i="190" s="1"/>
  <c r="AH32" i="190" a="1"/>
  <c r="AH32" i="190" s="1"/>
  <c r="AH31" i="190" a="1"/>
  <c r="AH31" i="190" s="1"/>
  <c r="AH30" i="190" a="1"/>
  <c r="AH30" i="190" s="1"/>
  <c r="AH29" i="190" a="1"/>
  <c r="AH29" i="190" s="1"/>
  <c r="AH28" i="190" a="1"/>
  <c r="AH28" i="190" s="1"/>
  <c r="AH27" i="190" a="1"/>
  <c r="AH27" i="190" s="1"/>
  <c r="AH26" i="190" a="1"/>
  <c r="AH26" i="190" s="1"/>
  <c r="AH25" i="190" a="1"/>
  <c r="AH25" i="190" s="1"/>
  <c r="AH24" i="190" a="1"/>
  <c r="AH24" i="190" s="1"/>
  <c r="AH21" i="190" a="1"/>
  <c r="AH21" i="190" s="1"/>
  <c r="AH20" i="190" a="1"/>
  <c r="AH20" i="190" s="1"/>
  <c r="AH19" i="190" a="1"/>
  <c r="AH19" i="190" s="1"/>
  <c r="AH18" i="190" a="1"/>
  <c r="AH18" i="190" s="1"/>
  <c r="AH17" i="190" a="1"/>
  <c r="AH17" i="190" s="1"/>
  <c r="AH16" i="190" a="1"/>
  <c r="AH16" i="190" s="1"/>
  <c r="AH15" i="190" a="1"/>
  <c r="AH15" i="190" s="1"/>
  <c r="AH14" i="190" a="1"/>
  <c r="AH14" i="190" s="1"/>
  <c r="AH13" i="190" a="1"/>
  <c r="AH13" i="190" s="1"/>
  <c r="AH12" i="190" a="1"/>
  <c r="AH12" i="190" s="1"/>
  <c r="AH11" i="190" a="1"/>
  <c r="AH11" i="190" s="1"/>
  <c r="AH10" i="190" a="1"/>
  <c r="AH10" i="190" s="1"/>
  <c r="AH9" i="190" a="1"/>
  <c r="AH9" i="190" s="1"/>
  <c r="AH8" i="190" a="1"/>
  <c r="AH8" i="190" s="1"/>
  <c r="M123" i="149"/>
  <c r="P123" i="149"/>
  <c r="N21" i="204" l="1" a="1"/>
  <c r="N21" i="204" s="1"/>
  <c r="D7" i="214" s="1"/>
  <c r="AC10" i="190"/>
  <c r="F428" i="177" l="1"/>
  <c r="C7" i="161"/>
  <c r="K170" i="190"/>
  <c r="K168" i="190"/>
  <c r="K167" i="190"/>
  <c r="K157" i="190"/>
  <c r="K156" i="190"/>
  <c r="K155" i="190"/>
  <c r="K154" i="190"/>
  <c r="K144" i="190"/>
  <c r="K142" i="190"/>
  <c r="K141" i="190"/>
  <c r="K131" i="190"/>
  <c r="K130" i="190"/>
  <c r="K129" i="190"/>
  <c r="K128" i="190"/>
  <c r="K118" i="190"/>
  <c r="K117" i="190"/>
  <c r="K115" i="190"/>
  <c r="K105" i="190"/>
  <c r="K104" i="190"/>
  <c r="K103" i="190"/>
  <c r="K102" i="190"/>
  <c r="K79" i="190"/>
  <c r="K78" i="190"/>
  <c r="K77" i="190"/>
  <c r="K76" i="190"/>
  <c r="K73" i="190"/>
  <c r="K72" i="190"/>
  <c r="K71" i="190"/>
  <c r="K70" i="190"/>
  <c r="K67" i="190"/>
  <c r="K66" i="190"/>
  <c r="K65" i="190"/>
  <c r="K64" i="190"/>
  <c r="K61" i="190"/>
  <c r="K60" i="190"/>
  <c r="K59" i="190"/>
  <c r="K58" i="190"/>
  <c r="K55" i="190"/>
  <c r="K54" i="190"/>
  <c r="K53" i="190"/>
  <c r="K52" i="190"/>
  <c r="K49" i="190"/>
  <c r="K48" i="190"/>
  <c r="K47" i="190"/>
  <c r="K46" i="190"/>
  <c r="K43" i="190"/>
  <c r="K42" i="190"/>
  <c r="K41" i="190"/>
  <c r="K40" i="190"/>
  <c r="K37" i="190"/>
  <c r="K36" i="190"/>
  <c r="K35" i="190"/>
  <c r="K34" i="190"/>
  <c r="K31" i="190"/>
  <c r="K30" i="190"/>
  <c r="K29" i="190"/>
  <c r="K28" i="190"/>
  <c r="K25" i="190"/>
  <c r="K24" i="190"/>
  <c r="K19" i="190"/>
  <c r="K18" i="190"/>
  <c r="K17" i="190"/>
  <c r="K16" i="190"/>
  <c r="K13" i="190"/>
  <c r="K12" i="190"/>
  <c r="K11" i="190"/>
  <c r="J170" i="190"/>
  <c r="J169" i="190"/>
  <c r="J168" i="190"/>
  <c r="J167" i="190"/>
  <c r="J157" i="190"/>
  <c r="J156" i="190"/>
  <c r="J155" i="190"/>
  <c r="J154" i="190"/>
  <c r="J144" i="190"/>
  <c r="J143" i="190"/>
  <c r="J142" i="190"/>
  <c r="J141" i="190"/>
  <c r="J131" i="190"/>
  <c r="J130" i="190"/>
  <c r="J129" i="190"/>
  <c r="J128" i="190"/>
  <c r="J118" i="190"/>
  <c r="J117" i="190"/>
  <c r="J116" i="190"/>
  <c r="J115" i="190"/>
  <c r="J105" i="190"/>
  <c r="J104" i="190"/>
  <c r="J103" i="190"/>
  <c r="J102" i="190"/>
  <c r="J79" i="190"/>
  <c r="J78" i="190"/>
  <c r="J77" i="190"/>
  <c r="J76" i="190"/>
  <c r="J73" i="190"/>
  <c r="J72" i="190"/>
  <c r="J71" i="190"/>
  <c r="J70" i="190"/>
  <c r="J67" i="190"/>
  <c r="J66" i="190"/>
  <c r="J65" i="190"/>
  <c r="J64" i="190"/>
  <c r="J61" i="190"/>
  <c r="J60" i="190"/>
  <c r="J59" i="190"/>
  <c r="J58" i="190"/>
  <c r="J55" i="190"/>
  <c r="J54" i="190"/>
  <c r="J53" i="190"/>
  <c r="J52" i="190"/>
  <c r="J49" i="190"/>
  <c r="J48" i="190"/>
  <c r="J47" i="190"/>
  <c r="J46" i="190"/>
  <c r="J43" i="190"/>
  <c r="J42" i="190"/>
  <c r="J41" i="190"/>
  <c r="J40" i="190"/>
  <c r="J37" i="190"/>
  <c r="J36" i="190"/>
  <c r="J35" i="190"/>
  <c r="J34" i="190"/>
  <c r="J31" i="190"/>
  <c r="J30" i="190"/>
  <c r="J29" i="190"/>
  <c r="J28" i="190"/>
  <c r="J25" i="190"/>
  <c r="J24" i="190"/>
  <c r="J19" i="190"/>
  <c r="J18" i="190"/>
  <c r="J17" i="190"/>
  <c r="J16" i="190"/>
  <c r="J13" i="190"/>
  <c r="J12" i="190"/>
  <c r="J11" i="190"/>
  <c r="J10" i="190"/>
  <c r="I170" i="190"/>
  <c r="I169" i="190"/>
  <c r="I168" i="190"/>
  <c r="I167" i="190"/>
  <c r="I157" i="190"/>
  <c r="I156" i="190"/>
  <c r="I155" i="190"/>
  <c r="I154" i="190"/>
  <c r="I144" i="190"/>
  <c r="I143" i="190"/>
  <c r="I142" i="190"/>
  <c r="I141" i="190"/>
  <c r="I131" i="190"/>
  <c r="I130" i="190"/>
  <c r="I129" i="190"/>
  <c r="I128" i="190"/>
  <c r="I118" i="190"/>
  <c r="I117" i="190"/>
  <c r="I116" i="190"/>
  <c r="I115" i="190"/>
  <c r="I105" i="190"/>
  <c r="I104" i="190"/>
  <c r="I103" i="190"/>
  <c r="I102" i="190"/>
  <c r="I79" i="190"/>
  <c r="I78" i="190"/>
  <c r="I77" i="190"/>
  <c r="I76" i="190"/>
  <c r="I73" i="190"/>
  <c r="I72" i="190"/>
  <c r="I71" i="190"/>
  <c r="I70" i="190"/>
  <c r="I67" i="190"/>
  <c r="I66" i="190"/>
  <c r="I65" i="190"/>
  <c r="I64" i="190"/>
  <c r="I61" i="190"/>
  <c r="I60" i="190"/>
  <c r="I59" i="190"/>
  <c r="I58" i="190"/>
  <c r="I55" i="190"/>
  <c r="I54" i="190"/>
  <c r="I53" i="190"/>
  <c r="I52" i="190"/>
  <c r="I49" i="190"/>
  <c r="I48" i="190"/>
  <c r="I47" i="190"/>
  <c r="I46" i="190"/>
  <c r="I43" i="190"/>
  <c r="I42" i="190"/>
  <c r="I41" i="190"/>
  <c r="I40" i="190"/>
  <c r="I37" i="190"/>
  <c r="I36" i="190"/>
  <c r="I35" i="190"/>
  <c r="I34" i="190"/>
  <c r="I31" i="190"/>
  <c r="I30" i="190"/>
  <c r="I29" i="190"/>
  <c r="I28" i="190"/>
  <c r="I25" i="190"/>
  <c r="I24" i="190"/>
  <c r="I19" i="190"/>
  <c r="I18" i="190"/>
  <c r="I17" i="190"/>
  <c r="I16" i="190"/>
  <c r="I13" i="190"/>
  <c r="I12" i="190"/>
  <c r="I11" i="190"/>
  <c r="H170" i="190"/>
  <c r="H169" i="190"/>
  <c r="H168" i="190"/>
  <c r="H167" i="190"/>
  <c r="H157" i="190"/>
  <c r="H156" i="190"/>
  <c r="H155" i="190"/>
  <c r="H154" i="190"/>
  <c r="H144" i="190"/>
  <c r="H143" i="190"/>
  <c r="H142" i="190"/>
  <c r="H141" i="190"/>
  <c r="H131" i="190"/>
  <c r="H130" i="190"/>
  <c r="H129" i="190"/>
  <c r="H128" i="190"/>
  <c r="H118" i="190"/>
  <c r="H117" i="190"/>
  <c r="H116" i="190"/>
  <c r="H115" i="190"/>
  <c r="H105" i="190"/>
  <c r="H104" i="190"/>
  <c r="H103" i="190"/>
  <c r="H102" i="190"/>
  <c r="H79" i="190"/>
  <c r="H78" i="190"/>
  <c r="H77" i="190"/>
  <c r="H76" i="190"/>
  <c r="H73" i="190"/>
  <c r="H72" i="190"/>
  <c r="H71" i="190"/>
  <c r="H70" i="190"/>
  <c r="H67" i="190"/>
  <c r="H66" i="190"/>
  <c r="H65" i="190"/>
  <c r="H64" i="190"/>
  <c r="H61" i="190"/>
  <c r="H60" i="190"/>
  <c r="H59" i="190"/>
  <c r="H58" i="190"/>
  <c r="H55" i="190"/>
  <c r="H54" i="190"/>
  <c r="H53" i="190"/>
  <c r="H52" i="190"/>
  <c r="H49" i="190"/>
  <c r="H48" i="190"/>
  <c r="H47" i="190"/>
  <c r="H46" i="190"/>
  <c r="H43" i="190"/>
  <c r="H42" i="190"/>
  <c r="H41" i="190"/>
  <c r="H40" i="190"/>
  <c r="H37" i="190"/>
  <c r="H36" i="190"/>
  <c r="H35" i="190"/>
  <c r="H34" i="190"/>
  <c r="H31" i="190"/>
  <c r="H30" i="190"/>
  <c r="H29" i="190"/>
  <c r="H28" i="190"/>
  <c r="H25" i="190"/>
  <c r="H24" i="190"/>
  <c r="H19" i="190"/>
  <c r="H18" i="190"/>
  <c r="H17" i="190"/>
  <c r="H16" i="190"/>
  <c r="H13" i="190"/>
  <c r="H12" i="190"/>
  <c r="F170" i="190"/>
  <c r="F169" i="190"/>
  <c r="F168" i="190"/>
  <c r="F167" i="190"/>
  <c r="F157" i="190"/>
  <c r="F156" i="190"/>
  <c r="F155" i="190"/>
  <c r="F154" i="190"/>
  <c r="F144" i="190"/>
  <c r="F143" i="190"/>
  <c r="F142" i="190"/>
  <c r="F141" i="190"/>
  <c r="F131" i="190"/>
  <c r="F130" i="190"/>
  <c r="F129" i="190"/>
  <c r="F128" i="190"/>
  <c r="F118" i="190"/>
  <c r="F117" i="190"/>
  <c r="F116" i="190"/>
  <c r="F115" i="190"/>
  <c r="F105" i="190"/>
  <c r="F104" i="190"/>
  <c r="F103" i="190"/>
  <c r="F102" i="190"/>
  <c r="F79" i="190"/>
  <c r="F78" i="190"/>
  <c r="F77" i="190"/>
  <c r="F76" i="190"/>
  <c r="F73" i="190"/>
  <c r="F72" i="190"/>
  <c r="F71" i="190"/>
  <c r="F70" i="190"/>
  <c r="F67" i="190"/>
  <c r="F66" i="190"/>
  <c r="F65" i="190"/>
  <c r="F64" i="190"/>
  <c r="F61" i="190"/>
  <c r="F60" i="190"/>
  <c r="F59" i="190"/>
  <c r="F58" i="190"/>
  <c r="F55" i="190"/>
  <c r="F54" i="190"/>
  <c r="F53" i="190"/>
  <c r="F52" i="190"/>
  <c r="F49" i="190"/>
  <c r="F48" i="190"/>
  <c r="F47" i="190"/>
  <c r="F46" i="190"/>
  <c r="F43" i="190"/>
  <c r="F42" i="190"/>
  <c r="F41" i="190"/>
  <c r="F40" i="190"/>
  <c r="F37" i="190"/>
  <c r="F36" i="190"/>
  <c r="F35" i="190"/>
  <c r="F34" i="190"/>
  <c r="F31" i="190"/>
  <c r="F30" i="190"/>
  <c r="F29" i="190"/>
  <c r="F28" i="190"/>
  <c r="F25" i="190"/>
  <c r="F24" i="190"/>
  <c r="F19" i="190"/>
  <c r="F18" i="190"/>
  <c r="F17" i="190"/>
  <c r="F16" i="190"/>
  <c r="F13" i="190"/>
  <c r="F12" i="190"/>
  <c r="F11" i="190"/>
  <c r="F10" i="190"/>
  <c r="F443" i="177"/>
  <c r="F413" i="177"/>
  <c r="F398" i="177"/>
  <c r="F383" i="177"/>
  <c r="F368" i="177"/>
  <c r="F353" i="177"/>
  <c r="F338" i="177"/>
  <c r="F323" i="177"/>
  <c r="F308" i="177"/>
  <c r="F293" i="177"/>
  <c r="F278" i="177"/>
  <c r="F263" i="177"/>
  <c r="F248" i="177"/>
  <c r="F233" i="177"/>
  <c r="F218" i="177"/>
  <c r="F203" i="177"/>
  <c r="F188" i="177"/>
  <c r="F173" i="177"/>
  <c r="F158" i="177"/>
  <c r="F143" i="177"/>
  <c r="F128" i="177"/>
  <c r="F113" i="177"/>
  <c r="F98" i="177"/>
  <c r="F83" i="177"/>
  <c r="F68" i="177"/>
  <c r="F53" i="177"/>
  <c r="F38" i="177"/>
  <c r="F23" i="177"/>
  <c r="F442" i="177"/>
  <c r="F427" i="177"/>
  <c r="F412" i="177"/>
  <c r="F397" i="177"/>
  <c r="F382" i="177"/>
  <c r="F367" i="177"/>
  <c r="F352" i="177"/>
  <c r="F337" i="177"/>
  <c r="F322" i="177"/>
  <c r="F307" i="177"/>
  <c r="F292" i="177"/>
  <c r="F277" i="177"/>
  <c r="F262" i="177"/>
  <c r="F247" i="177"/>
  <c r="F232" i="177"/>
  <c r="F217" i="177"/>
  <c r="F202" i="177"/>
  <c r="F187" i="177"/>
  <c r="F172" i="177"/>
  <c r="F157" i="177"/>
  <c r="F142" i="177"/>
  <c r="F127" i="177"/>
  <c r="F112" i="177"/>
  <c r="F97" i="177"/>
  <c r="F82" i="177"/>
  <c r="F67" i="177"/>
  <c r="F52" i="177"/>
  <c r="F37" i="177"/>
  <c r="F22" i="177"/>
  <c r="F8" i="177"/>
  <c r="F7" i="177"/>
  <c r="F443" i="161"/>
  <c r="F428" i="161"/>
  <c r="F413" i="161"/>
  <c r="F398" i="161"/>
  <c r="F383" i="161"/>
  <c r="F368" i="161"/>
  <c r="F353" i="161"/>
  <c r="F338" i="161"/>
  <c r="F323" i="161"/>
  <c r="F308" i="161"/>
  <c r="F293" i="161"/>
  <c r="F278" i="161"/>
  <c r="F263" i="161"/>
  <c r="F248" i="161"/>
  <c r="F233" i="161"/>
  <c r="F218" i="161"/>
  <c r="F203" i="161"/>
  <c r="F188" i="161"/>
  <c r="F173" i="161"/>
  <c r="F158" i="161"/>
  <c r="F143" i="161"/>
  <c r="F128" i="161"/>
  <c r="F113" i="161"/>
  <c r="F98" i="161"/>
  <c r="F83" i="161"/>
  <c r="F68" i="161"/>
  <c r="F53" i="161"/>
  <c r="F38" i="161"/>
  <c r="F23" i="161"/>
  <c r="F8" i="161"/>
  <c r="F442" i="161"/>
  <c r="F427" i="161"/>
  <c r="F412" i="161"/>
  <c r="F397" i="161"/>
  <c r="F382" i="161"/>
  <c r="F367" i="161"/>
  <c r="F352" i="161"/>
  <c r="F337" i="161"/>
  <c r="F322" i="161"/>
  <c r="F307" i="161"/>
  <c r="F292" i="161"/>
  <c r="F277" i="161"/>
  <c r="F262" i="161"/>
  <c r="F247" i="161"/>
  <c r="F232" i="161"/>
  <c r="F217" i="161"/>
  <c r="F202" i="161"/>
  <c r="F187" i="161"/>
  <c r="F172" i="161"/>
  <c r="F157" i="161"/>
  <c r="F142" i="161"/>
  <c r="F127" i="161"/>
  <c r="F112" i="161"/>
  <c r="F97" i="161"/>
  <c r="F82" i="161"/>
  <c r="F67" i="161"/>
  <c r="F52" i="161"/>
  <c r="F37" i="161"/>
  <c r="F22" i="161"/>
  <c r="F7" i="161"/>
  <c r="R178" i="164"/>
  <c r="S178" i="164"/>
  <c r="T178" i="164"/>
  <c r="U178" i="164"/>
  <c r="W178" i="164"/>
  <c r="Y178" i="164"/>
  <c r="R177" i="164"/>
  <c r="S177" i="164"/>
  <c r="T177" i="164"/>
  <c r="U177" i="164"/>
  <c r="W177" i="164"/>
  <c r="Y177" i="164"/>
  <c r="F114" i="183"/>
  <c r="F115" i="183"/>
  <c r="F163" i="183"/>
  <c r="F162" i="183"/>
  <c r="K163" i="183"/>
  <c r="J163" i="183"/>
  <c r="I163" i="183"/>
  <c r="H163" i="183"/>
  <c r="K162" i="183"/>
  <c r="J162" i="183"/>
  <c r="I162" i="183"/>
  <c r="H162" i="183"/>
  <c r="J161" i="183"/>
  <c r="I161" i="183"/>
  <c r="H161" i="183"/>
  <c r="F161" i="183"/>
  <c r="F151" i="183"/>
  <c r="F150" i="183"/>
  <c r="K151" i="183"/>
  <c r="J151" i="183"/>
  <c r="I151" i="183"/>
  <c r="H151" i="183"/>
  <c r="K150" i="183"/>
  <c r="J150" i="183"/>
  <c r="I150" i="183"/>
  <c r="H150" i="183"/>
  <c r="K149" i="183"/>
  <c r="J149" i="183"/>
  <c r="I149" i="183"/>
  <c r="H149" i="183"/>
  <c r="F149" i="183"/>
  <c r="F138" i="183"/>
  <c r="F139" i="183"/>
  <c r="K139" i="183"/>
  <c r="J139" i="183"/>
  <c r="I139" i="183"/>
  <c r="H139" i="183"/>
  <c r="K138" i="183"/>
  <c r="J138" i="183"/>
  <c r="I138" i="183"/>
  <c r="H138" i="183"/>
  <c r="K137" i="183"/>
  <c r="J137" i="183"/>
  <c r="I137" i="183"/>
  <c r="H137" i="183"/>
  <c r="F137" i="183"/>
  <c r="F127" i="183"/>
  <c r="F126" i="183"/>
  <c r="K127" i="183"/>
  <c r="J127" i="183"/>
  <c r="I127" i="183"/>
  <c r="H127" i="183"/>
  <c r="K126" i="183"/>
  <c r="J126" i="183"/>
  <c r="I126" i="183"/>
  <c r="H126" i="183"/>
  <c r="K125" i="183"/>
  <c r="J125" i="183"/>
  <c r="I125" i="183"/>
  <c r="H125" i="183"/>
  <c r="F125" i="183"/>
  <c r="J114" i="183"/>
  <c r="J113" i="183"/>
  <c r="K114" i="183"/>
  <c r="I114" i="183"/>
  <c r="H114" i="183"/>
  <c r="K113" i="183"/>
  <c r="I113" i="183"/>
  <c r="H113" i="183"/>
  <c r="K115" i="183"/>
  <c r="J115" i="183"/>
  <c r="I115" i="183"/>
  <c r="H115" i="183"/>
  <c r="F113" i="183"/>
  <c r="H102" i="183"/>
  <c r="I102" i="183"/>
  <c r="K102" i="183"/>
  <c r="H103" i="183"/>
  <c r="I103" i="183"/>
  <c r="J103" i="183"/>
  <c r="K103" i="183"/>
  <c r="K101" i="183"/>
  <c r="J101" i="183"/>
  <c r="I101" i="183"/>
  <c r="H101" i="183"/>
  <c r="F102" i="183"/>
  <c r="F103" i="183"/>
  <c r="F101" i="183"/>
  <c r="F90" i="183"/>
  <c r="F91" i="183"/>
  <c r="J91" i="183"/>
  <c r="I91" i="183"/>
  <c r="H91" i="183"/>
  <c r="J90" i="183"/>
  <c r="I90" i="183"/>
  <c r="H90" i="183"/>
  <c r="I89" i="183"/>
  <c r="H89" i="183"/>
  <c r="F89" i="183"/>
  <c r="K79" i="183"/>
  <c r="J79" i="183"/>
  <c r="I79" i="183"/>
  <c r="H79" i="183"/>
  <c r="K78" i="183"/>
  <c r="J78" i="183"/>
  <c r="I78" i="183"/>
  <c r="H78" i="183"/>
  <c r="K77" i="183"/>
  <c r="I77" i="183"/>
  <c r="H77" i="183"/>
  <c r="K76" i="183"/>
  <c r="J76" i="183"/>
  <c r="I76" i="183"/>
  <c r="H76" i="183"/>
  <c r="K73" i="183"/>
  <c r="J73" i="183"/>
  <c r="I73" i="183"/>
  <c r="H73" i="183"/>
  <c r="K72" i="183"/>
  <c r="J72" i="183"/>
  <c r="I72" i="183"/>
  <c r="H72" i="183"/>
  <c r="K71" i="183"/>
  <c r="J71" i="183"/>
  <c r="I71" i="183"/>
  <c r="H71" i="183"/>
  <c r="K70" i="183"/>
  <c r="J70" i="183"/>
  <c r="I70" i="183"/>
  <c r="H70" i="183"/>
  <c r="K67" i="183"/>
  <c r="J67" i="183"/>
  <c r="I67" i="183"/>
  <c r="H67" i="183"/>
  <c r="K66" i="183"/>
  <c r="J66" i="183"/>
  <c r="I66" i="183"/>
  <c r="H66" i="183"/>
  <c r="K65" i="183"/>
  <c r="J65" i="183"/>
  <c r="I65" i="183"/>
  <c r="H65" i="183"/>
  <c r="K64" i="183"/>
  <c r="J64" i="183"/>
  <c r="I64" i="183"/>
  <c r="H64" i="183"/>
  <c r="K61" i="183"/>
  <c r="J61" i="183"/>
  <c r="I61" i="183"/>
  <c r="H61" i="183"/>
  <c r="K60" i="183"/>
  <c r="J60" i="183"/>
  <c r="I60" i="183"/>
  <c r="H60" i="183"/>
  <c r="K59" i="183"/>
  <c r="J59" i="183"/>
  <c r="I59" i="183"/>
  <c r="H59" i="183"/>
  <c r="K58" i="183"/>
  <c r="J58" i="183"/>
  <c r="I58" i="183"/>
  <c r="H58" i="183"/>
  <c r="K55" i="183"/>
  <c r="J55" i="183"/>
  <c r="I55" i="183"/>
  <c r="H55" i="183"/>
  <c r="K54" i="183"/>
  <c r="J54" i="183"/>
  <c r="I54" i="183"/>
  <c r="H54" i="183"/>
  <c r="K53" i="183"/>
  <c r="J53" i="183"/>
  <c r="I53" i="183"/>
  <c r="H53" i="183"/>
  <c r="K52" i="183"/>
  <c r="J52" i="183"/>
  <c r="I52" i="183"/>
  <c r="H52" i="183"/>
  <c r="K49" i="183"/>
  <c r="J49" i="183"/>
  <c r="I49" i="183"/>
  <c r="H49" i="183"/>
  <c r="K48" i="183"/>
  <c r="J48" i="183"/>
  <c r="I48" i="183"/>
  <c r="H48" i="183"/>
  <c r="K47" i="183"/>
  <c r="J47" i="183"/>
  <c r="I47" i="183"/>
  <c r="H47" i="183"/>
  <c r="K46" i="183"/>
  <c r="J46" i="183"/>
  <c r="I46" i="183"/>
  <c r="H46" i="183"/>
  <c r="K43" i="183"/>
  <c r="J43" i="183"/>
  <c r="I43" i="183"/>
  <c r="H43" i="183"/>
  <c r="K42" i="183"/>
  <c r="J42" i="183"/>
  <c r="I42" i="183"/>
  <c r="H42" i="183"/>
  <c r="K41" i="183"/>
  <c r="J41" i="183"/>
  <c r="I41" i="183"/>
  <c r="H41" i="183"/>
  <c r="K40" i="183"/>
  <c r="J40" i="183"/>
  <c r="I40" i="183"/>
  <c r="H40" i="183"/>
  <c r="K37" i="183"/>
  <c r="J37" i="183"/>
  <c r="I37" i="183"/>
  <c r="H37" i="183"/>
  <c r="K36" i="183"/>
  <c r="J36" i="183"/>
  <c r="I36" i="183"/>
  <c r="H36" i="183"/>
  <c r="K35" i="183"/>
  <c r="J35" i="183"/>
  <c r="I35" i="183"/>
  <c r="K34" i="183"/>
  <c r="J34" i="183"/>
  <c r="I34" i="183"/>
  <c r="H34" i="183"/>
  <c r="K31" i="183"/>
  <c r="J31" i="183"/>
  <c r="I31" i="183"/>
  <c r="H31" i="183"/>
  <c r="K30" i="183"/>
  <c r="J30" i="183"/>
  <c r="I30" i="183"/>
  <c r="H30" i="183"/>
  <c r="K29" i="183"/>
  <c r="J29" i="183"/>
  <c r="I29" i="183"/>
  <c r="K28" i="183"/>
  <c r="J28" i="183"/>
  <c r="I28" i="183"/>
  <c r="H28" i="183"/>
  <c r="K25" i="183"/>
  <c r="J25" i="183"/>
  <c r="I25" i="183"/>
  <c r="H25" i="183"/>
  <c r="K24" i="183"/>
  <c r="J24" i="183"/>
  <c r="I24" i="183"/>
  <c r="H24" i="183"/>
  <c r="K23" i="183"/>
  <c r="J23" i="183"/>
  <c r="I23" i="183"/>
  <c r="H23" i="183"/>
  <c r="K22" i="183"/>
  <c r="J22" i="183"/>
  <c r="I22" i="183"/>
  <c r="H22" i="183"/>
  <c r="K19" i="183"/>
  <c r="J19" i="183"/>
  <c r="I19" i="183"/>
  <c r="H19" i="183"/>
  <c r="K18" i="183"/>
  <c r="J18" i="183"/>
  <c r="I18" i="183"/>
  <c r="H18" i="183"/>
  <c r="K17" i="183"/>
  <c r="J17" i="183"/>
  <c r="I17" i="183"/>
  <c r="H17" i="183"/>
  <c r="K16" i="183"/>
  <c r="J16" i="183"/>
  <c r="I16" i="183"/>
  <c r="H16" i="183"/>
  <c r="K13" i="183"/>
  <c r="J13" i="183"/>
  <c r="I13" i="183"/>
  <c r="H13" i="183"/>
  <c r="K12" i="183"/>
  <c r="J12" i="183"/>
  <c r="I12" i="183"/>
  <c r="H12" i="183"/>
  <c r="K10" i="183"/>
  <c r="I10" i="183"/>
  <c r="H10" i="183"/>
  <c r="F79" i="183"/>
  <c r="F78" i="183"/>
  <c r="F77" i="183"/>
  <c r="F76" i="183"/>
  <c r="F73" i="183"/>
  <c r="F72" i="183"/>
  <c r="F71" i="183"/>
  <c r="F70" i="183"/>
  <c r="F67" i="183"/>
  <c r="F66" i="183"/>
  <c r="F65" i="183"/>
  <c r="F64" i="183"/>
  <c r="F61" i="183"/>
  <c r="F60" i="183"/>
  <c r="F59" i="183"/>
  <c r="F58" i="183"/>
  <c r="F55" i="183"/>
  <c r="F54" i="183"/>
  <c r="F53" i="183"/>
  <c r="F52" i="183"/>
  <c r="F49" i="183"/>
  <c r="F48" i="183"/>
  <c r="F47" i="183"/>
  <c r="F46" i="183"/>
  <c r="F43" i="183"/>
  <c r="F42" i="183"/>
  <c r="F41" i="183"/>
  <c r="F40" i="183"/>
  <c r="F37" i="183"/>
  <c r="F35" i="183"/>
  <c r="F34" i="183"/>
  <c r="F31" i="183"/>
  <c r="F30" i="183"/>
  <c r="F29" i="183"/>
  <c r="F28" i="183"/>
  <c r="F25" i="183"/>
  <c r="F24" i="183"/>
  <c r="F23" i="183"/>
  <c r="F22" i="183"/>
  <c r="F19" i="183"/>
  <c r="F18" i="183"/>
  <c r="F17" i="183"/>
  <c r="F16" i="183"/>
  <c r="F13" i="183"/>
  <c r="F12" i="183"/>
  <c r="F11" i="183"/>
  <c r="V11" i="149"/>
  <c r="AL159" i="149"/>
  <c r="AL148" i="149"/>
  <c r="AL138" i="149"/>
  <c r="AL128" i="149"/>
  <c r="AL118" i="149"/>
  <c r="AL108" i="149"/>
  <c r="AL98" i="149"/>
  <c r="V12" i="149"/>
  <c r="AI8" i="149"/>
  <c r="AL8" i="149" s="1"/>
  <c r="AI9" i="149"/>
  <c r="AI15" i="149"/>
  <c r="AI16" i="149"/>
  <c r="AI19" i="149"/>
  <c r="AI21" i="149"/>
  <c r="AI22" i="149"/>
  <c r="AI23" i="149"/>
  <c r="AI29" i="149"/>
  <c r="AI30" i="149"/>
  <c r="AI33" i="149"/>
  <c r="AI34" i="149"/>
  <c r="AI35" i="149"/>
  <c r="AI36" i="149"/>
  <c r="AI37" i="149"/>
  <c r="AI39" i="149"/>
  <c r="AI40" i="149"/>
  <c r="AI41" i="149"/>
  <c r="AI42" i="149"/>
  <c r="AI43" i="149"/>
  <c r="AI44" i="149"/>
  <c r="AI45" i="149"/>
  <c r="AI46" i="149"/>
  <c r="AI49" i="149"/>
  <c r="AI50" i="149"/>
  <c r="AI51" i="149"/>
  <c r="AI52" i="149"/>
  <c r="AI53" i="149"/>
  <c r="AI54" i="149"/>
  <c r="AI55" i="149"/>
  <c r="AI56" i="149"/>
  <c r="AI57" i="149"/>
  <c r="AI58" i="149"/>
  <c r="AI60" i="149"/>
  <c r="AI61" i="149"/>
  <c r="AI62" i="149"/>
  <c r="AI63" i="149"/>
  <c r="AI64" i="149"/>
  <c r="AI65" i="149"/>
  <c r="AI66" i="149"/>
  <c r="AI67" i="149"/>
  <c r="AI68" i="149"/>
  <c r="AI69" i="149"/>
  <c r="AI70" i="149"/>
  <c r="AI71" i="149"/>
  <c r="AI72" i="149"/>
  <c r="AI73" i="149"/>
  <c r="AI74" i="149"/>
  <c r="AI75" i="149"/>
  <c r="AI76" i="149"/>
  <c r="AI77" i="149"/>
  <c r="AI78" i="149"/>
  <c r="AI79" i="149"/>
  <c r="AI80" i="149"/>
  <c r="AI81" i="149"/>
  <c r="AI82" i="149"/>
  <c r="AI83" i="149"/>
  <c r="AI84" i="149"/>
  <c r="AI85" i="149"/>
  <c r="AI86" i="149"/>
  <c r="AI87" i="149"/>
  <c r="AI88" i="149"/>
  <c r="AI89" i="149"/>
  <c r="AI90" i="149"/>
  <c r="AI91" i="149"/>
  <c r="AI92" i="149"/>
  <c r="AI93" i="149"/>
  <c r="AI94" i="149"/>
  <c r="AI95" i="149"/>
  <c r="AI96" i="149"/>
  <c r="AI97" i="149"/>
  <c r="AI99" i="149"/>
  <c r="AI103" i="149"/>
  <c r="AI104" i="149"/>
  <c r="AI105" i="149"/>
  <c r="AI106" i="149"/>
  <c r="AI107" i="149"/>
  <c r="AI109" i="149"/>
  <c r="AI111" i="149"/>
  <c r="AI112" i="149"/>
  <c r="AI113" i="149"/>
  <c r="AI114" i="149"/>
  <c r="AI115" i="149"/>
  <c r="AI116" i="149"/>
  <c r="AI117" i="149"/>
  <c r="AI119" i="149"/>
  <c r="AI120" i="149"/>
  <c r="AI121" i="149"/>
  <c r="AI122" i="149"/>
  <c r="AI123" i="149"/>
  <c r="AI124" i="149"/>
  <c r="AI125" i="149"/>
  <c r="AI126" i="149"/>
  <c r="AI127" i="149"/>
  <c r="AI129" i="149"/>
  <c r="AI131" i="149"/>
  <c r="AI132" i="149"/>
  <c r="AI133" i="149"/>
  <c r="AI134" i="149"/>
  <c r="AI135" i="149"/>
  <c r="AI136" i="149"/>
  <c r="AI137" i="149"/>
  <c r="AI139" i="149"/>
  <c r="AI143" i="149"/>
  <c r="AI144" i="149"/>
  <c r="AI145" i="149"/>
  <c r="AI146" i="149"/>
  <c r="AI149" i="149"/>
  <c r="AI151" i="149"/>
  <c r="AI152" i="149"/>
  <c r="AI153" i="149"/>
  <c r="AI154" i="149"/>
  <c r="AI155" i="149"/>
  <c r="AI156" i="149"/>
  <c r="AI157" i="149"/>
  <c r="AI158" i="149"/>
  <c r="AI160" i="149"/>
  <c r="AI162" i="149"/>
  <c r="AI163" i="149"/>
  <c r="AI164" i="149"/>
  <c r="AI165" i="149"/>
  <c r="AI166" i="149"/>
  <c r="AI167" i="149"/>
  <c r="N22" i="166"/>
  <c r="M22" i="166"/>
  <c r="S93" i="152"/>
  <c r="S94" i="152"/>
  <c r="S95" i="152"/>
  <c r="T90" i="152"/>
  <c r="T92" i="152"/>
  <c r="L94" i="152"/>
  <c r="T91" i="152"/>
  <c r="T89" i="152"/>
  <c r="T87" i="152"/>
  <c r="T86" i="152"/>
  <c r="T85" i="152"/>
  <c r="T84" i="152"/>
  <c r="T82" i="152"/>
  <c r="T80" i="152"/>
  <c r="T79" i="152"/>
  <c r="T78" i="152"/>
  <c r="T77" i="152"/>
  <c r="T75" i="152"/>
  <c r="T74" i="152"/>
  <c r="T73" i="152"/>
  <c r="T72" i="152"/>
  <c r="T70" i="152"/>
  <c r="T68" i="152"/>
  <c r="T67" i="152"/>
  <c r="T66" i="152"/>
  <c r="T65" i="152"/>
  <c r="T63" i="152"/>
  <c r="T62" i="152"/>
  <c r="T61" i="152"/>
  <c r="T60" i="152"/>
  <c r="T58" i="152"/>
  <c r="T56" i="152"/>
  <c r="T51" i="152"/>
  <c r="T46" i="152"/>
  <c r="T44" i="152"/>
  <c r="T43" i="152"/>
  <c r="T42" i="152"/>
  <c r="T41" i="152"/>
  <c r="T39" i="152"/>
  <c r="T38" i="152"/>
  <c r="T37" i="152"/>
  <c r="T36" i="152"/>
  <c r="T34" i="152"/>
  <c r="T32" i="152"/>
  <c r="T31" i="152"/>
  <c r="T30" i="152"/>
  <c r="T29" i="152"/>
  <c r="T27" i="152"/>
  <c r="T26" i="152"/>
  <c r="T25" i="152"/>
  <c r="T24" i="152"/>
  <c r="T22" i="152"/>
  <c r="T20" i="152"/>
  <c r="T19" i="152"/>
  <c r="T18" i="152"/>
  <c r="T17" i="152"/>
  <c r="T15" i="152"/>
  <c r="T14" i="152"/>
  <c r="T13" i="152"/>
  <c r="T12" i="152"/>
  <c r="T10" i="152"/>
  <c r="R88" i="152"/>
  <c r="R83" i="152"/>
  <c r="R76" i="152"/>
  <c r="R71" i="152"/>
  <c r="R64" i="152"/>
  <c r="R59" i="152"/>
  <c r="R52" i="152"/>
  <c r="R47" i="152"/>
  <c r="R40" i="152"/>
  <c r="R35" i="152"/>
  <c r="R23" i="152"/>
  <c r="R16" i="152"/>
  <c r="S151" i="149"/>
  <c r="J11" i="166"/>
  <c r="J10" i="166"/>
  <c r="J12" i="166"/>
  <c r="J13" i="166"/>
  <c r="J15" i="166"/>
  <c r="J14" i="166"/>
  <c r="J17" i="166"/>
  <c r="J16" i="166"/>
  <c r="J19" i="166"/>
  <c r="J18" i="166"/>
  <c r="C21" i="165"/>
  <c r="F21" i="165"/>
  <c r="F22" i="165"/>
  <c r="S16" i="139"/>
  <c r="R16" i="139" s="1"/>
  <c r="Q16" i="139"/>
  <c r="S22" i="139"/>
  <c r="R22" i="139" s="1"/>
  <c r="Q22" i="139"/>
  <c r="G150" i="190"/>
  <c r="X150" i="190" s="1"/>
  <c r="S163" i="149"/>
  <c r="S162" i="149"/>
  <c r="S160" i="149"/>
  <c r="S152" i="149"/>
  <c r="S149" i="149"/>
  <c r="S139" i="149"/>
  <c r="S132" i="149"/>
  <c r="S129" i="149"/>
  <c r="S99" i="149"/>
  <c r="S112" i="149"/>
  <c r="S111" i="149"/>
  <c r="S109" i="149"/>
  <c r="S121" i="149"/>
  <c r="S122" i="149"/>
  <c r="S120" i="149"/>
  <c r="S119" i="149"/>
  <c r="V101" i="149"/>
  <c r="S89" i="149"/>
  <c r="T11" i="206"/>
  <c r="T12" i="206"/>
  <c r="T13" i="206"/>
  <c r="T14" i="206"/>
  <c r="T15" i="206"/>
  <c r="T16" i="206"/>
  <c r="T17" i="206"/>
  <c r="T18" i="206"/>
  <c r="T19" i="206"/>
  <c r="T20" i="206"/>
  <c r="T21" i="206"/>
  <c r="T22" i="206"/>
  <c r="T23" i="206"/>
  <c r="T24" i="206"/>
  <c r="T25" i="206"/>
  <c r="T26" i="206"/>
  <c r="T27" i="206"/>
  <c r="T28" i="206"/>
  <c r="T29" i="206"/>
  <c r="T30" i="206"/>
  <c r="T31" i="206"/>
  <c r="T32" i="206"/>
  <c r="T33" i="206"/>
  <c r="T34" i="206"/>
  <c r="T35" i="206"/>
  <c r="T36" i="206"/>
  <c r="T37" i="206"/>
  <c r="T38" i="206"/>
  <c r="T39" i="206"/>
  <c r="T40" i="206"/>
  <c r="T41" i="206"/>
  <c r="T42" i="206"/>
  <c r="T43" i="206"/>
  <c r="T44" i="206"/>
  <c r="T45" i="206"/>
  <c r="T46" i="206"/>
  <c r="T47" i="206"/>
  <c r="T48" i="206"/>
  <c r="T10" i="206"/>
  <c r="K11" i="119"/>
  <c r="K12" i="119"/>
  <c r="K13" i="119"/>
  <c r="K14" i="119"/>
  <c r="K15" i="119"/>
  <c r="K16" i="119"/>
  <c r="K17" i="119"/>
  <c r="K18" i="119"/>
  <c r="K19" i="119"/>
  <c r="K20" i="119"/>
  <c r="K21" i="119"/>
  <c r="K22" i="119"/>
  <c r="K23" i="119"/>
  <c r="K24" i="119"/>
  <c r="K25" i="119"/>
  <c r="K26" i="119"/>
  <c r="K27" i="119"/>
  <c r="K28" i="119"/>
  <c r="K29" i="119"/>
  <c r="K30" i="119"/>
  <c r="K31" i="119"/>
  <c r="K32" i="119"/>
  <c r="K35" i="119"/>
  <c r="K38" i="119"/>
  <c r="K39" i="119"/>
  <c r="K40" i="119"/>
  <c r="K41" i="119"/>
  <c r="K42" i="119"/>
  <c r="K43" i="119"/>
  <c r="K44" i="119"/>
  <c r="K45" i="119"/>
  <c r="K46" i="119"/>
  <c r="K47" i="119"/>
  <c r="K48" i="119"/>
  <c r="K49" i="119"/>
  <c r="K50" i="119"/>
  <c r="K51" i="119"/>
  <c r="K52" i="119"/>
  <c r="K53" i="119"/>
  <c r="K54" i="119"/>
  <c r="K55" i="119"/>
  <c r="K56" i="119"/>
  <c r="K57" i="119"/>
  <c r="K58" i="119"/>
  <c r="K59" i="119"/>
  <c r="K60" i="119"/>
  <c r="K61" i="119"/>
  <c r="K62" i="119"/>
  <c r="K63" i="119"/>
  <c r="K64" i="119"/>
  <c r="K65" i="119"/>
  <c r="K10" i="119"/>
  <c r="Q38" i="138"/>
  <c r="Q39" i="138"/>
  <c r="Q40" i="138"/>
  <c r="Q41" i="138"/>
  <c r="Q42" i="138"/>
  <c r="Q43" i="138"/>
  <c r="Q37" i="138"/>
  <c r="Q10" i="138"/>
  <c r="Q11" i="138"/>
  <c r="Q12" i="138"/>
  <c r="Q13" i="138"/>
  <c r="Q14" i="138"/>
  <c r="Q15" i="138"/>
  <c r="Q16" i="138"/>
  <c r="Q17" i="138"/>
  <c r="Q18" i="138"/>
  <c r="Q19" i="138"/>
  <c r="Q20" i="138"/>
  <c r="Q21" i="138"/>
  <c r="Q22" i="138"/>
  <c r="Q23" i="138"/>
  <c r="Q24" i="138"/>
  <c r="Q25" i="138"/>
  <c r="Q26" i="138"/>
  <c r="Q27" i="138"/>
  <c r="Q28" i="138"/>
  <c r="Q29" i="138"/>
  <c r="Q30" i="138"/>
  <c r="Q9" i="138"/>
  <c r="U43" i="138"/>
  <c r="S43" i="138"/>
  <c r="R43" i="138"/>
  <c r="S30" i="138"/>
  <c r="T30" i="138"/>
  <c r="R30" i="138"/>
  <c r="S16" i="138"/>
  <c r="T16" i="138"/>
  <c r="R16" i="138"/>
  <c r="H16" i="138"/>
  <c r="I30" i="138"/>
  <c r="H49" i="138" s="1"/>
  <c r="V9" i="190"/>
  <c r="V10" i="190"/>
  <c r="V11" i="190"/>
  <c r="V12" i="190"/>
  <c r="V13" i="190"/>
  <c r="V14" i="190"/>
  <c r="V15" i="190"/>
  <c r="V16" i="190"/>
  <c r="V17" i="190"/>
  <c r="V18" i="190"/>
  <c r="V19" i="190"/>
  <c r="V20" i="190"/>
  <c r="V21" i="190"/>
  <c r="V24" i="190"/>
  <c r="V25" i="190"/>
  <c r="V26" i="190"/>
  <c r="V27" i="190"/>
  <c r="V28" i="190"/>
  <c r="V29" i="190"/>
  <c r="V30" i="190"/>
  <c r="V31" i="190"/>
  <c r="V32" i="190"/>
  <c r="V33" i="190"/>
  <c r="V34" i="190"/>
  <c r="V35" i="190"/>
  <c r="V36" i="190"/>
  <c r="V37" i="190"/>
  <c r="V38" i="190"/>
  <c r="V39" i="190"/>
  <c r="V40" i="190"/>
  <c r="V41" i="190"/>
  <c r="V42" i="190"/>
  <c r="V43" i="190"/>
  <c r="V44" i="190"/>
  <c r="V45" i="190"/>
  <c r="V46" i="190"/>
  <c r="V47" i="190"/>
  <c r="V48" i="190"/>
  <c r="V49" i="190"/>
  <c r="V50" i="190"/>
  <c r="V51" i="190"/>
  <c r="V52" i="190"/>
  <c r="V53" i="190"/>
  <c r="V54" i="190"/>
  <c r="V55" i="190"/>
  <c r="V56" i="190"/>
  <c r="V57" i="190"/>
  <c r="V58" i="190"/>
  <c r="V59" i="190"/>
  <c r="V60" i="190"/>
  <c r="V61" i="190"/>
  <c r="V62" i="190"/>
  <c r="V63" i="190"/>
  <c r="V64" i="190"/>
  <c r="V65" i="190"/>
  <c r="V66" i="190"/>
  <c r="V67" i="190"/>
  <c r="V68" i="190"/>
  <c r="V69" i="190"/>
  <c r="V70" i="190"/>
  <c r="V71" i="190"/>
  <c r="V72" i="190"/>
  <c r="V73" i="190"/>
  <c r="V74" i="190"/>
  <c r="V75" i="190"/>
  <c r="V76" i="190"/>
  <c r="V77" i="190"/>
  <c r="V78" i="190"/>
  <c r="V79" i="190"/>
  <c r="V80" i="190"/>
  <c r="V81" i="190"/>
  <c r="V82" i="190"/>
  <c r="V83" i="190"/>
  <c r="V84" i="190"/>
  <c r="V85" i="190"/>
  <c r="V86" i="190"/>
  <c r="V87" i="190"/>
  <c r="V88" i="190"/>
  <c r="V89" i="190"/>
  <c r="V90" i="190"/>
  <c r="V91" i="190"/>
  <c r="V92" i="190"/>
  <c r="V93" i="190"/>
  <c r="V94" i="190"/>
  <c r="V95" i="190"/>
  <c r="V96" i="190"/>
  <c r="V97" i="190"/>
  <c r="V98" i="190"/>
  <c r="V99" i="190"/>
  <c r="V100" i="190"/>
  <c r="V101" i="190"/>
  <c r="V102" i="190"/>
  <c r="V103" i="190"/>
  <c r="V104" i="190"/>
  <c r="V105" i="190"/>
  <c r="V106" i="190"/>
  <c r="V107" i="190"/>
  <c r="V108" i="190"/>
  <c r="V109" i="190"/>
  <c r="V110" i="190"/>
  <c r="V111" i="190"/>
  <c r="V112" i="190"/>
  <c r="V113" i="190"/>
  <c r="V114" i="190"/>
  <c r="V115" i="190"/>
  <c r="V116" i="190"/>
  <c r="V117" i="190"/>
  <c r="V118" i="190"/>
  <c r="V119" i="190"/>
  <c r="V120" i="190"/>
  <c r="V121" i="190"/>
  <c r="V122" i="190"/>
  <c r="V123" i="190"/>
  <c r="V124" i="190"/>
  <c r="V125" i="190"/>
  <c r="V126" i="190"/>
  <c r="V127" i="190"/>
  <c r="V128" i="190"/>
  <c r="V129" i="190"/>
  <c r="V130" i="190"/>
  <c r="V131" i="190"/>
  <c r="V132" i="190"/>
  <c r="V133" i="190"/>
  <c r="V134" i="190"/>
  <c r="V135" i="190"/>
  <c r="V136" i="190"/>
  <c r="V137" i="190"/>
  <c r="V138" i="190"/>
  <c r="V139" i="190"/>
  <c r="V140" i="190"/>
  <c r="V141" i="190"/>
  <c r="V142" i="190"/>
  <c r="V143" i="190"/>
  <c r="V144" i="190"/>
  <c r="V145" i="190"/>
  <c r="V146" i="190"/>
  <c r="V147" i="190"/>
  <c r="V148" i="190"/>
  <c r="V149" i="190"/>
  <c r="V150" i="190"/>
  <c r="V151" i="190"/>
  <c r="V152" i="190"/>
  <c r="V153" i="190"/>
  <c r="V154" i="190"/>
  <c r="V155" i="190"/>
  <c r="V156" i="190"/>
  <c r="V157" i="190"/>
  <c r="V158" i="190"/>
  <c r="V159" i="190"/>
  <c r="V160" i="190"/>
  <c r="V161" i="190"/>
  <c r="V162" i="190"/>
  <c r="V163" i="190"/>
  <c r="V164" i="190"/>
  <c r="V165" i="190"/>
  <c r="V166" i="190"/>
  <c r="V167" i="190"/>
  <c r="V168" i="190"/>
  <c r="V169" i="190"/>
  <c r="V170" i="190"/>
  <c r="V171" i="190"/>
  <c r="V8" i="190"/>
  <c r="R9" i="183"/>
  <c r="R10" i="183"/>
  <c r="R11" i="183"/>
  <c r="R12" i="183"/>
  <c r="R13" i="183"/>
  <c r="R14" i="183"/>
  <c r="R15" i="183"/>
  <c r="R16" i="183"/>
  <c r="R17" i="183"/>
  <c r="R18" i="183"/>
  <c r="R19" i="183"/>
  <c r="R20" i="183"/>
  <c r="R21" i="183"/>
  <c r="R22" i="183"/>
  <c r="R23" i="183"/>
  <c r="R24" i="183"/>
  <c r="R25" i="183"/>
  <c r="R26" i="183"/>
  <c r="R28" i="183"/>
  <c r="R29" i="183"/>
  <c r="R30" i="183"/>
  <c r="R31" i="183"/>
  <c r="R32" i="183"/>
  <c r="R33" i="183"/>
  <c r="R34" i="183"/>
  <c r="R35" i="183"/>
  <c r="R36" i="183"/>
  <c r="R37" i="183"/>
  <c r="R38" i="183"/>
  <c r="R39" i="183"/>
  <c r="R40" i="183"/>
  <c r="R41" i="183"/>
  <c r="R42" i="183"/>
  <c r="R43" i="183"/>
  <c r="R44" i="183"/>
  <c r="R45" i="183"/>
  <c r="R46" i="183"/>
  <c r="R47" i="183"/>
  <c r="R48" i="183"/>
  <c r="R49" i="183"/>
  <c r="R50" i="183"/>
  <c r="R51" i="183"/>
  <c r="R52" i="183"/>
  <c r="R53" i="183"/>
  <c r="R54" i="183"/>
  <c r="R55" i="183"/>
  <c r="R56" i="183"/>
  <c r="R57" i="183"/>
  <c r="R58" i="183"/>
  <c r="R59" i="183"/>
  <c r="R60" i="183"/>
  <c r="R61" i="183"/>
  <c r="R62" i="183"/>
  <c r="R63" i="183"/>
  <c r="R64" i="183"/>
  <c r="R65" i="183"/>
  <c r="R66" i="183"/>
  <c r="R67" i="183"/>
  <c r="R68" i="183"/>
  <c r="R69" i="183"/>
  <c r="R70" i="183"/>
  <c r="R71" i="183"/>
  <c r="R72" i="183"/>
  <c r="R73" i="183"/>
  <c r="R74" i="183"/>
  <c r="R75" i="183"/>
  <c r="R76" i="183"/>
  <c r="R77" i="183"/>
  <c r="R78" i="183"/>
  <c r="R79" i="183"/>
  <c r="R80" i="183"/>
  <c r="R81" i="183"/>
  <c r="R82" i="183"/>
  <c r="R83" i="183"/>
  <c r="R84" i="183"/>
  <c r="R85" i="183"/>
  <c r="R86" i="183"/>
  <c r="R87" i="183"/>
  <c r="R88" i="183"/>
  <c r="R89" i="183"/>
  <c r="R90" i="183"/>
  <c r="R91" i="183"/>
  <c r="R92" i="183"/>
  <c r="R93" i="183"/>
  <c r="R94" i="183"/>
  <c r="R95" i="183"/>
  <c r="R96" i="183"/>
  <c r="R97" i="183"/>
  <c r="R98" i="183"/>
  <c r="R99" i="183"/>
  <c r="R100" i="183"/>
  <c r="R101" i="183"/>
  <c r="R102" i="183"/>
  <c r="R103" i="183"/>
  <c r="R104" i="183"/>
  <c r="R105" i="183"/>
  <c r="R106" i="183"/>
  <c r="R107" i="183"/>
  <c r="R108" i="183"/>
  <c r="R109" i="183"/>
  <c r="R110" i="183"/>
  <c r="R111" i="183"/>
  <c r="R112" i="183"/>
  <c r="R113" i="183"/>
  <c r="R114" i="183"/>
  <c r="R115" i="183"/>
  <c r="R116" i="183"/>
  <c r="R117" i="183"/>
  <c r="R118" i="183"/>
  <c r="R119" i="183"/>
  <c r="R120" i="183"/>
  <c r="R121" i="183"/>
  <c r="R122" i="183"/>
  <c r="R123" i="183"/>
  <c r="R124" i="183"/>
  <c r="R125" i="183"/>
  <c r="R126" i="183"/>
  <c r="R127" i="183"/>
  <c r="R128" i="183"/>
  <c r="R129" i="183"/>
  <c r="R130" i="183"/>
  <c r="R131" i="183"/>
  <c r="R132" i="183"/>
  <c r="R133" i="183"/>
  <c r="R134" i="183"/>
  <c r="R135" i="183"/>
  <c r="R136" i="183"/>
  <c r="R137" i="183"/>
  <c r="R138" i="183"/>
  <c r="R139" i="183"/>
  <c r="R140" i="183"/>
  <c r="R141" i="183"/>
  <c r="R142" i="183"/>
  <c r="R143" i="183"/>
  <c r="R144" i="183"/>
  <c r="R145" i="183"/>
  <c r="R146" i="183"/>
  <c r="R147" i="183"/>
  <c r="R148" i="183"/>
  <c r="R149" i="183"/>
  <c r="R150" i="183"/>
  <c r="R151" i="183"/>
  <c r="R152" i="183"/>
  <c r="R153" i="183"/>
  <c r="R154" i="183"/>
  <c r="R155" i="183"/>
  <c r="R156" i="183"/>
  <c r="R157" i="183"/>
  <c r="R158" i="183"/>
  <c r="R159" i="183"/>
  <c r="R160" i="183"/>
  <c r="R161" i="183"/>
  <c r="R162" i="183"/>
  <c r="R163" i="183"/>
  <c r="R164" i="183"/>
  <c r="R165" i="183"/>
  <c r="R8" i="183"/>
  <c r="V20" i="149"/>
  <c r="V130" i="149"/>
  <c r="V151" i="149"/>
  <c r="V150" i="149"/>
  <c r="V110" i="149"/>
  <c r="V122" i="149"/>
  <c r="V103" i="149"/>
  <c r="V102" i="149"/>
  <c r="V100" i="149"/>
  <c r="V113" i="149"/>
  <c r="V112" i="149"/>
  <c r="V111" i="149"/>
  <c r="V123" i="149"/>
  <c r="V121" i="149"/>
  <c r="V120" i="149"/>
  <c r="V133" i="149"/>
  <c r="V132" i="149"/>
  <c r="V131" i="149"/>
  <c r="V143" i="149"/>
  <c r="V142" i="149"/>
  <c r="V141" i="149"/>
  <c r="V140" i="149"/>
  <c r="V153" i="149"/>
  <c r="V152" i="149"/>
  <c r="V164" i="149"/>
  <c r="V163" i="149"/>
  <c r="V162" i="149"/>
  <c r="V161" i="149"/>
  <c r="V10" i="149"/>
  <c r="Y4" i="149" a="1"/>
  <c r="Y4" i="149" s="1"/>
  <c r="T2" i="139" a="1"/>
  <c r="T2" i="139" s="1"/>
  <c r="O11" i="152"/>
  <c r="Y8" i="149"/>
  <c r="J9" i="166"/>
  <c r="J8" i="166"/>
  <c r="O12" i="152"/>
  <c r="O13" i="152"/>
  <c r="P13" i="152" s="1"/>
  <c r="O14" i="152"/>
  <c r="O15" i="152"/>
  <c r="O16" i="152"/>
  <c r="O17" i="152"/>
  <c r="O18" i="152"/>
  <c r="O19" i="152"/>
  <c r="O20" i="152"/>
  <c r="O21" i="152"/>
  <c r="P21" i="152" s="1"/>
  <c r="O22" i="152"/>
  <c r="O23" i="152"/>
  <c r="O24" i="152"/>
  <c r="O25" i="152"/>
  <c r="O27" i="152"/>
  <c r="O32" i="152"/>
  <c r="O33" i="152"/>
  <c r="O34" i="152"/>
  <c r="O35" i="152"/>
  <c r="O36" i="152"/>
  <c r="O37" i="152"/>
  <c r="P37" i="152" s="1"/>
  <c r="O38" i="152"/>
  <c r="O39" i="152"/>
  <c r="O40" i="152"/>
  <c r="O41" i="152"/>
  <c r="O42" i="152"/>
  <c r="O43" i="152"/>
  <c r="O44" i="152"/>
  <c r="O45" i="152"/>
  <c r="P45" i="152" s="1"/>
  <c r="O46" i="152"/>
  <c r="O47" i="152"/>
  <c r="O51" i="152"/>
  <c r="O52" i="152"/>
  <c r="O56" i="152"/>
  <c r="O57" i="152"/>
  <c r="O58" i="152"/>
  <c r="O59" i="152"/>
  <c r="P59" i="152" s="1"/>
  <c r="O60" i="152"/>
  <c r="O61" i="152"/>
  <c r="O62" i="152"/>
  <c r="O63" i="152"/>
  <c r="O64" i="152"/>
  <c r="O65" i="152"/>
  <c r="O66" i="152"/>
  <c r="O67" i="152"/>
  <c r="P67" i="152" s="1"/>
  <c r="O68" i="152"/>
  <c r="O69" i="152"/>
  <c r="O70" i="152"/>
  <c r="O71" i="152"/>
  <c r="O72" i="152"/>
  <c r="O73" i="152"/>
  <c r="O74" i="152"/>
  <c r="O75" i="152"/>
  <c r="P75" i="152" s="1"/>
  <c r="O76" i="152"/>
  <c r="O77" i="152"/>
  <c r="O78" i="152"/>
  <c r="O79" i="152"/>
  <c r="O80" i="152"/>
  <c r="O81" i="152"/>
  <c r="O82" i="152"/>
  <c r="O83" i="152"/>
  <c r="P83" i="152" s="1"/>
  <c r="O84" i="152"/>
  <c r="O85" i="152"/>
  <c r="O86" i="152"/>
  <c r="O87" i="152"/>
  <c r="O88" i="152"/>
  <c r="O89" i="152"/>
  <c r="O90" i="152"/>
  <c r="O91" i="152"/>
  <c r="P91" i="152" s="1"/>
  <c r="L95" i="152"/>
  <c r="O92" i="152"/>
  <c r="G4" i="88"/>
  <c r="G5" i="88"/>
  <c r="G6" i="88"/>
  <c r="G7" i="88"/>
  <c r="G8" i="88"/>
  <c r="G9" i="88"/>
  <c r="G10" i="88"/>
  <c r="G11" i="88"/>
  <c r="G12" i="88"/>
  <c r="G13" i="88"/>
  <c r="G3" i="88"/>
  <c r="O19" i="117"/>
  <c r="U2" i="122" a="1"/>
  <c r="U2" i="122" s="1"/>
  <c r="G66" i="117"/>
  <c r="H66" i="117"/>
  <c r="I66" i="117"/>
  <c r="J66" i="117"/>
  <c r="U59" i="117" s="1"/>
  <c r="L66" i="117"/>
  <c r="M66" i="117"/>
  <c r="F66" i="117"/>
  <c r="Y12" i="206"/>
  <c r="X12" i="206"/>
  <c r="W12" i="206"/>
  <c r="V12" i="206"/>
  <c r="U12" i="206"/>
  <c r="G47" i="206"/>
  <c r="H47" i="206"/>
  <c r="I47" i="206"/>
  <c r="K47" i="206"/>
  <c r="L47" i="206"/>
  <c r="M47" i="206"/>
  <c r="F47" i="206"/>
  <c r="Y46" i="206"/>
  <c r="X46" i="206"/>
  <c r="W46" i="206"/>
  <c r="V46" i="206"/>
  <c r="U46" i="206"/>
  <c r="O46" i="206"/>
  <c r="Y13" i="206"/>
  <c r="X13" i="206"/>
  <c r="W13" i="206"/>
  <c r="V13" i="206"/>
  <c r="U13" i="206"/>
  <c r="O13" i="206"/>
  <c r="Y15" i="206"/>
  <c r="X15" i="206"/>
  <c r="W15" i="206"/>
  <c r="V15" i="206"/>
  <c r="U15" i="206"/>
  <c r="O15" i="206"/>
  <c r="X14" i="206"/>
  <c r="W14" i="206"/>
  <c r="V14" i="206"/>
  <c r="U14" i="206"/>
  <c r="O14" i="206"/>
  <c r="Y21" i="206"/>
  <c r="Y20" i="206"/>
  <c r="Y19" i="206"/>
  <c r="Y18" i="206"/>
  <c r="Y17" i="206"/>
  <c r="O16" i="206"/>
  <c r="Y23" i="206"/>
  <c r="X23" i="206"/>
  <c r="W23" i="206"/>
  <c r="V23" i="206"/>
  <c r="U23" i="206"/>
  <c r="O23" i="206"/>
  <c r="Y22" i="206"/>
  <c r="X22" i="206"/>
  <c r="W22" i="206"/>
  <c r="V22" i="206"/>
  <c r="U22" i="206"/>
  <c r="O22" i="206"/>
  <c r="X21" i="206"/>
  <c r="W21" i="206"/>
  <c r="V21" i="206"/>
  <c r="U21" i="206"/>
  <c r="O21" i="206"/>
  <c r="X20" i="206"/>
  <c r="W20" i="206"/>
  <c r="V20" i="206"/>
  <c r="U20" i="206"/>
  <c r="O20" i="206"/>
  <c r="X19" i="206"/>
  <c r="W19" i="206"/>
  <c r="V19" i="206"/>
  <c r="U19" i="206"/>
  <c r="O19" i="206"/>
  <c r="X18" i="206"/>
  <c r="W18" i="206"/>
  <c r="V18" i="206"/>
  <c r="U18" i="206"/>
  <c r="O18" i="206"/>
  <c r="X17" i="206"/>
  <c r="W17" i="206"/>
  <c r="V17" i="206"/>
  <c r="U17" i="206"/>
  <c r="O17" i="206"/>
  <c r="Y16" i="206"/>
  <c r="X16" i="206"/>
  <c r="W16" i="206"/>
  <c r="V16" i="206"/>
  <c r="U16" i="206"/>
  <c r="Y29" i="206"/>
  <c r="X29" i="206"/>
  <c r="W29" i="206"/>
  <c r="V29" i="206"/>
  <c r="U29" i="206"/>
  <c r="Y28" i="206"/>
  <c r="X28" i="206"/>
  <c r="W28" i="206"/>
  <c r="V28" i="206"/>
  <c r="U28" i="206"/>
  <c r="O28" i="206"/>
  <c r="Y27" i="206"/>
  <c r="X27" i="206"/>
  <c r="W27" i="206"/>
  <c r="V27" i="206"/>
  <c r="U27" i="206"/>
  <c r="O27" i="206"/>
  <c r="Y26" i="206"/>
  <c r="X26" i="206"/>
  <c r="W26" i="206"/>
  <c r="V26" i="206"/>
  <c r="U26" i="206"/>
  <c r="O26" i="206"/>
  <c r="Y25" i="206"/>
  <c r="X25" i="206"/>
  <c r="W25" i="206"/>
  <c r="V25" i="206"/>
  <c r="U25" i="206"/>
  <c r="Y24" i="206"/>
  <c r="X24" i="206"/>
  <c r="W24" i="206"/>
  <c r="V24" i="206"/>
  <c r="U24" i="206"/>
  <c r="O24" i="206"/>
  <c r="X10" i="206"/>
  <c r="W10" i="206"/>
  <c r="V10" i="206"/>
  <c r="U10" i="206"/>
  <c r="O10" i="206"/>
  <c r="Y33" i="206"/>
  <c r="X33" i="206"/>
  <c r="W33" i="206"/>
  <c r="V33" i="206"/>
  <c r="U33" i="206"/>
  <c r="O33" i="206"/>
  <c r="Y32" i="206"/>
  <c r="X32" i="206"/>
  <c r="W32" i="206"/>
  <c r="V32" i="206"/>
  <c r="U32" i="206"/>
  <c r="O32" i="206"/>
  <c r="Y31" i="206"/>
  <c r="X31" i="206"/>
  <c r="W31" i="206"/>
  <c r="V31" i="206"/>
  <c r="U31" i="206"/>
  <c r="O31" i="206"/>
  <c r="Y36" i="206"/>
  <c r="X36" i="206"/>
  <c r="W36" i="206"/>
  <c r="V36" i="206"/>
  <c r="U36" i="206"/>
  <c r="O36" i="206"/>
  <c r="Y35" i="206"/>
  <c r="X35" i="206"/>
  <c r="W35" i="206"/>
  <c r="V35" i="206"/>
  <c r="U35" i="206"/>
  <c r="O35" i="206"/>
  <c r="Y34" i="206"/>
  <c r="X34" i="206"/>
  <c r="W34" i="206"/>
  <c r="V34" i="206"/>
  <c r="U34" i="206"/>
  <c r="O34" i="206"/>
  <c r="Y39" i="206"/>
  <c r="X39" i="206"/>
  <c r="W39" i="206"/>
  <c r="V39" i="206"/>
  <c r="U39" i="206"/>
  <c r="O39" i="206"/>
  <c r="Y38" i="206"/>
  <c r="X38" i="206"/>
  <c r="W38" i="206"/>
  <c r="V38" i="206"/>
  <c r="U38" i="206"/>
  <c r="O38" i="206"/>
  <c r="Y37" i="206"/>
  <c r="X37" i="206"/>
  <c r="W37" i="206"/>
  <c r="V37" i="206"/>
  <c r="U37" i="206"/>
  <c r="O37" i="206"/>
  <c r="Y42" i="206"/>
  <c r="X42" i="206"/>
  <c r="W42" i="206"/>
  <c r="V42" i="206"/>
  <c r="U42" i="206"/>
  <c r="O42" i="206"/>
  <c r="Y41" i="206"/>
  <c r="X41" i="206"/>
  <c r="W41" i="206"/>
  <c r="V41" i="206"/>
  <c r="U41" i="206"/>
  <c r="Y40" i="206"/>
  <c r="X40" i="206"/>
  <c r="W40" i="206"/>
  <c r="V40" i="206"/>
  <c r="U40" i="206"/>
  <c r="O40" i="206"/>
  <c r="O44" i="206"/>
  <c r="Y45" i="206"/>
  <c r="Y44" i="206"/>
  <c r="Y43" i="206"/>
  <c r="Y30" i="206"/>
  <c r="Y11" i="206"/>
  <c r="U30" i="206"/>
  <c r="V30" i="206"/>
  <c r="W30" i="206"/>
  <c r="X30" i="206"/>
  <c r="U43" i="206"/>
  <c r="V43" i="206"/>
  <c r="W43" i="206"/>
  <c r="X43" i="206"/>
  <c r="U44" i="206"/>
  <c r="V44" i="206"/>
  <c r="W44" i="206"/>
  <c r="X44" i="206"/>
  <c r="U45" i="206"/>
  <c r="V45" i="206"/>
  <c r="W45" i="206"/>
  <c r="X45" i="206"/>
  <c r="X11" i="206"/>
  <c r="W11" i="206"/>
  <c r="V11" i="206"/>
  <c r="U11" i="206"/>
  <c r="O30" i="117"/>
  <c r="O55" i="117"/>
  <c r="O20" i="117"/>
  <c r="O47" i="206" l="1"/>
  <c r="Y48" i="206" s="1"/>
  <c r="U30" i="138" a="1"/>
  <c r="U30" i="138" s="1"/>
  <c r="D72" i="117"/>
  <c r="U16" i="138" a="1"/>
  <c r="U16" i="138" s="1"/>
  <c r="V43" i="138" a="1"/>
  <c r="V43" i="138" s="1"/>
  <c r="Q50" i="138"/>
  <c r="Q49" i="138"/>
  <c r="K16" i="141"/>
  <c r="W17" i="141" s="1"/>
  <c r="W16" i="141"/>
  <c r="T59" i="117"/>
  <c r="V59" i="117"/>
  <c r="S59" i="117"/>
  <c r="P15" i="152"/>
  <c r="P12" i="152"/>
  <c r="P90" i="152"/>
  <c r="P58" i="152"/>
  <c r="P81" i="152"/>
  <c r="P43" i="152"/>
  <c r="P88" i="152"/>
  <c r="P56" i="152"/>
  <c r="P18" i="152"/>
  <c r="P87" i="152"/>
  <c r="P79" i="152"/>
  <c r="P71" i="152"/>
  <c r="P63" i="152"/>
  <c r="P52" i="152"/>
  <c r="P41" i="152"/>
  <c r="P33" i="152"/>
  <c r="P25" i="152"/>
  <c r="P17" i="152"/>
  <c r="P66" i="152"/>
  <c r="P65" i="152"/>
  <c r="P27" i="152"/>
  <c r="P80" i="152"/>
  <c r="P42" i="152"/>
  <c r="P86" i="152"/>
  <c r="P78" i="152"/>
  <c r="P70" i="152"/>
  <c r="P62" i="152"/>
  <c r="P51" i="152"/>
  <c r="P40" i="152"/>
  <c r="P32" i="152"/>
  <c r="P24" i="152"/>
  <c r="P16" i="152"/>
  <c r="P11" i="152"/>
  <c r="P49" i="152"/>
  <c r="P48" i="152"/>
  <c r="P55" i="152"/>
  <c r="P54" i="152"/>
  <c r="P53" i="152"/>
  <c r="P50" i="152"/>
  <c r="P74" i="152"/>
  <c r="P36" i="152"/>
  <c r="P89" i="152"/>
  <c r="P57" i="152"/>
  <c r="P19" i="152"/>
  <c r="P72" i="152"/>
  <c r="P34" i="152"/>
  <c r="P85" i="152"/>
  <c r="P77" i="152"/>
  <c r="P69" i="152"/>
  <c r="P61" i="152"/>
  <c r="P47" i="152"/>
  <c r="P39" i="152"/>
  <c r="P23" i="152"/>
  <c r="P82" i="152"/>
  <c r="P44" i="152"/>
  <c r="P20" i="152"/>
  <c r="P73" i="152"/>
  <c r="P35" i="152"/>
  <c r="P64" i="152"/>
  <c r="P84" i="152"/>
  <c r="P76" i="152"/>
  <c r="P68" i="152"/>
  <c r="P60" i="152"/>
  <c r="P46" i="152"/>
  <c r="P38" i="152"/>
  <c r="P22" i="152"/>
  <c r="P14" i="152"/>
  <c r="K128" i="183"/>
  <c r="K164" i="183"/>
  <c r="K152" i="183"/>
  <c r="K140" i="183"/>
  <c r="K116" i="183"/>
  <c r="I172" i="183" s="1"/>
  <c r="K104" i="183"/>
  <c r="K80" i="183"/>
  <c r="I169" i="183" s="1"/>
  <c r="G16" i="88"/>
  <c r="T28" i="152"/>
  <c r="T16" i="152"/>
  <c r="T35" i="152"/>
  <c r="T23" i="152"/>
  <c r="T11" i="152"/>
  <c r="T40" i="152"/>
  <c r="P16" i="166"/>
  <c r="P17" i="166"/>
  <c r="P11" i="166"/>
  <c r="P19" i="166"/>
  <c r="P14" i="166"/>
  <c r="P9" i="166"/>
  <c r="P15" i="166"/>
  <c r="O8" i="166"/>
  <c r="P8" i="166" s="1"/>
  <c r="P18" i="166"/>
  <c r="P10" i="166"/>
  <c r="P13" i="166"/>
  <c r="P12" i="166"/>
  <c r="S99" i="152"/>
  <c r="T88" i="152"/>
  <c r="S21" i="152"/>
  <c r="S33" i="152"/>
  <c r="S9" i="152"/>
  <c r="M17" i="141"/>
  <c r="W16" i="139" a="1"/>
  <c r="W16" i="139" s="1"/>
  <c r="L16" i="139" s="1"/>
  <c r="W22" i="139" a="1"/>
  <c r="W22" i="139" s="1"/>
  <c r="L22" i="139" s="1"/>
  <c r="P92" i="152"/>
  <c r="O60" i="117"/>
  <c r="O53" i="117"/>
  <c r="O46" i="117"/>
  <c r="O39" i="117"/>
  <c r="O32" i="117"/>
  <c r="O25" i="117"/>
  <c r="O18" i="117"/>
  <c r="Z47" i="206" l="1"/>
  <c r="P47" i="206"/>
  <c r="Q51" i="138" a="1"/>
  <c r="Q51" i="138" s="1"/>
  <c r="U7" i="138" s="1"/>
  <c r="D15" i="214" s="1"/>
  <c r="I16" i="141"/>
  <c r="U16" i="141"/>
  <c r="L16" i="141"/>
  <c r="X17" i="141" s="1"/>
  <c r="X16" i="141"/>
  <c r="J16" i="141"/>
  <c r="V17" i="141" s="1"/>
  <c r="V16" i="141"/>
  <c r="W59" i="117"/>
  <c r="R13" i="123"/>
  <c r="H13" i="123"/>
  <c r="T9" i="152"/>
  <c r="T99" i="152"/>
  <c r="U99" i="152"/>
  <c r="W66" i="117" l="1"/>
  <c r="U17" i="141"/>
  <c r="I16" i="122"/>
  <c r="T12" i="122"/>
  <c r="J12" i="122" s="1"/>
  <c r="T11" i="122"/>
  <c r="T7" i="122"/>
  <c r="R444" i="164"/>
  <c r="R443" i="164"/>
  <c r="AA443" i="164" s="1"/>
  <c r="R442" i="164"/>
  <c r="R441" i="164"/>
  <c r="R429" i="164"/>
  <c r="R428" i="164"/>
  <c r="R427" i="164"/>
  <c r="R426" i="164"/>
  <c r="R414" i="164"/>
  <c r="R413" i="164"/>
  <c r="R412" i="164"/>
  <c r="R411" i="164"/>
  <c r="R399" i="164"/>
  <c r="R398" i="164"/>
  <c r="R397" i="164"/>
  <c r="R396" i="164"/>
  <c r="R384" i="164"/>
  <c r="R383" i="164"/>
  <c r="R382" i="164"/>
  <c r="R381" i="164"/>
  <c r="R369" i="164"/>
  <c r="R368" i="164"/>
  <c r="R367" i="164"/>
  <c r="R366" i="164"/>
  <c r="R354" i="164"/>
  <c r="R353" i="164"/>
  <c r="R352" i="164"/>
  <c r="R351" i="164"/>
  <c r="R339" i="164"/>
  <c r="R338" i="164"/>
  <c r="R337" i="164"/>
  <c r="R336" i="164"/>
  <c r="R324" i="164"/>
  <c r="R323" i="164"/>
  <c r="R322" i="164"/>
  <c r="R321" i="164"/>
  <c r="R309" i="164"/>
  <c r="R308" i="164"/>
  <c r="R307" i="164"/>
  <c r="R306" i="164"/>
  <c r="R294" i="164"/>
  <c r="R293" i="164"/>
  <c r="R292" i="164"/>
  <c r="R291" i="164"/>
  <c r="R279" i="164"/>
  <c r="R278" i="164"/>
  <c r="R277" i="164"/>
  <c r="R276" i="164"/>
  <c r="R264" i="164"/>
  <c r="R263" i="164"/>
  <c r="R262" i="164"/>
  <c r="R261" i="164"/>
  <c r="R249" i="164"/>
  <c r="R248" i="164"/>
  <c r="R247" i="164"/>
  <c r="R246" i="164"/>
  <c r="R234" i="164"/>
  <c r="R233" i="164"/>
  <c r="R232" i="164"/>
  <c r="R231" i="164"/>
  <c r="R219" i="164"/>
  <c r="R218" i="164"/>
  <c r="R217" i="164"/>
  <c r="R216" i="164"/>
  <c r="R204" i="164"/>
  <c r="R203" i="164"/>
  <c r="R202" i="164"/>
  <c r="R201" i="164"/>
  <c r="R189" i="164"/>
  <c r="R188" i="164"/>
  <c r="R187" i="164"/>
  <c r="R186" i="164"/>
  <c r="R174" i="164"/>
  <c r="R173" i="164"/>
  <c r="R172" i="164"/>
  <c r="R171" i="164"/>
  <c r="R159" i="164"/>
  <c r="R158" i="164"/>
  <c r="R157" i="164"/>
  <c r="R156" i="164"/>
  <c r="R144" i="164"/>
  <c r="R143" i="164"/>
  <c r="R142" i="164"/>
  <c r="R141" i="164"/>
  <c r="R129" i="164"/>
  <c r="R128" i="164"/>
  <c r="R127" i="164"/>
  <c r="R126" i="164"/>
  <c r="R114" i="164"/>
  <c r="R113" i="164"/>
  <c r="R112" i="164"/>
  <c r="R111" i="164"/>
  <c r="R99" i="164"/>
  <c r="R98" i="164"/>
  <c r="R97" i="164"/>
  <c r="R96" i="164"/>
  <c r="R84" i="164"/>
  <c r="R83" i="164"/>
  <c r="R82" i="164"/>
  <c r="R81" i="164"/>
  <c r="R68" i="164"/>
  <c r="R67" i="164"/>
  <c r="R66" i="164"/>
  <c r="R53" i="164"/>
  <c r="R52" i="164"/>
  <c r="R51" i="164"/>
  <c r="R39" i="164"/>
  <c r="F39" i="164" s="1"/>
  <c r="AA39" i="164" s="1"/>
  <c r="R38" i="164"/>
  <c r="R37" i="164"/>
  <c r="R36" i="164"/>
  <c r="R23" i="164"/>
  <c r="R22" i="164"/>
  <c r="R21" i="164"/>
  <c r="R8" i="164"/>
  <c r="AA8" i="164" s="1"/>
  <c r="R7" i="164"/>
  <c r="R7" i="165"/>
  <c r="R6" i="164"/>
  <c r="R414" i="165"/>
  <c r="R413" i="165"/>
  <c r="R412" i="165"/>
  <c r="R400" i="165"/>
  <c r="R399" i="165"/>
  <c r="R398" i="165"/>
  <c r="R386" i="165"/>
  <c r="R385" i="165"/>
  <c r="R384" i="165"/>
  <c r="R372" i="165"/>
  <c r="R371" i="165"/>
  <c r="R370" i="165"/>
  <c r="R358" i="165"/>
  <c r="R357" i="165"/>
  <c r="R356" i="165"/>
  <c r="R344" i="165"/>
  <c r="R343" i="165"/>
  <c r="R342" i="165"/>
  <c r="R330" i="165"/>
  <c r="R329" i="165"/>
  <c r="R328" i="165"/>
  <c r="R316" i="165"/>
  <c r="R315" i="165"/>
  <c r="R314" i="165"/>
  <c r="R302" i="165"/>
  <c r="R301" i="165"/>
  <c r="R300" i="165"/>
  <c r="R288" i="165"/>
  <c r="R287" i="165"/>
  <c r="R286" i="165"/>
  <c r="R274" i="165"/>
  <c r="R273" i="165"/>
  <c r="R272" i="165"/>
  <c r="R260" i="165"/>
  <c r="R259" i="165"/>
  <c r="R258" i="165"/>
  <c r="R246" i="165"/>
  <c r="R245" i="165"/>
  <c r="R244" i="165"/>
  <c r="R232" i="165"/>
  <c r="R231" i="165"/>
  <c r="R230" i="165"/>
  <c r="R218" i="165"/>
  <c r="R217" i="165"/>
  <c r="R216" i="165"/>
  <c r="R204" i="165"/>
  <c r="R203" i="165"/>
  <c r="R202" i="165"/>
  <c r="R190" i="165"/>
  <c r="R189" i="165"/>
  <c r="R188" i="165"/>
  <c r="R176" i="165"/>
  <c r="R175" i="165"/>
  <c r="R174" i="165"/>
  <c r="R162" i="165"/>
  <c r="R161" i="165"/>
  <c r="R160" i="165"/>
  <c r="R148" i="165"/>
  <c r="R147" i="165"/>
  <c r="R146" i="165"/>
  <c r="R134" i="165"/>
  <c r="R133" i="165"/>
  <c r="R132" i="165"/>
  <c r="R120" i="165"/>
  <c r="R119" i="165"/>
  <c r="R118" i="165"/>
  <c r="R106" i="165"/>
  <c r="R105" i="165"/>
  <c r="R104" i="165"/>
  <c r="R92" i="165"/>
  <c r="R91" i="165"/>
  <c r="R90" i="165"/>
  <c r="R78" i="165"/>
  <c r="R77" i="165"/>
  <c r="R76" i="165"/>
  <c r="R64" i="165"/>
  <c r="R63" i="165"/>
  <c r="R62" i="165"/>
  <c r="R50" i="165"/>
  <c r="R49" i="165"/>
  <c r="R48" i="165"/>
  <c r="R36" i="165"/>
  <c r="R35" i="165"/>
  <c r="R34" i="165"/>
  <c r="R22" i="165"/>
  <c r="AB22" i="165" s="1"/>
  <c r="R21" i="165"/>
  <c r="R20" i="165"/>
  <c r="R8" i="165"/>
  <c r="R444" i="161"/>
  <c r="F444" i="161" s="1"/>
  <c r="R443" i="161"/>
  <c r="AA443" i="161" s="1"/>
  <c r="R442" i="161"/>
  <c r="AA442" i="161" s="1"/>
  <c r="R441" i="161"/>
  <c r="R429" i="161"/>
  <c r="F429" i="161" s="1"/>
  <c r="R428" i="161"/>
  <c r="AA428" i="161" s="1"/>
  <c r="R427" i="161"/>
  <c r="AA427" i="161" s="1"/>
  <c r="R426" i="161"/>
  <c r="R414" i="161"/>
  <c r="F414" i="161" s="1"/>
  <c r="R413" i="161"/>
  <c r="AA413" i="161" s="1"/>
  <c r="R412" i="161"/>
  <c r="AA412" i="161" s="1"/>
  <c r="R411" i="161"/>
  <c r="R399" i="161"/>
  <c r="F399" i="161" s="1"/>
  <c r="R398" i="161"/>
  <c r="AA398" i="161" s="1"/>
  <c r="R397" i="161"/>
  <c r="AA397" i="161" s="1"/>
  <c r="R396" i="161"/>
  <c r="R384" i="161"/>
  <c r="F384" i="161" s="1"/>
  <c r="R383" i="161"/>
  <c r="AA383" i="161" s="1"/>
  <c r="R382" i="161"/>
  <c r="AA382" i="161" s="1"/>
  <c r="R381" i="161"/>
  <c r="R369" i="161"/>
  <c r="F369" i="161" s="1"/>
  <c r="R368" i="161"/>
  <c r="AA368" i="161" s="1"/>
  <c r="R367" i="161"/>
  <c r="AA367" i="161" s="1"/>
  <c r="R366" i="161"/>
  <c r="R354" i="161"/>
  <c r="F354" i="161" s="1"/>
  <c r="R353" i="161"/>
  <c r="AA353" i="161" s="1"/>
  <c r="R352" i="161"/>
  <c r="AA352" i="161" s="1"/>
  <c r="R351" i="161"/>
  <c r="R339" i="161"/>
  <c r="F339" i="161" s="1"/>
  <c r="R338" i="161"/>
  <c r="AA338" i="161" s="1"/>
  <c r="R337" i="161"/>
  <c r="AA337" i="161" s="1"/>
  <c r="R336" i="161"/>
  <c r="R324" i="161"/>
  <c r="F324" i="161" s="1"/>
  <c r="R323" i="161"/>
  <c r="AA323" i="161" s="1"/>
  <c r="R322" i="161"/>
  <c r="AA322" i="161" s="1"/>
  <c r="R321" i="161"/>
  <c r="R309" i="161"/>
  <c r="F309" i="161" s="1"/>
  <c r="R308" i="161"/>
  <c r="AA308" i="161" s="1"/>
  <c r="R307" i="161"/>
  <c r="AA307" i="161" s="1"/>
  <c r="R306" i="161"/>
  <c r="R294" i="161"/>
  <c r="F294" i="161" s="1"/>
  <c r="R293" i="161"/>
  <c r="AA293" i="161" s="1"/>
  <c r="R292" i="161"/>
  <c r="AA292" i="161" s="1"/>
  <c r="R291" i="161"/>
  <c r="R279" i="161"/>
  <c r="F279" i="161" s="1"/>
  <c r="R278" i="161"/>
  <c r="AA278" i="161" s="1"/>
  <c r="R277" i="161"/>
  <c r="AA277" i="161" s="1"/>
  <c r="R276" i="161"/>
  <c r="R264" i="161"/>
  <c r="F264" i="161" s="1"/>
  <c r="R263" i="161"/>
  <c r="AA263" i="161" s="1"/>
  <c r="R262" i="161"/>
  <c r="AA262" i="161" s="1"/>
  <c r="R261" i="161"/>
  <c r="R249" i="161"/>
  <c r="F249" i="161" s="1"/>
  <c r="R248" i="161"/>
  <c r="AA248" i="161" s="1"/>
  <c r="R247" i="161"/>
  <c r="AA247" i="161" s="1"/>
  <c r="R246" i="161"/>
  <c r="R234" i="161"/>
  <c r="F234" i="161" s="1"/>
  <c r="R233" i="161"/>
  <c r="AA233" i="161" s="1"/>
  <c r="R232" i="161"/>
  <c r="AA232" i="161" s="1"/>
  <c r="R231" i="161"/>
  <c r="R219" i="161"/>
  <c r="F219" i="161" s="1"/>
  <c r="R218" i="161"/>
  <c r="AA218" i="161" s="1"/>
  <c r="R217" i="161"/>
  <c r="AA217" i="161" s="1"/>
  <c r="R216" i="161"/>
  <c r="R204" i="161"/>
  <c r="F204" i="161" s="1"/>
  <c r="R203" i="161"/>
  <c r="AA203" i="161" s="1"/>
  <c r="R202" i="161"/>
  <c r="AA202" i="161" s="1"/>
  <c r="R201" i="161"/>
  <c r="R189" i="161"/>
  <c r="F189" i="161" s="1"/>
  <c r="R188" i="161"/>
  <c r="AA188" i="161" s="1"/>
  <c r="R187" i="161"/>
  <c r="AA187" i="161" s="1"/>
  <c r="R186" i="161"/>
  <c r="R174" i="161"/>
  <c r="F174" i="161" s="1"/>
  <c r="R173" i="161"/>
  <c r="AA173" i="161" s="1"/>
  <c r="R172" i="161"/>
  <c r="AA172" i="161" s="1"/>
  <c r="R171" i="161"/>
  <c r="R159" i="161"/>
  <c r="F159" i="161" s="1"/>
  <c r="R158" i="161"/>
  <c r="AA158" i="161" s="1"/>
  <c r="R157" i="161"/>
  <c r="AA157" i="161" s="1"/>
  <c r="R156" i="161"/>
  <c r="R144" i="161"/>
  <c r="F144" i="161" s="1"/>
  <c r="R143" i="161"/>
  <c r="AA143" i="161" s="1"/>
  <c r="R142" i="161"/>
  <c r="AA142" i="161" s="1"/>
  <c r="R141" i="161"/>
  <c r="R129" i="161"/>
  <c r="F129" i="161" s="1"/>
  <c r="R128" i="161"/>
  <c r="AA128" i="161" s="1"/>
  <c r="R127" i="161"/>
  <c r="AA127" i="161" s="1"/>
  <c r="R126" i="161"/>
  <c r="R114" i="161"/>
  <c r="F114" i="161" s="1"/>
  <c r="R113" i="161"/>
  <c r="AA113" i="161" s="1"/>
  <c r="R112" i="161"/>
  <c r="AA112" i="161" s="1"/>
  <c r="R111" i="161"/>
  <c r="R99" i="161"/>
  <c r="F99" i="161" s="1"/>
  <c r="R98" i="161"/>
  <c r="AA98" i="161" s="1"/>
  <c r="R97" i="161"/>
  <c r="AA97" i="161" s="1"/>
  <c r="R96" i="161"/>
  <c r="R84" i="161"/>
  <c r="F84" i="161" s="1"/>
  <c r="R83" i="161"/>
  <c r="AA83" i="161" s="1"/>
  <c r="R82" i="161"/>
  <c r="AA82" i="161" s="1"/>
  <c r="R81" i="161"/>
  <c r="R69" i="161"/>
  <c r="F69" i="161" s="1"/>
  <c r="R68" i="161"/>
  <c r="AA68" i="161" s="1"/>
  <c r="R67" i="161"/>
  <c r="AA67" i="161" s="1"/>
  <c r="R66" i="161"/>
  <c r="R54" i="161"/>
  <c r="F54" i="161" s="1"/>
  <c r="R53" i="161"/>
  <c r="AA53" i="161" s="1"/>
  <c r="R52" i="161"/>
  <c r="AA52" i="161" s="1"/>
  <c r="R51" i="161"/>
  <c r="R39" i="161"/>
  <c r="F39" i="161" s="1"/>
  <c r="R38" i="161"/>
  <c r="AA38" i="161" s="1"/>
  <c r="R37" i="161"/>
  <c r="AA37" i="161" s="1"/>
  <c r="R36" i="161"/>
  <c r="R23" i="161"/>
  <c r="AA23" i="161" s="1"/>
  <c r="R22" i="161"/>
  <c r="AA22" i="161" s="1"/>
  <c r="R21" i="161"/>
  <c r="R8" i="161"/>
  <c r="AA8" i="161" s="1"/>
  <c r="R7" i="161"/>
  <c r="AA7" i="161" s="1"/>
  <c r="R444" i="177"/>
  <c r="R443" i="177"/>
  <c r="W443" i="177" s="1"/>
  <c r="R442" i="177"/>
  <c r="W442" i="177" s="1"/>
  <c r="R441" i="177"/>
  <c r="R429" i="177"/>
  <c r="R428" i="177"/>
  <c r="W428" i="177" s="1"/>
  <c r="R427" i="177"/>
  <c r="W427" i="177" s="1"/>
  <c r="R426" i="177"/>
  <c r="R414" i="177"/>
  <c r="R413" i="177"/>
  <c r="W413" i="177" s="1"/>
  <c r="R412" i="177"/>
  <c r="W412" i="177" s="1"/>
  <c r="R411" i="177"/>
  <c r="R399" i="177"/>
  <c r="R398" i="177"/>
  <c r="W398" i="177" s="1"/>
  <c r="R397" i="177"/>
  <c r="W397" i="177" s="1"/>
  <c r="R396" i="177"/>
  <c r="R384" i="177"/>
  <c r="R383" i="177"/>
  <c r="W383" i="177" s="1"/>
  <c r="R382" i="177"/>
  <c r="W382" i="177" s="1"/>
  <c r="R381" i="177"/>
  <c r="R369" i="177"/>
  <c r="R368" i="177"/>
  <c r="W368" i="177" s="1"/>
  <c r="R367" i="177"/>
  <c r="W367" i="177" s="1"/>
  <c r="R366" i="177"/>
  <c r="R354" i="177"/>
  <c r="R353" i="177"/>
  <c r="W353" i="177" s="1"/>
  <c r="R352" i="177"/>
  <c r="W352" i="177" s="1"/>
  <c r="R351" i="177"/>
  <c r="R339" i="177"/>
  <c r="R338" i="177"/>
  <c r="W338" i="177" s="1"/>
  <c r="R337" i="177"/>
  <c r="W337" i="177" s="1"/>
  <c r="R336" i="177"/>
  <c r="R324" i="177"/>
  <c r="R323" i="177"/>
  <c r="W323" i="177" s="1"/>
  <c r="R322" i="177"/>
  <c r="W322" i="177" s="1"/>
  <c r="R321" i="177"/>
  <c r="R309" i="177"/>
  <c r="R308" i="177"/>
  <c r="W308" i="177" s="1"/>
  <c r="R307" i="177"/>
  <c r="W307" i="177" s="1"/>
  <c r="R306" i="177"/>
  <c r="R294" i="177"/>
  <c r="R293" i="177"/>
  <c r="W293" i="177" s="1"/>
  <c r="R292" i="177"/>
  <c r="W292" i="177" s="1"/>
  <c r="R291" i="177"/>
  <c r="R279" i="177"/>
  <c r="R278" i="177"/>
  <c r="W278" i="177" s="1"/>
  <c r="R277" i="177"/>
  <c r="W277" i="177" s="1"/>
  <c r="R276" i="177"/>
  <c r="R264" i="177"/>
  <c r="R263" i="177"/>
  <c r="W263" i="177" s="1"/>
  <c r="R262" i="177"/>
  <c r="W262" i="177" s="1"/>
  <c r="R261" i="177"/>
  <c r="R249" i="177"/>
  <c r="R248" i="177"/>
  <c r="W248" i="177" s="1"/>
  <c r="R247" i="177"/>
  <c r="W247" i="177" s="1"/>
  <c r="R246" i="177"/>
  <c r="R234" i="177"/>
  <c r="R233" i="177"/>
  <c r="W233" i="177" s="1"/>
  <c r="R232" i="177"/>
  <c r="W232" i="177" s="1"/>
  <c r="R231" i="177"/>
  <c r="R219" i="177"/>
  <c r="R218" i="177"/>
  <c r="W218" i="177" s="1"/>
  <c r="R217" i="177"/>
  <c r="W217" i="177" s="1"/>
  <c r="R216" i="177"/>
  <c r="R204" i="177"/>
  <c r="R203" i="177"/>
  <c r="W203" i="177" s="1"/>
  <c r="R202" i="177"/>
  <c r="W202" i="177" s="1"/>
  <c r="R201" i="177"/>
  <c r="R189" i="177"/>
  <c r="R188" i="177"/>
  <c r="W188" i="177" s="1"/>
  <c r="R187" i="177"/>
  <c r="W187" i="177" s="1"/>
  <c r="R186" i="177"/>
  <c r="R174" i="177"/>
  <c r="R173" i="177"/>
  <c r="W173" i="177" s="1"/>
  <c r="R172" i="177"/>
  <c r="W172" i="177" s="1"/>
  <c r="R171" i="177"/>
  <c r="R159" i="177"/>
  <c r="R158" i="177"/>
  <c r="W158" i="177" s="1"/>
  <c r="R157" i="177"/>
  <c r="W157" i="177" s="1"/>
  <c r="R156" i="177"/>
  <c r="R143" i="177"/>
  <c r="W143" i="177" s="1"/>
  <c r="R142" i="177"/>
  <c r="W142" i="177" s="1"/>
  <c r="R141" i="177"/>
  <c r="R129" i="177"/>
  <c r="R128" i="177"/>
  <c r="W128" i="177" s="1"/>
  <c r="R127" i="177"/>
  <c r="W127" i="177" s="1"/>
  <c r="R126" i="177"/>
  <c r="R114" i="177"/>
  <c r="R113" i="177"/>
  <c r="W113" i="177" s="1"/>
  <c r="R112" i="177"/>
  <c r="W112" i="177" s="1"/>
  <c r="R111" i="177"/>
  <c r="R99" i="177"/>
  <c r="R98" i="177"/>
  <c r="W98" i="177" s="1"/>
  <c r="R97" i="177"/>
  <c r="W97" i="177" s="1"/>
  <c r="R96" i="177"/>
  <c r="R84" i="177"/>
  <c r="R83" i="177"/>
  <c r="W83" i="177" s="1"/>
  <c r="R82" i="177"/>
  <c r="W82" i="177" s="1"/>
  <c r="R81" i="177"/>
  <c r="R69" i="177"/>
  <c r="R68" i="177"/>
  <c r="W68" i="177" s="1"/>
  <c r="R67" i="177"/>
  <c r="W67" i="177" s="1"/>
  <c r="R66" i="177"/>
  <c r="R54" i="177"/>
  <c r="R53" i="177"/>
  <c r="W53" i="177" s="1"/>
  <c r="R52" i="177"/>
  <c r="W52" i="177" s="1"/>
  <c r="R51" i="177"/>
  <c r="R39" i="177"/>
  <c r="R38" i="177"/>
  <c r="W38" i="177" s="1"/>
  <c r="R37" i="177"/>
  <c r="W37" i="177" s="1"/>
  <c r="R36" i="177"/>
  <c r="R23" i="177"/>
  <c r="W23" i="177" s="1"/>
  <c r="R22" i="177"/>
  <c r="W22" i="177" s="1"/>
  <c r="R21" i="177"/>
  <c r="R8" i="177"/>
  <c r="W8" i="177" s="1"/>
  <c r="R7" i="177"/>
  <c r="W7" i="177" s="1"/>
  <c r="R6" i="177"/>
  <c r="Y30" i="161"/>
  <c r="Y29" i="161"/>
  <c r="Y28" i="161"/>
  <c r="Y27" i="161"/>
  <c r="R6" i="161"/>
  <c r="F8" i="165"/>
  <c r="F414" i="165"/>
  <c r="F413" i="165"/>
  <c r="F400" i="165"/>
  <c r="F399" i="165"/>
  <c r="F386" i="165"/>
  <c r="F385" i="165"/>
  <c r="F372" i="165"/>
  <c r="F371" i="165"/>
  <c r="F358" i="165"/>
  <c r="F357" i="165"/>
  <c r="F344" i="165"/>
  <c r="F343" i="165"/>
  <c r="F330" i="165"/>
  <c r="F329" i="165"/>
  <c r="F316" i="165"/>
  <c r="F315" i="165"/>
  <c r="F302" i="165"/>
  <c r="F301" i="165"/>
  <c r="F288" i="165"/>
  <c r="F287" i="165"/>
  <c r="F274" i="165"/>
  <c r="F273" i="165"/>
  <c r="F260" i="165"/>
  <c r="F259" i="165"/>
  <c r="F246" i="165"/>
  <c r="F245" i="165"/>
  <c r="F232" i="165"/>
  <c r="F231" i="165"/>
  <c r="F218" i="165"/>
  <c r="F217" i="165"/>
  <c r="F204" i="165"/>
  <c r="F203" i="165"/>
  <c r="F190" i="165"/>
  <c r="F189" i="165"/>
  <c r="F176" i="165"/>
  <c r="F175" i="165"/>
  <c r="F162" i="165"/>
  <c r="F161" i="165"/>
  <c r="F148" i="165"/>
  <c r="F147" i="165"/>
  <c r="F134" i="165"/>
  <c r="F133" i="165"/>
  <c r="F120" i="165"/>
  <c r="F119" i="165"/>
  <c r="F106" i="165"/>
  <c r="F105" i="165"/>
  <c r="F92" i="165"/>
  <c r="F91" i="165"/>
  <c r="F78" i="165"/>
  <c r="F77" i="165"/>
  <c r="F64" i="165"/>
  <c r="F63" i="165"/>
  <c r="F50" i="165"/>
  <c r="F49" i="165"/>
  <c r="F36" i="165"/>
  <c r="F35" i="165"/>
  <c r="F7" i="165"/>
  <c r="R6" i="165"/>
  <c r="S33" i="139"/>
  <c r="Q33" i="139"/>
  <c r="S32" i="139"/>
  <c r="Q32" i="139"/>
  <c r="Q3" i="139"/>
  <c r="C13" i="123"/>
  <c r="G15" i="198"/>
  <c r="C15" i="123" s="1"/>
  <c r="N15" i="198"/>
  <c r="AB190" i="165" l="1"/>
  <c r="AB8" i="165"/>
  <c r="AB77" i="165"/>
  <c r="AB302" i="165"/>
  <c r="AB301" i="165"/>
  <c r="AB189" i="165"/>
  <c r="AB120" i="165"/>
  <c r="AB344" i="165"/>
  <c r="AB232" i="165"/>
  <c r="AB49" i="165"/>
  <c r="AB161" i="165"/>
  <c r="AB273" i="165"/>
  <c r="AB329" i="165"/>
  <c r="AB385" i="165"/>
  <c r="AB78" i="165"/>
  <c r="V5" i="177"/>
  <c r="D22" i="214" s="1"/>
  <c r="AB400" i="165"/>
  <c r="AB371" i="165"/>
  <c r="AB92" i="165"/>
  <c r="AB204" i="165"/>
  <c r="AB133" i="165"/>
  <c r="AB245" i="165"/>
  <c r="AB105" i="165"/>
  <c r="AB217" i="165"/>
  <c r="AB288" i="165"/>
  <c r="AB358" i="165"/>
  <c r="AB330" i="165"/>
  <c r="AB372" i="165"/>
  <c r="AB260" i="165"/>
  <c r="Z5" i="161"/>
  <c r="D21" i="214" s="1"/>
  <c r="AB399" i="165"/>
  <c r="AB413" i="165"/>
  <c r="AB414" i="165"/>
  <c r="AB386" i="165"/>
  <c r="AB316" i="165"/>
  <c r="AB357" i="165"/>
  <c r="AB287" i="165"/>
  <c r="AB343" i="165"/>
  <c r="AB315" i="165"/>
  <c r="AB246" i="165"/>
  <c r="AB218" i="165"/>
  <c r="AB147" i="165"/>
  <c r="AB259" i="165"/>
  <c r="AB274" i="165"/>
  <c r="AB148" i="165"/>
  <c r="AB231" i="165"/>
  <c r="AB64" i="165"/>
  <c r="AB176" i="165"/>
  <c r="AB203" i="165"/>
  <c r="AB175" i="165"/>
  <c r="AB63" i="165"/>
  <c r="AB162" i="165"/>
  <c r="AB134" i="165"/>
  <c r="AB106" i="165"/>
  <c r="AB35" i="165"/>
  <c r="AB119" i="165"/>
  <c r="AB36" i="165"/>
  <c r="AB91" i="165"/>
  <c r="AB50" i="165"/>
  <c r="AB21" i="165"/>
  <c r="AB7" i="165"/>
  <c r="V36" i="122"/>
  <c r="I36" i="122"/>
  <c r="M15" i="123"/>
  <c r="W33" i="139" a="1"/>
  <c r="W33" i="139" s="1"/>
  <c r="L33" i="139" s="1"/>
  <c r="W32" i="139" a="1"/>
  <c r="W32" i="139" s="1"/>
  <c r="L32" i="139" s="1"/>
  <c r="Q21" i="139"/>
  <c r="S21" i="139"/>
  <c r="Q23" i="139"/>
  <c r="S23" i="139"/>
  <c r="W23" i="139" s="1" a="1"/>
  <c r="W23" i="139" s="1"/>
  <c r="L23" i="139" s="1"/>
  <c r="AA5" i="165" l="1"/>
  <c r="D20" i="214" s="1"/>
  <c r="Q26" i="139"/>
  <c r="S26" i="139"/>
  <c r="S11" i="139"/>
  <c r="Q11" i="139"/>
  <c r="T76" i="152"/>
  <c r="T71" i="152"/>
  <c r="T64" i="152"/>
  <c r="T59" i="152"/>
  <c r="S81" i="152" l="1"/>
  <c r="T83" i="152"/>
  <c r="T52" i="152"/>
  <c r="R95" i="152"/>
  <c r="R94" i="152"/>
  <c r="T47" i="152"/>
  <c r="S45" i="152"/>
  <c r="S57" i="152"/>
  <c r="S69" i="152"/>
  <c r="I95" i="152"/>
  <c r="I94" i="152"/>
  <c r="Q99" i="152" s="1"/>
  <c r="I33" i="152"/>
  <c r="T33" i="152" s="1"/>
  <c r="I81" i="152"/>
  <c r="I57" i="152"/>
  <c r="I21" i="152"/>
  <c r="T21" i="152" s="1"/>
  <c r="I69" i="152"/>
  <c r="T69" i="152" s="1"/>
  <c r="Y25" i="190"/>
  <c r="AA25" i="190"/>
  <c r="AC25" i="190"/>
  <c r="AD25" i="190"/>
  <c r="AE25" i="190"/>
  <c r="AF25" i="190"/>
  <c r="R43" i="164"/>
  <c r="S43" i="164"/>
  <c r="T43" i="164"/>
  <c r="U43" i="164"/>
  <c r="W43" i="164"/>
  <c r="Y43" i="164"/>
  <c r="R44" i="164"/>
  <c r="S44" i="164"/>
  <c r="T44" i="164"/>
  <c r="U44" i="164"/>
  <c r="W44" i="164"/>
  <c r="Y44" i="164"/>
  <c r="C427" i="164"/>
  <c r="C412" i="164"/>
  <c r="C397" i="164"/>
  <c r="C382" i="164"/>
  <c r="C367" i="164"/>
  <c r="C352" i="164"/>
  <c r="C337" i="164"/>
  <c r="C322" i="164"/>
  <c r="C307" i="164"/>
  <c r="C292" i="164"/>
  <c r="C277" i="164"/>
  <c r="C262" i="164"/>
  <c r="C247" i="164"/>
  <c r="C232" i="164"/>
  <c r="C217" i="164"/>
  <c r="C202" i="164"/>
  <c r="C187" i="164"/>
  <c r="C172" i="164"/>
  <c r="C157" i="164"/>
  <c r="C142" i="164"/>
  <c r="C127" i="164"/>
  <c r="C112" i="164"/>
  <c r="C97" i="164"/>
  <c r="C82" i="164"/>
  <c r="C67" i="164"/>
  <c r="C52" i="164"/>
  <c r="C37" i="164"/>
  <c r="C22" i="164"/>
  <c r="C7" i="164"/>
  <c r="Y451" i="164"/>
  <c r="W451" i="164"/>
  <c r="U451" i="164"/>
  <c r="T451" i="164"/>
  <c r="S451" i="164"/>
  <c r="R451" i="164"/>
  <c r="Y450" i="164"/>
  <c r="W450" i="164"/>
  <c r="U450" i="164"/>
  <c r="T450" i="164"/>
  <c r="S450" i="164"/>
  <c r="R450" i="164"/>
  <c r="Y449" i="164"/>
  <c r="W449" i="164"/>
  <c r="U449" i="164"/>
  <c r="T449" i="164"/>
  <c r="S449" i="164"/>
  <c r="R449" i="164"/>
  <c r="Y448" i="164"/>
  <c r="W448" i="164"/>
  <c r="U448" i="164"/>
  <c r="T448" i="164"/>
  <c r="S448" i="164"/>
  <c r="R448" i="164"/>
  <c r="Y447" i="164"/>
  <c r="W447" i="164"/>
  <c r="U447" i="164"/>
  <c r="T447" i="164"/>
  <c r="S447" i="164"/>
  <c r="R447" i="164"/>
  <c r="Y446" i="164"/>
  <c r="W446" i="164"/>
  <c r="U446" i="164"/>
  <c r="T446" i="164"/>
  <c r="S446" i="164"/>
  <c r="R446" i="164"/>
  <c r="F444" i="164"/>
  <c r="AA444" i="164" s="1"/>
  <c r="F442" i="164"/>
  <c r="AA442" i="164" s="1"/>
  <c r="Y436" i="164"/>
  <c r="W436" i="164"/>
  <c r="U436" i="164"/>
  <c r="T436" i="164"/>
  <c r="S436" i="164"/>
  <c r="R436" i="164"/>
  <c r="Y435" i="164"/>
  <c r="W435" i="164"/>
  <c r="U435" i="164"/>
  <c r="T435" i="164"/>
  <c r="S435" i="164"/>
  <c r="R435" i="164"/>
  <c r="Y434" i="164"/>
  <c r="W434" i="164"/>
  <c r="U434" i="164"/>
  <c r="T434" i="164"/>
  <c r="S434" i="164"/>
  <c r="R434" i="164"/>
  <c r="Y433" i="164"/>
  <c r="W433" i="164"/>
  <c r="U433" i="164"/>
  <c r="T433" i="164"/>
  <c r="S433" i="164"/>
  <c r="R433" i="164"/>
  <c r="Y432" i="164"/>
  <c r="W432" i="164"/>
  <c r="U432" i="164"/>
  <c r="T432" i="164"/>
  <c r="S432" i="164"/>
  <c r="R432" i="164"/>
  <c r="Y431" i="164"/>
  <c r="W431" i="164"/>
  <c r="U431" i="164"/>
  <c r="T431" i="164"/>
  <c r="S431" i="164"/>
  <c r="R431" i="164"/>
  <c r="F429" i="164"/>
  <c r="AA429" i="164" s="1"/>
  <c r="F428" i="164"/>
  <c r="AA428" i="164" s="1"/>
  <c r="F427" i="164"/>
  <c r="AA427" i="164" s="1"/>
  <c r="Y421" i="164"/>
  <c r="W421" i="164"/>
  <c r="U421" i="164"/>
  <c r="T421" i="164"/>
  <c r="S421" i="164"/>
  <c r="R421" i="164"/>
  <c r="Y420" i="164"/>
  <c r="W420" i="164"/>
  <c r="U420" i="164"/>
  <c r="T420" i="164"/>
  <c r="S420" i="164"/>
  <c r="R420" i="164"/>
  <c r="Y419" i="164"/>
  <c r="W419" i="164"/>
  <c r="U419" i="164"/>
  <c r="T419" i="164"/>
  <c r="S419" i="164"/>
  <c r="R419" i="164"/>
  <c r="Y418" i="164"/>
  <c r="W418" i="164"/>
  <c r="U418" i="164"/>
  <c r="T418" i="164"/>
  <c r="S418" i="164"/>
  <c r="R418" i="164"/>
  <c r="Y417" i="164"/>
  <c r="W417" i="164"/>
  <c r="U417" i="164"/>
  <c r="T417" i="164"/>
  <c r="S417" i="164"/>
  <c r="R417" i="164"/>
  <c r="Y416" i="164"/>
  <c r="W416" i="164"/>
  <c r="U416" i="164"/>
  <c r="T416" i="164"/>
  <c r="S416" i="164"/>
  <c r="R416" i="164"/>
  <c r="F414" i="164"/>
  <c r="AA414" i="164" s="1"/>
  <c r="F413" i="164"/>
  <c r="AA413" i="164" s="1"/>
  <c r="F412" i="164"/>
  <c r="AA412" i="164" s="1"/>
  <c r="Y406" i="164"/>
  <c r="W406" i="164"/>
  <c r="U406" i="164"/>
  <c r="T406" i="164"/>
  <c r="S406" i="164"/>
  <c r="R406" i="164"/>
  <c r="Y405" i="164"/>
  <c r="W405" i="164"/>
  <c r="U405" i="164"/>
  <c r="T405" i="164"/>
  <c r="S405" i="164"/>
  <c r="R405" i="164"/>
  <c r="Y404" i="164"/>
  <c r="W404" i="164"/>
  <c r="U404" i="164"/>
  <c r="T404" i="164"/>
  <c r="S404" i="164"/>
  <c r="R404" i="164"/>
  <c r="Y403" i="164"/>
  <c r="W403" i="164"/>
  <c r="U403" i="164"/>
  <c r="T403" i="164"/>
  <c r="S403" i="164"/>
  <c r="R403" i="164"/>
  <c r="Y402" i="164"/>
  <c r="W402" i="164"/>
  <c r="U402" i="164"/>
  <c r="T402" i="164"/>
  <c r="S402" i="164"/>
  <c r="R402" i="164"/>
  <c r="Y401" i="164"/>
  <c r="W401" i="164"/>
  <c r="U401" i="164"/>
  <c r="T401" i="164"/>
  <c r="S401" i="164"/>
  <c r="R401" i="164"/>
  <c r="F399" i="164"/>
  <c r="AA399" i="164" s="1"/>
  <c r="F398" i="164"/>
  <c r="AA398" i="164" s="1"/>
  <c r="F397" i="164"/>
  <c r="AA397" i="164" s="1"/>
  <c r="Y391" i="164"/>
  <c r="W391" i="164"/>
  <c r="U391" i="164"/>
  <c r="T391" i="164"/>
  <c r="S391" i="164"/>
  <c r="R391" i="164"/>
  <c r="Y390" i="164"/>
  <c r="W390" i="164"/>
  <c r="U390" i="164"/>
  <c r="T390" i="164"/>
  <c r="S390" i="164"/>
  <c r="R390" i="164"/>
  <c r="Y389" i="164"/>
  <c r="W389" i="164"/>
  <c r="U389" i="164"/>
  <c r="T389" i="164"/>
  <c r="S389" i="164"/>
  <c r="R389" i="164"/>
  <c r="Y388" i="164"/>
  <c r="W388" i="164"/>
  <c r="U388" i="164"/>
  <c r="T388" i="164"/>
  <c r="S388" i="164"/>
  <c r="R388" i="164"/>
  <c r="Y387" i="164"/>
  <c r="W387" i="164"/>
  <c r="U387" i="164"/>
  <c r="T387" i="164"/>
  <c r="S387" i="164"/>
  <c r="R387" i="164"/>
  <c r="Y386" i="164"/>
  <c r="W386" i="164"/>
  <c r="U386" i="164"/>
  <c r="T386" i="164"/>
  <c r="S386" i="164"/>
  <c r="R386" i="164"/>
  <c r="F384" i="164"/>
  <c r="AA384" i="164" s="1"/>
  <c r="F383" i="164"/>
  <c r="AA383" i="164" s="1"/>
  <c r="F382" i="164"/>
  <c r="AA382" i="164" s="1"/>
  <c r="Y376" i="164"/>
  <c r="W376" i="164"/>
  <c r="U376" i="164"/>
  <c r="T376" i="164"/>
  <c r="S376" i="164"/>
  <c r="R376" i="164"/>
  <c r="Y375" i="164"/>
  <c r="W375" i="164"/>
  <c r="U375" i="164"/>
  <c r="T375" i="164"/>
  <c r="S375" i="164"/>
  <c r="R375" i="164"/>
  <c r="Y374" i="164"/>
  <c r="W374" i="164"/>
  <c r="U374" i="164"/>
  <c r="T374" i="164"/>
  <c r="S374" i="164"/>
  <c r="R374" i="164"/>
  <c r="Y373" i="164"/>
  <c r="W373" i="164"/>
  <c r="U373" i="164"/>
  <c r="T373" i="164"/>
  <c r="S373" i="164"/>
  <c r="R373" i="164"/>
  <c r="Y372" i="164"/>
  <c r="W372" i="164"/>
  <c r="U372" i="164"/>
  <c r="T372" i="164"/>
  <c r="S372" i="164"/>
  <c r="R372" i="164"/>
  <c r="Y371" i="164"/>
  <c r="W371" i="164"/>
  <c r="U371" i="164"/>
  <c r="T371" i="164"/>
  <c r="S371" i="164"/>
  <c r="R371" i="164"/>
  <c r="F369" i="164"/>
  <c r="AA369" i="164" s="1"/>
  <c r="F368" i="164"/>
  <c r="AA368" i="164" s="1"/>
  <c r="F367" i="164"/>
  <c r="AA367" i="164" s="1"/>
  <c r="Y361" i="164"/>
  <c r="W361" i="164"/>
  <c r="U361" i="164"/>
  <c r="T361" i="164"/>
  <c r="S361" i="164"/>
  <c r="R361" i="164"/>
  <c r="Y360" i="164"/>
  <c r="W360" i="164"/>
  <c r="U360" i="164"/>
  <c r="T360" i="164"/>
  <c r="S360" i="164"/>
  <c r="R360" i="164"/>
  <c r="Y359" i="164"/>
  <c r="W359" i="164"/>
  <c r="U359" i="164"/>
  <c r="T359" i="164"/>
  <c r="S359" i="164"/>
  <c r="R359" i="164"/>
  <c r="Y358" i="164"/>
  <c r="W358" i="164"/>
  <c r="U358" i="164"/>
  <c r="T358" i="164"/>
  <c r="S358" i="164"/>
  <c r="R358" i="164"/>
  <c r="Y357" i="164"/>
  <c r="W357" i="164"/>
  <c r="U357" i="164"/>
  <c r="T357" i="164"/>
  <c r="S357" i="164"/>
  <c r="R357" i="164"/>
  <c r="Y356" i="164"/>
  <c r="W356" i="164"/>
  <c r="U356" i="164"/>
  <c r="T356" i="164"/>
  <c r="S356" i="164"/>
  <c r="R356" i="164"/>
  <c r="F354" i="164"/>
  <c r="AA354" i="164" s="1"/>
  <c r="F353" i="164"/>
  <c r="AA353" i="164" s="1"/>
  <c r="F352" i="164"/>
  <c r="AA352" i="164" s="1"/>
  <c r="Y346" i="164"/>
  <c r="W346" i="164"/>
  <c r="U346" i="164"/>
  <c r="T346" i="164"/>
  <c r="S346" i="164"/>
  <c r="R346" i="164"/>
  <c r="Y345" i="164"/>
  <c r="W345" i="164"/>
  <c r="U345" i="164"/>
  <c r="T345" i="164"/>
  <c r="S345" i="164"/>
  <c r="R345" i="164"/>
  <c r="Y344" i="164"/>
  <c r="W344" i="164"/>
  <c r="U344" i="164"/>
  <c r="T344" i="164"/>
  <c r="S344" i="164"/>
  <c r="R344" i="164"/>
  <c r="Y343" i="164"/>
  <c r="W343" i="164"/>
  <c r="U343" i="164"/>
  <c r="T343" i="164"/>
  <c r="S343" i="164"/>
  <c r="R343" i="164"/>
  <c r="Y342" i="164"/>
  <c r="W342" i="164"/>
  <c r="U342" i="164"/>
  <c r="T342" i="164"/>
  <c r="S342" i="164"/>
  <c r="R342" i="164"/>
  <c r="Y341" i="164"/>
  <c r="W341" i="164"/>
  <c r="U341" i="164"/>
  <c r="T341" i="164"/>
  <c r="S341" i="164"/>
  <c r="R341" i="164"/>
  <c r="F339" i="164"/>
  <c r="AA339" i="164" s="1"/>
  <c r="F338" i="164"/>
  <c r="AA338" i="164" s="1"/>
  <c r="F337" i="164"/>
  <c r="AA337" i="164" s="1"/>
  <c r="Y331" i="164"/>
  <c r="W331" i="164"/>
  <c r="U331" i="164"/>
  <c r="T331" i="164"/>
  <c r="S331" i="164"/>
  <c r="R331" i="164"/>
  <c r="Y330" i="164"/>
  <c r="W330" i="164"/>
  <c r="U330" i="164"/>
  <c r="T330" i="164"/>
  <c r="S330" i="164"/>
  <c r="R330" i="164"/>
  <c r="Y329" i="164"/>
  <c r="W329" i="164"/>
  <c r="U329" i="164"/>
  <c r="T329" i="164"/>
  <c r="S329" i="164"/>
  <c r="R329" i="164"/>
  <c r="Y328" i="164"/>
  <c r="W328" i="164"/>
  <c r="U328" i="164"/>
  <c r="T328" i="164"/>
  <c r="S328" i="164"/>
  <c r="R328" i="164"/>
  <c r="Y327" i="164"/>
  <c r="W327" i="164"/>
  <c r="U327" i="164"/>
  <c r="T327" i="164"/>
  <c r="S327" i="164"/>
  <c r="R327" i="164"/>
  <c r="Y326" i="164"/>
  <c r="W326" i="164"/>
  <c r="U326" i="164"/>
  <c r="T326" i="164"/>
  <c r="S326" i="164"/>
  <c r="R326" i="164"/>
  <c r="F324" i="164"/>
  <c r="AA324" i="164" s="1"/>
  <c r="F323" i="164"/>
  <c r="AA323" i="164" s="1"/>
  <c r="F322" i="164"/>
  <c r="AA322" i="164" s="1"/>
  <c r="Y316" i="164"/>
  <c r="W316" i="164"/>
  <c r="U316" i="164"/>
  <c r="T316" i="164"/>
  <c r="S316" i="164"/>
  <c r="R316" i="164"/>
  <c r="Y315" i="164"/>
  <c r="W315" i="164"/>
  <c r="U315" i="164"/>
  <c r="T315" i="164"/>
  <c r="S315" i="164"/>
  <c r="R315" i="164"/>
  <c r="Y314" i="164"/>
  <c r="W314" i="164"/>
  <c r="U314" i="164"/>
  <c r="T314" i="164"/>
  <c r="S314" i="164"/>
  <c r="R314" i="164"/>
  <c r="Y313" i="164"/>
  <c r="W313" i="164"/>
  <c r="U313" i="164"/>
  <c r="T313" i="164"/>
  <c r="S313" i="164"/>
  <c r="R313" i="164"/>
  <c r="Y312" i="164"/>
  <c r="W312" i="164"/>
  <c r="U312" i="164"/>
  <c r="T312" i="164"/>
  <c r="S312" i="164"/>
  <c r="R312" i="164"/>
  <c r="Y311" i="164"/>
  <c r="W311" i="164"/>
  <c r="U311" i="164"/>
  <c r="T311" i="164"/>
  <c r="S311" i="164"/>
  <c r="R311" i="164"/>
  <c r="F309" i="164"/>
  <c r="AA309" i="164" s="1"/>
  <c r="F308" i="164"/>
  <c r="AA308" i="164" s="1"/>
  <c r="F307" i="164"/>
  <c r="AA307" i="164" s="1"/>
  <c r="Y301" i="164"/>
  <c r="W301" i="164"/>
  <c r="U301" i="164"/>
  <c r="T301" i="164"/>
  <c r="S301" i="164"/>
  <c r="R301" i="164"/>
  <c r="Y300" i="164"/>
  <c r="W300" i="164"/>
  <c r="U300" i="164"/>
  <c r="T300" i="164"/>
  <c r="S300" i="164"/>
  <c r="R300" i="164"/>
  <c r="Y299" i="164"/>
  <c r="W299" i="164"/>
  <c r="U299" i="164"/>
  <c r="T299" i="164"/>
  <c r="S299" i="164"/>
  <c r="R299" i="164"/>
  <c r="Y298" i="164"/>
  <c r="W298" i="164"/>
  <c r="U298" i="164"/>
  <c r="T298" i="164"/>
  <c r="S298" i="164"/>
  <c r="R298" i="164"/>
  <c r="Y297" i="164"/>
  <c r="W297" i="164"/>
  <c r="U297" i="164"/>
  <c r="T297" i="164"/>
  <c r="S297" i="164"/>
  <c r="R297" i="164"/>
  <c r="Y296" i="164"/>
  <c r="W296" i="164"/>
  <c r="U296" i="164"/>
  <c r="T296" i="164"/>
  <c r="S296" i="164"/>
  <c r="R296" i="164"/>
  <c r="F294" i="164"/>
  <c r="AA294" i="164" s="1"/>
  <c r="F293" i="164"/>
  <c r="AA293" i="164" s="1"/>
  <c r="F292" i="164"/>
  <c r="AA292" i="164" s="1"/>
  <c r="Y286" i="164"/>
  <c r="W286" i="164"/>
  <c r="U286" i="164"/>
  <c r="T286" i="164"/>
  <c r="S286" i="164"/>
  <c r="R286" i="164"/>
  <c r="Y285" i="164"/>
  <c r="W285" i="164"/>
  <c r="U285" i="164"/>
  <c r="T285" i="164"/>
  <c r="S285" i="164"/>
  <c r="R285" i="164"/>
  <c r="Y284" i="164"/>
  <c r="W284" i="164"/>
  <c r="U284" i="164"/>
  <c r="T284" i="164"/>
  <c r="S284" i="164"/>
  <c r="R284" i="164"/>
  <c r="Y283" i="164"/>
  <c r="W283" i="164"/>
  <c r="U283" i="164"/>
  <c r="T283" i="164"/>
  <c r="S283" i="164"/>
  <c r="R283" i="164"/>
  <c r="Y282" i="164"/>
  <c r="W282" i="164"/>
  <c r="U282" i="164"/>
  <c r="T282" i="164"/>
  <c r="S282" i="164"/>
  <c r="R282" i="164"/>
  <c r="Y281" i="164"/>
  <c r="W281" i="164"/>
  <c r="U281" i="164"/>
  <c r="T281" i="164"/>
  <c r="S281" i="164"/>
  <c r="R281" i="164"/>
  <c r="F279" i="164"/>
  <c r="AA279" i="164" s="1"/>
  <c r="F278" i="164"/>
  <c r="AA278" i="164" s="1"/>
  <c r="F277" i="164"/>
  <c r="AA277" i="164" s="1"/>
  <c r="Y271" i="164"/>
  <c r="W271" i="164"/>
  <c r="U271" i="164"/>
  <c r="T271" i="164"/>
  <c r="S271" i="164"/>
  <c r="R271" i="164"/>
  <c r="Y270" i="164"/>
  <c r="W270" i="164"/>
  <c r="U270" i="164"/>
  <c r="T270" i="164"/>
  <c r="S270" i="164"/>
  <c r="R270" i="164"/>
  <c r="Y269" i="164"/>
  <c r="W269" i="164"/>
  <c r="U269" i="164"/>
  <c r="T269" i="164"/>
  <c r="S269" i="164"/>
  <c r="R269" i="164"/>
  <c r="Y268" i="164"/>
  <c r="W268" i="164"/>
  <c r="U268" i="164"/>
  <c r="T268" i="164"/>
  <c r="S268" i="164"/>
  <c r="R268" i="164"/>
  <c r="Y267" i="164"/>
  <c r="R267" i="164"/>
  <c r="S267" i="164" s="1"/>
  <c r="Y266" i="164"/>
  <c r="W266" i="164"/>
  <c r="U266" i="164"/>
  <c r="T266" i="164"/>
  <c r="S266" i="164"/>
  <c r="R266" i="164"/>
  <c r="F263" i="164"/>
  <c r="AA263" i="164" s="1"/>
  <c r="F262" i="164"/>
  <c r="AA262" i="164" s="1"/>
  <c r="Y256" i="164"/>
  <c r="W256" i="164"/>
  <c r="U256" i="164"/>
  <c r="T256" i="164"/>
  <c r="S256" i="164"/>
  <c r="R256" i="164"/>
  <c r="Y255" i="164"/>
  <c r="W255" i="164"/>
  <c r="U255" i="164"/>
  <c r="T255" i="164"/>
  <c r="S255" i="164"/>
  <c r="R255" i="164"/>
  <c r="Y254" i="164"/>
  <c r="W254" i="164"/>
  <c r="U254" i="164"/>
  <c r="T254" i="164"/>
  <c r="S254" i="164"/>
  <c r="R254" i="164"/>
  <c r="Y253" i="164"/>
  <c r="W253" i="164"/>
  <c r="U253" i="164"/>
  <c r="T253" i="164"/>
  <c r="S253" i="164"/>
  <c r="R253" i="164"/>
  <c r="Y252" i="164"/>
  <c r="W252" i="164"/>
  <c r="U252" i="164"/>
  <c r="T252" i="164"/>
  <c r="S252" i="164"/>
  <c r="R252" i="164"/>
  <c r="Y251" i="164"/>
  <c r="W251" i="164"/>
  <c r="U251" i="164"/>
  <c r="T251" i="164"/>
  <c r="S251" i="164"/>
  <c r="R251" i="164"/>
  <c r="F249" i="164"/>
  <c r="AA249" i="164" s="1"/>
  <c r="F248" i="164"/>
  <c r="AA248" i="164" s="1"/>
  <c r="F247" i="164"/>
  <c r="AA247" i="164" s="1"/>
  <c r="Y241" i="164"/>
  <c r="W241" i="164"/>
  <c r="U241" i="164"/>
  <c r="T241" i="164"/>
  <c r="S241" i="164"/>
  <c r="R241" i="164"/>
  <c r="Y240" i="164"/>
  <c r="W240" i="164"/>
  <c r="U240" i="164"/>
  <c r="T240" i="164"/>
  <c r="S240" i="164"/>
  <c r="R240" i="164"/>
  <c r="Y239" i="164"/>
  <c r="W239" i="164"/>
  <c r="U239" i="164"/>
  <c r="T239" i="164"/>
  <c r="S239" i="164"/>
  <c r="R239" i="164"/>
  <c r="Y238" i="164"/>
  <c r="W238" i="164"/>
  <c r="U238" i="164"/>
  <c r="T238" i="164"/>
  <c r="S238" i="164"/>
  <c r="R238" i="164"/>
  <c r="Y237" i="164"/>
  <c r="W237" i="164"/>
  <c r="U237" i="164"/>
  <c r="T237" i="164"/>
  <c r="S237" i="164"/>
  <c r="R237" i="164"/>
  <c r="Y236" i="164"/>
  <c r="W236" i="164"/>
  <c r="U236" i="164"/>
  <c r="T236" i="164"/>
  <c r="S236" i="164"/>
  <c r="R236" i="164"/>
  <c r="F234" i="164"/>
  <c r="AA234" i="164" s="1"/>
  <c r="F233" i="164"/>
  <c r="AA233" i="164" s="1"/>
  <c r="F232" i="164"/>
  <c r="AA232" i="164" s="1"/>
  <c r="Y226" i="164"/>
  <c r="W226" i="164"/>
  <c r="U226" i="164"/>
  <c r="T226" i="164"/>
  <c r="S226" i="164"/>
  <c r="R226" i="164"/>
  <c r="Y225" i="164"/>
  <c r="W225" i="164"/>
  <c r="U225" i="164"/>
  <c r="T225" i="164"/>
  <c r="S225" i="164"/>
  <c r="R225" i="164"/>
  <c r="Y224" i="164"/>
  <c r="W224" i="164"/>
  <c r="U224" i="164"/>
  <c r="T224" i="164"/>
  <c r="S224" i="164"/>
  <c r="R224" i="164"/>
  <c r="Y223" i="164"/>
  <c r="W223" i="164"/>
  <c r="U223" i="164"/>
  <c r="T223" i="164"/>
  <c r="S223" i="164"/>
  <c r="R223" i="164"/>
  <c r="Y222" i="164"/>
  <c r="W222" i="164"/>
  <c r="U222" i="164"/>
  <c r="T222" i="164"/>
  <c r="S222" i="164"/>
  <c r="R222" i="164"/>
  <c r="Y221" i="164"/>
  <c r="W221" i="164"/>
  <c r="U221" i="164"/>
  <c r="T221" i="164"/>
  <c r="S221" i="164"/>
  <c r="R221" i="164"/>
  <c r="F219" i="164"/>
  <c r="AA219" i="164" s="1"/>
  <c r="F218" i="164"/>
  <c r="AA218" i="164" s="1"/>
  <c r="F217" i="164"/>
  <c r="AA217" i="164" s="1"/>
  <c r="Y211" i="164"/>
  <c r="W211" i="164"/>
  <c r="U211" i="164"/>
  <c r="T211" i="164"/>
  <c r="S211" i="164"/>
  <c r="R211" i="164"/>
  <c r="Y210" i="164"/>
  <c r="W210" i="164"/>
  <c r="U210" i="164"/>
  <c r="T210" i="164"/>
  <c r="S210" i="164"/>
  <c r="R210" i="164"/>
  <c r="Y209" i="164"/>
  <c r="W209" i="164"/>
  <c r="U209" i="164"/>
  <c r="T209" i="164"/>
  <c r="S209" i="164"/>
  <c r="R209" i="164"/>
  <c r="Y208" i="164"/>
  <c r="W208" i="164"/>
  <c r="U208" i="164"/>
  <c r="T208" i="164"/>
  <c r="S208" i="164"/>
  <c r="R208" i="164"/>
  <c r="Y207" i="164"/>
  <c r="R207" i="164"/>
  <c r="S207" i="164" s="1"/>
  <c r="Y206" i="164"/>
  <c r="W206" i="164"/>
  <c r="U206" i="164"/>
  <c r="T206" i="164"/>
  <c r="S206" i="164"/>
  <c r="R206" i="164"/>
  <c r="F203" i="164"/>
  <c r="AA203" i="164" s="1"/>
  <c r="F202" i="164"/>
  <c r="AA202" i="164" s="1"/>
  <c r="Y196" i="164"/>
  <c r="W196" i="164"/>
  <c r="U196" i="164"/>
  <c r="T196" i="164"/>
  <c r="S196" i="164"/>
  <c r="R196" i="164"/>
  <c r="Y195" i="164"/>
  <c r="W195" i="164"/>
  <c r="U195" i="164"/>
  <c r="T195" i="164"/>
  <c r="S195" i="164"/>
  <c r="R195" i="164"/>
  <c r="Y194" i="164"/>
  <c r="W194" i="164"/>
  <c r="U194" i="164"/>
  <c r="T194" i="164"/>
  <c r="S194" i="164"/>
  <c r="R194" i="164"/>
  <c r="Y193" i="164"/>
  <c r="W193" i="164"/>
  <c r="U193" i="164"/>
  <c r="T193" i="164"/>
  <c r="S193" i="164"/>
  <c r="R193" i="164"/>
  <c r="Y192" i="164"/>
  <c r="W192" i="164"/>
  <c r="U192" i="164"/>
  <c r="T192" i="164"/>
  <c r="S192" i="164"/>
  <c r="R192" i="164"/>
  <c r="Y191" i="164"/>
  <c r="W191" i="164"/>
  <c r="U191" i="164"/>
  <c r="T191" i="164"/>
  <c r="S191" i="164"/>
  <c r="R191" i="164"/>
  <c r="F189" i="164"/>
  <c r="AA189" i="164" s="1"/>
  <c r="F188" i="164"/>
  <c r="AA188" i="164" s="1"/>
  <c r="F187" i="164"/>
  <c r="AA187" i="164" s="1"/>
  <c r="Y181" i="164"/>
  <c r="W181" i="164"/>
  <c r="U181" i="164"/>
  <c r="T181" i="164"/>
  <c r="S181" i="164"/>
  <c r="R181" i="164"/>
  <c r="Y180" i="164"/>
  <c r="W180" i="164"/>
  <c r="U180" i="164"/>
  <c r="T180" i="164"/>
  <c r="S180" i="164"/>
  <c r="R180" i="164"/>
  <c r="Y179" i="164"/>
  <c r="W179" i="164"/>
  <c r="U179" i="164"/>
  <c r="T179" i="164"/>
  <c r="S179" i="164"/>
  <c r="R179" i="164"/>
  <c r="Y176" i="164"/>
  <c r="W176" i="164"/>
  <c r="U176" i="164"/>
  <c r="T176" i="164"/>
  <c r="S176" i="164"/>
  <c r="R176" i="164"/>
  <c r="F174" i="164"/>
  <c r="AA174" i="164" s="1"/>
  <c r="F173" i="164"/>
  <c r="AA173" i="164" s="1"/>
  <c r="F172" i="164"/>
  <c r="AA172" i="164" s="1"/>
  <c r="Y166" i="164"/>
  <c r="W166" i="164"/>
  <c r="U166" i="164"/>
  <c r="T166" i="164"/>
  <c r="S166" i="164"/>
  <c r="R166" i="164"/>
  <c r="Y165" i="164"/>
  <c r="W165" i="164"/>
  <c r="U165" i="164"/>
  <c r="T165" i="164"/>
  <c r="S165" i="164"/>
  <c r="R165" i="164"/>
  <c r="Y164" i="164"/>
  <c r="W164" i="164"/>
  <c r="U164" i="164"/>
  <c r="T164" i="164"/>
  <c r="S164" i="164"/>
  <c r="R164" i="164"/>
  <c r="Y163" i="164"/>
  <c r="W163" i="164"/>
  <c r="U163" i="164"/>
  <c r="T163" i="164"/>
  <c r="S163" i="164"/>
  <c r="R163" i="164"/>
  <c r="Y162" i="164"/>
  <c r="W162" i="164"/>
  <c r="U162" i="164"/>
  <c r="T162" i="164"/>
  <c r="S162" i="164"/>
  <c r="R162" i="164"/>
  <c r="Y161" i="164"/>
  <c r="W161" i="164"/>
  <c r="U161" i="164"/>
  <c r="T161" i="164"/>
  <c r="S161" i="164"/>
  <c r="R161" i="164"/>
  <c r="F159" i="164"/>
  <c r="AA159" i="164" s="1"/>
  <c r="F158" i="164"/>
  <c r="AA158" i="164" s="1"/>
  <c r="F157" i="164"/>
  <c r="AA157" i="164" s="1"/>
  <c r="Y151" i="164"/>
  <c r="W151" i="164"/>
  <c r="U151" i="164"/>
  <c r="T151" i="164"/>
  <c r="S151" i="164"/>
  <c r="R151" i="164"/>
  <c r="Y150" i="164"/>
  <c r="W150" i="164"/>
  <c r="U150" i="164"/>
  <c r="T150" i="164"/>
  <c r="S150" i="164"/>
  <c r="R150" i="164"/>
  <c r="Y149" i="164"/>
  <c r="W149" i="164"/>
  <c r="U149" i="164"/>
  <c r="T149" i="164"/>
  <c r="S149" i="164"/>
  <c r="R149" i="164"/>
  <c r="Y148" i="164"/>
  <c r="W148" i="164"/>
  <c r="U148" i="164"/>
  <c r="T148" i="164"/>
  <c r="S148" i="164"/>
  <c r="R148" i="164"/>
  <c r="Y147" i="164"/>
  <c r="R147" i="164"/>
  <c r="S147" i="164" s="1"/>
  <c r="Y146" i="164"/>
  <c r="W146" i="164"/>
  <c r="U146" i="164"/>
  <c r="T146" i="164"/>
  <c r="S146" i="164"/>
  <c r="R146" i="164"/>
  <c r="F143" i="164"/>
  <c r="AA143" i="164" s="1"/>
  <c r="F142" i="164"/>
  <c r="AA142" i="164" s="1"/>
  <c r="Y136" i="164"/>
  <c r="W136" i="164"/>
  <c r="U136" i="164"/>
  <c r="T136" i="164"/>
  <c r="S136" i="164"/>
  <c r="R136" i="164"/>
  <c r="Y135" i="164"/>
  <c r="W135" i="164"/>
  <c r="U135" i="164"/>
  <c r="T135" i="164"/>
  <c r="S135" i="164"/>
  <c r="R135" i="164"/>
  <c r="Y134" i="164"/>
  <c r="W134" i="164"/>
  <c r="U134" i="164"/>
  <c r="T134" i="164"/>
  <c r="S134" i="164"/>
  <c r="R134" i="164"/>
  <c r="Y133" i="164"/>
  <c r="W133" i="164"/>
  <c r="U133" i="164"/>
  <c r="T133" i="164"/>
  <c r="S133" i="164"/>
  <c r="R133" i="164"/>
  <c r="Y132" i="164"/>
  <c r="W132" i="164"/>
  <c r="U132" i="164"/>
  <c r="T132" i="164"/>
  <c r="S132" i="164"/>
  <c r="R132" i="164"/>
  <c r="Y131" i="164"/>
  <c r="W131" i="164"/>
  <c r="U131" i="164"/>
  <c r="T131" i="164"/>
  <c r="S131" i="164"/>
  <c r="R131" i="164"/>
  <c r="F129" i="164"/>
  <c r="AA129" i="164" s="1"/>
  <c r="F128" i="164"/>
  <c r="AA128" i="164" s="1"/>
  <c r="F127" i="164"/>
  <c r="AA127" i="164" s="1"/>
  <c r="Y121" i="164"/>
  <c r="W121" i="164"/>
  <c r="U121" i="164"/>
  <c r="T121" i="164"/>
  <c r="S121" i="164"/>
  <c r="R121" i="164"/>
  <c r="Y120" i="164"/>
  <c r="W120" i="164"/>
  <c r="U120" i="164"/>
  <c r="T120" i="164"/>
  <c r="S120" i="164"/>
  <c r="R120" i="164"/>
  <c r="Y119" i="164"/>
  <c r="W119" i="164"/>
  <c r="U119" i="164"/>
  <c r="T119" i="164"/>
  <c r="S119" i="164"/>
  <c r="R119" i="164"/>
  <c r="Y118" i="164"/>
  <c r="W118" i="164"/>
  <c r="U118" i="164"/>
  <c r="T118" i="164"/>
  <c r="S118" i="164"/>
  <c r="R118" i="164"/>
  <c r="Y117" i="164"/>
  <c r="W117" i="164"/>
  <c r="U117" i="164"/>
  <c r="T117" i="164"/>
  <c r="S117" i="164"/>
  <c r="R117" i="164"/>
  <c r="Y116" i="164"/>
  <c r="W116" i="164"/>
  <c r="U116" i="164"/>
  <c r="T116" i="164"/>
  <c r="S116" i="164"/>
  <c r="R116" i="164"/>
  <c r="F114" i="164"/>
  <c r="AA114" i="164" s="1"/>
  <c r="F113" i="164"/>
  <c r="AA113" i="164" s="1"/>
  <c r="F112" i="164"/>
  <c r="AA112" i="164" s="1"/>
  <c r="Y106" i="164"/>
  <c r="W106" i="164"/>
  <c r="U106" i="164"/>
  <c r="T106" i="164"/>
  <c r="S106" i="164"/>
  <c r="R106" i="164"/>
  <c r="Y105" i="164"/>
  <c r="W105" i="164"/>
  <c r="U105" i="164"/>
  <c r="T105" i="164"/>
  <c r="S105" i="164"/>
  <c r="R105" i="164"/>
  <c r="Y104" i="164"/>
  <c r="W104" i="164"/>
  <c r="U104" i="164"/>
  <c r="T104" i="164"/>
  <c r="S104" i="164"/>
  <c r="R104" i="164"/>
  <c r="Y103" i="164"/>
  <c r="W103" i="164"/>
  <c r="U103" i="164"/>
  <c r="T103" i="164"/>
  <c r="S103" i="164"/>
  <c r="R103" i="164"/>
  <c r="Y102" i="164"/>
  <c r="W102" i="164"/>
  <c r="U102" i="164"/>
  <c r="T102" i="164"/>
  <c r="S102" i="164"/>
  <c r="R102" i="164"/>
  <c r="Y101" i="164"/>
  <c r="W101" i="164"/>
  <c r="U101" i="164"/>
  <c r="T101" i="164"/>
  <c r="S101" i="164"/>
  <c r="R101" i="164"/>
  <c r="F99" i="164"/>
  <c r="AA99" i="164" s="1"/>
  <c r="F98" i="164"/>
  <c r="AA98" i="164" s="1"/>
  <c r="F97" i="164"/>
  <c r="AA97" i="164" s="1"/>
  <c r="Y91" i="164"/>
  <c r="W91" i="164"/>
  <c r="U91" i="164"/>
  <c r="T91" i="164"/>
  <c r="S91" i="164"/>
  <c r="R91" i="164"/>
  <c r="Y90" i="164"/>
  <c r="W90" i="164"/>
  <c r="U90" i="164"/>
  <c r="T90" i="164"/>
  <c r="S90" i="164"/>
  <c r="R90" i="164"/>
  <c r="Y89" i="164"/>
  <c r="W89" i="164"/>
  <c r="U89" i="164"/>
  <c r="T89" i="164"/>
  <c r="S89" i="164"/>
  <c r="R89" i="164"/>
  <c r="Y88" i="164"/>
  <c r="W88" i="164"/>
  <c r="U88" i="164"/>
  <c r="T88" i="164"/>
  <c r="S88" i="164"/>
  <c r="R88" i="164"/>
  <c r="Y87" i="164"/>
  <c r="R87" i="164"/>
  <c r="S87" i="164" s="1"/>
  <c r="Y86" i="164"/>
  <c r="W86" i="164"/>
  <c r="U86" i="164"/>
  <c r="T86" i="164"/>
  <c r="S86" i="164"/>
  <c r="R86" i="164"/>
  <c r="F83" i="164"/>
  <c r="AA83" i="164" s="1"/>
  <c r="F82" i="164"/>
  <c r="AA82" i="164" s="1"/>
  <c r="Y76" i="164"/>
  <c r="W76" i="164"/>
  <c r="U76" i="164"/>
  <c r="T76" i="164"/>
  <c r="S76" i="164"/>
  <c r="R76" i="164"/>
  <c r="Y75" i="164"/>
  <c r="W75" i="164"/>
  <c r="U75" i="164"/>
  <c r="T75" i="164"/>
  <c r="S75" i="164"/>
  <c r="R75" i="164"/>
  <c r="Y74" i="164"/>
  <c r="W74" i="164"/>
  <c r="U74" i="164"/>
  <c r="T74" i="164"/>
  <c r="S74" i="164"/>
  <c r="R74" i="164"/>
  <c r="Y73" i="164"/>
  <c r="R73" i="164"/>
  <c r="S73" i="164" s="1"/>
  <c r="T73" i="164" s="1"/>
  <c r="U73" i="164" s="1"/>
  <c r="Y72" i="164"/>
  <c r="R72" i="164"/>
  <c r="S72" i="164" s="1"/>
  <c r="T72" i="164" s="1"/>
  <c r="U72" i="164" s="1"/>
  <c r="Y71" i="164"/>
  <c r="W71" i="164"/>
  <c r="U71" i="164"/>
  <c r="T71" i="164"/>
  <c r="S71" i="164"/>
  <c r="R71" i="164"/>
  <c r="F68" i="164"/>
  <c r="AA68" i="164" s="1"/>
  <c r="F67" i="164"/>
  <c r="AA67" i="164" s="1"/>
  <c r="Y61" i="164"/>
  <c r="W61" i="164"/>
  <c r="U61" i="164"/>
  <c r="T61" i="164"/>
  <c r="S61" i="164"/>
  <c r="R61" i="164"/>
  <c r="Y60" i="164"/>
  <c r="W60" i="164"/>
  <c r="U60" i="164"/>
  <c r="T60" i="164"/>
  <c r="S60" i="164"/>
  <c r="R60" i="164"/>
  <c r="Y59" i="164"/>
  <c r="W59" i="164"/>
  <c r="U59" i="164"/>
  <c r="T59" i="164"/>
  <c r="S59" i="164"/>
  <c r="R59" i="164"/>
  <c r="Y58" i="164"/>
  <c r="W58" i="164"/>
  <c r="T58" i="164"/>
  <c r="U58" i="164" s="1"/>
  <c r="S58" i="164"/>
  <c r="R58" i="164"/>
  <c r="Y57" i="164"/>
  <c r="W57" i="164"/>
  <c r="T57" i="164"/>
  <c r="U57" i="164" s="1"/>
  <c r="R57" i="164"/>
  <c r="S57" i="164" s="1"/>
  <c r="Y56" i="164"/>
  <c r="W56" i="164"/>
  <c r="U56" i="164"/>
  <c r="T56" i="164"/>
  <c r="S56" i="164"/>
  <c r="R56" i="164"/>
  <c r="F53" i="164"/>
  <c r="AA53" i="164" s="1"/>
  <c r="F52" i="164"/>
  <c r="AA52" i="164" s="1"/>
  <c r="Y46" i="164"/>
  <c r="W46" i="164"/>
  <c r="U46" i="164"/>
  <c r="T46" i="164"/>
  <c r="S46" i="164"/>
  <c r="R46" i="164"/>
  <c r="Y45" i="164"/>
  <c r="W45" i="164"/>
  <c r="U45" i="164"/>
  <c r="T45" i="164"/>
  <c r="S45" i="164"/>
  <c r="R45" i="164"/>
  <c r="Y42" i="164"/>
  <c r="R42" i="164"/>
  <c r="S42" i="164" s="1"/>
  <c r="Y41" i="164"/>
  <c r="W41" i="164"/>
  <c r="U41" i="164"/>
  <c r="T41" i="164"/>
  <c r="S41" i="164"/>
  <c r="R41" i="164"/>
  <c r="F38" i="164"/>
  <c r="AA38" i="164" s="1"/>
  <c r="F37" i="164"/>
  <c r="AA37" i="164" s="1"/>
  <c r="Y31" i="164"/>
  <c r="W31" i="164"/>
  <c r="U31" i="164"/>
  <c r="T31" i="164"/>
  <c r="S31" i="164"/>
  <c r="R31" i="164"/>
  <c r="Y30" i="164"/>
  <c r="W30" i="164"/>
  <c r="U30" i="164"/>
  <c r="T30" i="164"/>
  <c r="S30" i="164"/>
  <c r="R30" i="164"/>
  <c r="Y29" i="164"/>
  <c r="R29" i="164"/>
  <c r="S29" i="164" s="1"/>
  <c r="Y28" i="164"/>
  <c r="U28" i="164"/>
  <c r="R28" i="164"/>
  <c r="S28" i="164" s="1"/>
  <c r="Y27" i="164"/>
  <c r="R27" i="164"/>
  <c r="S27" i="164" s="1"/>
  <c r="Y26" i="164"/>
  <c r="W26" i="164"/>
  <c r="U26" i="164"/>
  <c r="T26" i="164"/>
  <c r="S26" i="164"/>
  <c r="R26" i="164"/>
  <c r="F23" i="164"/>
  <c r="AA23" i="164" s="1"/>
  <c r="F22" i="164"/>
  <c r="AA22" i="164" s="1"/>
  <c r="I93" i="152" l="1"/>
  <c r="P99" i="152" s="1"/>
  <c r="R54" i="164"/>
  <c r="F54" i="164" s="1"/>
  <c r="AA54" i="164" s="1"/>
  <c r="X450" i="164"/>
  <c r="Z450" i="164" s="1" a="1"/>
  <c r="Z450" i="164" s="1"/>
  <c r="X449" i="164"/>
  <c r="Z449" i="164" s="1" a="1"/>
  <c r="Z449" i="164" s="1"/>
  <c r="X447" i="164"/>
  <c r="Z447" i="164" s="1" a="1"/>
  <c r="Z447" i="164" s="1"/>
  <c r="X446" i="164"/>
  <c r="Z446" i="164" s="1" a="1"/>
  <c r="Z446" i="164" s="1"/>
  <c r="X451" i="164"/>
  <c r="X448" i="164"/>
  <c r="Z448" i="164" s="1" a="1"/>
  <c r="Z448" i="164" s="1"/>
  <c r="X433" i="164"/>
  <c r="Z433" i="164" s="1" a="1"/>
  <c r="Z433" i="164" s="1"/>
  <c r="X432" i="164"/>
  <c r="Z432" i="164" s="1" a="1"/>
  <c r="Z432" i="164" s="1"/>
  <c r="X431" i="164"/>
  <c r="Z431" i="164" s="1" a="1"/>
  <c r="Z431" i="164" s="1"/>
  <c r="X434" i="164"/>
  <c r="Z434" i="164" s="1" a="1"/>
  <c r="Z434" i="164" s="1"/>
  <c r="X436" i="164"/>
  <c r="Z436" i="164" s="1" a="1"/>
  <c r="Z436" i="164" s="1"/>
  <c r="X435" i="164"/>
  <c r="Z435" i="164" s="1" a="1"/>
  <c r="Z435" i="164" s="1"/>
  <c r="X416" i="164"/>
  <c r="X421" i="164"/>
  <c r="Z421" i="164" s="1" a="1"/>
  <c r="Z421" i="164" s="1"/>
  <c r="X419" i="164"/>
  <c r="Z419" i="164" s="1" a="1"/>
  <c r="Z419" i="164" s="1"/>
  <c r="X420" i="164"/>
  <c r="Z420" i="164" s="1" a="1"/>
  <c r="Z420" i="164" s="1"/>
  <c r="X417" i="164"/>
  <c r="Z417" i="164" s="1" a="1"/>
  <c r="Z417" i="164" s="1"/>
  <c r="X418" i="164"/>
  <c r="Z418" i="164" s="1" a="1"/>
  <c r="Z418" i="164" s="1"/>
  <c r="X405" i="164"/>
  <c r="Z405" i="164" s="1" a="1"/>
  <c r="Z405" i="164" s="1"/>
  <c r="X406" i="164"/>
  <c r="Z406" i="164" s="1" a="1"/>
  <c r="Z406" i="164" s="1"/>
  <c r="X404" i="164"/>
  <c r="Z404" i="164" s="1" a="1"/>
  <c r="Z404" i="164" s="1"/>
  <c r="X402" i="164"/>
  <c r="Z402" i="164" s="1" a="1"/>
  <c r="Z402" i="164" s="1"/>
  <c r="X401" i="164"/>
  <c r="Z401" i="164" s="1" a="1"/>
  <c r="Z401" i="164" s="1"/>
  <c r="X403" i="164"/>
  <c r="Z403" i="164" s="1" a="1"/>
  <c r="Z403" i="164" s="1"/>
  <c r="X390" i="164"/>
  <c r="Z390" i="164" s="1" a="1"/>
  <c r="Z390" i="164" s="1"/>
  <c r="X389" i="164"/>
  <c r="Z389" i="164" s="1" a="1"/>
  <c r="Z389" i="164" s="1"/>
  <c r="X387" i="164"/>
  <c r="Z387" i="164" s="1" a="1"/>
  <c r="Z387" i="164" s="1"/>
  <c r="X386" i="164"/>
  <c r="Z386" i="164" s="1" a="1"/>
  <c r="Z386" i="164" s="1"/>
  <c r="X391" i="164"/>
  <c r="Z391" i="164" s="1" a="1"/>
  <c r="Z391" i="164" s="1"/>
  <c r="X388" i="164"/>
  <c r="Z388" i="164" s="1" a="1"/>
  <c r="Z388" i="164" s="1"/>
  <c r="X373" i="164"/>
  <c r="Z373" i="164" s="1" a="1"/>
  <c r="Z373" i="164" s="1"/>
  <c r="X371" i="164"/>
  <c r="Z371" i="164" s="1" a="1"/>
  <c r="Z371" i="164" s="1"/>
  <c r="X376" i="164"/>
  <c r="Z376" i="164" s="1" a="1"/>
  <c r="Z376" i="164" s="1"/>
  <c r="X375" i="164"/>
  <c r="Z375" i="164" s="1" a="1"/>
  <c r="Z375" i="164" s="1"/>
  <c r="X372" i="164"/>
  <c r="Z372" i="164" s="1" a="1"/>
  <c r="Z372" i="164" s="1"/>
  <c r="X374" i="164"/>
  <c r="Z374" i="164" s="1" a="1"/>
  <c r="Z374" i="164" s="1"/>
  <c r="X356" i="164"/>
  <c r="Z356" i="164" s="1" a="1"/>
  <c r="Z356" i="164" s="1"/>
  <c r="X361" i="164"/>
  <c r="Z361" i="164" s="1" a="1"/>
  <c r="Z361" i="164" s="1"/>
  <c r="X359" i="164"/>
  <c r="Z359" i="164" s="1" a="1"/>
  <c r="Z359" i="164" s="1"/>
  <c r="X360" i="164"/>
  <c r="Z360" i="164" s="1" a="1"/>
  <c r="Z360" i="164" s="1"/>
  <c r="X357" i="164"/>
  <c r="Z357" i="164" s="1" a="1"/>
  <c r="Z357" i="164" s="1"/>
  <c r="X358" i="164"/>
  <c r="Z358" i="164" s="1" a="1"/>
  <c r="Z358" i="164" s="1"/>
  <c r="X345" i="164"/>
  <c r="Z345" i="164" s="1" a="1"/>
  <c r="Z345" i="164" s="1"/>
  <c r="X346" i="164"/>
  <c r="Z346" i="164" s="1" a="1"/>
  <c r="Z346" i="164" s="1"/>
  <c r="X344" i="164"/>
  <c r="Z344" i="164" s="1" a="1"/>
  <c r="Z344" i="164" s="1"/>
  <c r="X342" i="164"/>
  <c r="Z342" i="164" s="1" a="1"/>
  <c r="Z342" i="164" s="1"/>
  <c r="X341" i="164"/>
  <c r="Z341" i="164" s="1" a="1"/>
  <c r="Z341" i="164" s="1"/>
  <c r="X343" i="164"/>
  <c r="Z343" i="164" s="1" a="1"/>
  <c r="Z343" i="164" s="1"/>
  <c r="X330" i="164"/>
  <c r="Z330" i="164" s="1" a="1"/>
  <c r="Z330" i="164" s="1"/>
  <c r="X329" i="164"/>
  <c r="Z329" i="164" s="1" a="1"/>
  <c r="Z329" i="164" s="1"/>
  <c r="X328" i="164"/>
  <c r="Z328" i="164" s="1" a="1"/>
  <c r="Z328" i="164" s="1"/>
  <c r="X327" i="164"/>
  <c r="Z327" i="164" s="1" a="1"/>
  <c r="Z327" i="164" s="1"/>
  <c r="X331" i="164"/>
  <c r="Z331" i="164" s="1" a="1"/>
  <c r="Z331" i="164" s="1"/>
  <c r="X326" i="164"/>
  <c r="Z326" i="164" s="1" a="1"/>
  <c r="Z326" i="164" s="1"/>
  <c r="X313" i="164"/>
  <c r="Z313" i="164" s="1" a="1"/>
  <c r="Z313" i="164" s="1"/>
  <c r="X312" i="164"/>
  <c r="Z312" i="164" s="1" a="1"/>
  <c r="Z312" i="164" s="1"/>
  <c r="X311" i="164"/>
  <c r="Z311" i="164" s="1" a="1"/>
  <c r="Z311" i="164" s="1"/>
  <c r="X316" i="164"/>
  <c r="Z316" i="164" s="1" a="1"/>
  <c r="Z316" i="164" s="1"/>
  <c r="X315" i="164"/>
  <c r="Z315" i="164" s="1" a="1"/>
  <c r="Z315" i="164" s="1"/>
  <c r="X314" i="164"/>
  <c r="Z314" i="164" s="1" a="1"/>
  <c r="Z314" i="164" s="1"/>
  <c r="X296" i="164"/>
  <c r="Z296" i="164" s="1" a="1"/>
  <c r="Z296" i="164" s="1"/>
  <c r="X301" i="164"/>
  <c r="Z301" i="164" s="1" a="1"/>
  <c r="Z301" i="164" s="1"/>
  <c r="X299" i="164"/>
  <c r="Z299" i="164" s="1" a="1"/>
  <c r="Z299" i="164" s="1"/>
  <c r="X300" i="164"/>
  <c r="Z300" i="164" s="1" a="1"/>
  <c r="Z300" i="164" s="1"/>
  <c r="X298" i="164"/>
  <c r="Z298" i="164" s="1" a="1"/>
  <c r="Z298" i="164" s="1"/>
  <c r="X297" i="164"/>
  <c r="Z297" i="164" s="1" a="1"/>
  <c r="Z297" i="164" s="1"/>
  <c r="X285" i="164"/>
  <c r="Z285" i="164" s="1" a="1"/>
  <c r="Z285" i="164" s="1"/>
  <c r="X281" i="164"/>
  <c r="Z281" i="164" s="1" a="1"/>
  <c r="Z281" i="164" s="1"/>
  <c r="X286" i="164"/>
  <c r="Z286" i="164" s="1" a="1"/>
  <c r="Z286" i="164" s="1"/>
  <c r="X284" i="164"/>
  <c r="Z284" i="164" s="1" a="1"/>
  <c r="Z284" i="164" s="1"/>
  <c r="X283" i="164"/>
  <c r="Z283" i="164" s="1" a="1"/>
  <c r="Z283" i="164" s="1"/>
  <c r="X282" i="164"/>
  <c r="Z282" i="164" s="1" a="1"/>
  <c r="Z282" i="164" s="1"/>
  <c r="X253" i="164"/>
  <c r="Z253" i="164" s="1" a="1"/>
  <c r="Z253" i="164" s="1"/>
  <c r="X252" i="164"/>
  <c r="Z252" i="164" s="1" a="1"/>
  <c r="Z252" i="164" s="1"/>
  <c r="X251" i="164"/>
  <c r="Z251" i="164" s="1" a="1"/>
  <c r="Z251" i="164" s="1"/>
  <c r="X256" i="164"/>
  <c r="Z256" i="164" s="1" a="1"/>
  <c r="Z256" i="164" s="1"/>
  <c r="X255" i="164"/>
  <c r="Z255" i="164" s="1" a="1"/>
  <c r="Z255" i="164" s="1"/>
  <c r="X254" i="164"/>
  <c r="Z254" i="164" s="1" a="1"/>
  <c r="Z254" i="164" s="1"/>
  <c r="X236" i="164"/>
  <c r="Z236" i="164" s="1" a="1"/>
  <c r="Z236" i="164" s="1"/>
  <c r="X241" i="164"/>
  <c r="Z241" i="164" s="1" a="1"/>
  <c r="Z241" i="164" s="1"/>
  <c r="X240" i="164"/>
  <c r="Z240" i="164" s="1" a="1"/>
  <c r="Z240" i="164" s="1"/>
  <c r="X237" i="164"/>
  <c r="Z237" i="164" s="1" a="1"/>
  <c r="Z237" i="164" s="1"/>
  <c r="X239" i="164"/>
  <c r="Z239" i="164" s="1" a="1"/>
  <c r="Z239" i="164" s="1"/>
  <c r="X238" i="164"/>
  <c r="Z238" i="164" s="1" a="1"/>
  <c r="Z238" i="164" s="1"/>
  <c r="X225" i="164"/>
  <c r="Z225" i="164" s="1" a="1"/>
  <c r="Z225" i="164" s="1"/>
  <c r="X221" i="164"/>
  <c r="Z221" i="164" s="1" a="1"/>
  <c r="Z221" i="164" s="1"/>
  <c r="X226" i="164"/>
  <c r="Z226" i="164" s="1" a="1"/>
  <c r="Z226" i="164" s="1"/>
  <c r="X224" i="164"/>
  <c r="Z224" i="164" s="1" a="1"/>
  <c r="Z224" i="164" s="1"/>
  <c r="X222" i="164"/>
  <c r="Z222" i="164" s="1" a="1"/>
  <c r="Z222" i="164" s="1"/>
  <c r="X223" i="164"/>
  <c r="Z223" i="164" s="1" a="1"/>
  <c r="Z223" i="164" s="1"/>
  <c r="X193" i="164"/>
  <c r="Z193" i="164" s="1" a="1"/>
  <c r="Z193" i="164" s="1"/>
  <c r="X194" i="164"/>
  <c r="Z194" i="164" s="1" a="1"/>
  <c r="Z194" i="164" s="1"/>
  <c r="X192" i="164"/>
  <c r="Z192" i="164" s="1" a="1"/>
  <c r="Z192" i="164" s="1"/>
  <c r="X191" i="164"/>
  <c r="Z191" i="164" s="1" a="1"/>
  <c r="Z191" i="164" s="1"/>
  <c r="X196" i="164"/>
  <c r="Z196" i="164" s="1" a="1"/>
  <c r="Z196" i="164" s="1"/>
  <c r="X195" i="164"/>
  <c r="Z195" i="164" s="1" a="1"/>
  <c r="Z195" i="164" s="1"/>
  <c r="X176" i="164"/>
  <c r="Z176" i="164" s="1" a="1"/>
  <c r="Z176" i="164" s="1"/>
  <c r="X177" i="164"/>
  <c r="Z177" i="164" s="1" a="1"/>
  <c r="Z177" i="164" s="1"/>
  <c r="X181" i="164"/>
  <c r="Z181" i="164" s="1" a="1"/>
  <c r="Z181" i="164" s="1"/>
  <c r="X179" i="164"/>
  <c r="Z179" i="164" s="1" a="1"/>
  <c r="Z179" i="164" s="1"/>
  <c r="X180" i="164"/>
  <c r="Z180" i="164" s="1" a="1"/>
  <c r="Z180" i="164" s="1"/>
  <c r="X178" i="164"/>
  <c r="Z178" i="164" s="1" a="1"/>
  <c r="Z178" i="164" s="1"/>
  <c r="X165" i="164"/>
  <c r="Z165" i="164" s="1" a="1"/>
  <c r="Z165" i="164" s="1"/>
  <c r="X162" i="164"/>
  <c r="Z162" i="164" s="1" a="1"/>
  <c r="Z162" i="164" s="1"/>
  <c r="X166" i="164"/>
  <c r="Z166" i="164" s="1" a="1"/>
  <c r="Z166" i="164" s="1"/>
  <c r="X161" i="164"/>
  <c r="Z161" i="164" s="1" a="1"/>
  <c r="Z161" i="164" s="1"/>
  <c r="X164" i="164"/>
  <c r="Z164" i="164" s="1" a="1"/>
  <c r="Z164" i="164" s="1"/>
  <c r="X163" i="164"/>
  <c r="Z163" i="164" s="1" a="1"/>
  <c r="Z163" i="164" s="1"/>
  <c r="X133" i="164"/>
  <c r="Z133" i="164" s="1" a="1"/>
  <c r="Z133" i="164" s="1"/>
  <c r="X131" i="164"/>
  <c r="Z131" i="164" s="1" a="1"/>
  <c r="Z131" i="164" s="1"/>
  <c r="X132" i="164"/>
  <c r="Z132" i="164" s="1" a="1"/>
  <c r="Z132" i="164" s="1"/>
  <c r="X134" i="164"/>
  <c r="Z134" i="164" s="1" a="1"/>
  <c r="Z134" i="164" s="1"/>
  <c r="X135" i="164"/>
  <c r="Z135" i="164" s="1" a="1"/>
  <c r="Z135" i="164" s="1"/>
  <c r="X136" i="164"/>
  <c r="Z136" i="164" s="1" a="1"/>
  <c r="Z136" i="164" s="1"/>
  <c r="X116" i="164"/>
  <c r="Z116" i="164" s="1" a="1"/>
  <c r="Z116" i="164" s="1"/>
  <c r="X118" i="164"/>
  <c r="Z118" i="164" s="1" a="1"/>
  <c r="Z118" i="164" s="1"/>
  <c r="X117" i="164"/>
  <c r="Z117" i="164" s="1" a="1"/>
  <c r="Z117" i="164" s="1"/>
  <c r="X121" i="164"/>
  <c r="Z121" i="164" s="1" a="1"/>
  <c r="Z121" i="164" s="1"/>
  <c r="X119" i="164"/>
  <c r="Z119" i="164" s="1" a="1"/>
  <c r="Z119" i="164" s="1"/>
  <c r="X120" i="164"/>
  <c r="Z120" i="164" s="1" a="1"/>
  <c r="Z120" i="164" s="1"/>
  <c r="X105" i="164"/>
  <c r="Z105" i="164" s="1" a="1"/>
  <c r="Z105" i="164" s="1"/>
  <c r="X106" i="164"/>
  <c r="Z106" i="164" s="1" a="1"/>
  <c r="Z106" i="164" s="1"/>
  <c r="X104" i="164"/>
  <c r="Z104" i="164" s="1" a="1"/>
  <c r="Z104" i="164" s="1"/>
  <c r="X102" i="164"/>
  <c r="Z102" i="164" s="1" a="1"/>
  <c r="Z102" i="164" s="1"/>
  <c r="X101" i="164"/>
  <c r="Z101" i="164" s="1" a="1"/>
  <c r="Z101" i="164" s="1"/>
  <c r="X103" i="164"/>
  <c r="Z103" i="164" s="1" a="1"/>
  <c r="Z103" i="164" s="1"/>
  <c r="X56" i="164"/>
  <c r="Z56" i="164" s="1" a="1"/>
  <c r="Z56" i="164" s="1"/>
  <c r="X61" i="164"/>
  <c r="Z61" i="164" s="1" a="1"/>
  <c r="Z61" i="164" s="1"/>
  <c r="X59" i="164"/>
  <c r="Z59" i="164" s="1" a="1"/>
  <c r="Z59" i="164" s="1"/>
  <c r="X58" i="164"/>
  <c r="Z58" i="164" s="1" a="1"/>
  <c r="Z58" i="164" s="1"/>
  <c r="X60" i="164"/>
  <c r="Z60" i="164" s="1" a="1"/>
  <c r="Z60" i="164" s="1"/>
  <c r="X57" i="164"/>
  <c r="Z57" i="164" s="1" a="1"/>
  <c r="Z57" i="164" s="1"/>
  <c r="T57" i="152"/>
  <c r="T45" i="152"/>
  <c r="T81" i="152"/>
  <c r="AG25" i="190"/>
  <c r="T95" i="152"/>
  <c r="T94" i="152"/>
  <c r="R99" i="152"/>
  <c r="R93" i="152"/>
  <c r="T29" i="164"/>
  <c r="U29" i="164" s="1"/>
  <c r="W73" i="164"/>
  <c r="W72" i="164"/>
  <c r="Z416" i="164" a="1"/>
  <c r="Z416" i="164" s="1"/>
  <c r="Z451" i="164" a="1"/>
  <c r="Z451" i="164" s="1"/>
  <c r="T267" i="164"/>
  <c r="U267" i="164" s="1"/>
  <c r="W207" i="164"/>
  <c r="X208" i="164" s="1"/>
  <c r="T207" i="164"/>
  <c r="U207" i="164" s="1"/>
  <c r="W147" i="164"/>
  <c r="T147" i="164"/>
  <c r="U147" i="164" s="1"/>
  <c r="W87" i="164"/>
  <c r="X91" i="164" s="1"/>
  <c r="T87" i="164"/>
  <c r="U87" i="164" s="1"/>
  <c r="T42" i="164"/>
  <c r="U42" i="164" s="1"/>
  <c r="T28" i="164"/>
  <c r="W28" i="164" s="1"/>
  <c r="T27" i="164"/>
  <c r="U27" i="164" s="1"/>
  <c r="X73" i="164" l="1"/>
  <c r="Z73" i="164" s="1" a="1"/>
  <c r="Z73" i="164" s="1"/>
  <c r="X76" i="164"/>
  <c r="Z76" i="164" s="1" a="1"/>
  <c r="Z76" i="164" s="1"/>
  <c r="X206" i="164"/>
  <c r="Z206" i="164" s="1" a="1"/>
  <c r="Z206" i="164" s="1"/>
  <c r="F204" i="164" s="1"/>
  <c r="AA204" i="164" s="1"/>
  <c r="X207" i="164"/>
  <c r="Z207" i="164" s="1" a="1"/>
  <c r="Z207" i="164" s="1"/>
  <c r="X211" i="164"/>
  <c r="Z211" i="164" s="1" a="1"/>
  <c r="Z211" i="164" s="1"/>
  <c r="X209" i="164"/>
  <c r="Z209" i="164" s="1" a="1"/>
  <c r="Z209" i="164" s="1"/>
  <c r="X210" i="164"/>
  <c r="Z210" i="164" s="1" a="1"/>
  <c r="Z210" i="164" s="1"/>
  <c r="X150" i="164"/>
  <c r="Z150" i="164" s="1" a="1"/>
  <c r="Z150" i="164" s="1"/>
  <c r="X149" i="164"/>
  <c r="Z149" i="164" s="1" a="1"/>
  <c r="Z149" i="164" s="1"/>
  <c r="X148" i="164"/>
  <c r="Z148" i="164" s="1" a="1"/>
  <c r="Z148" i="164" s="1"/>
  <c r="X151" i="164"/>
  <c r="Z151" i="164" s="1" a="1"/>
  <c r="Z151" i="164" s="1"/>
  <c r="X146" i="164"/>
  <c r="Z146" i="164" s="1" a="1"/>
  <c r="Z146" i="164" s="1"/>
  <c r="F144" i="164" s="1"/>
  <c r="AA144" i="164" s="1"/>
  <c r="X147" i="164"/>
  <c r="Z147" i="164" s="1" a="1"/>
  <c r="Z147" i="164" s="1"/>
  <c r="X90" i="164"/>
  <c r="Z90" i="164" s="1" a="1"/>
  <c r="Z90" i="164" s="1"/>
  <c r="X88" i="164"/>
  <c r="Z88" i="164" s="1" a="1"/>
  <c r="Z88" i="164" s="1"/>
  <c r="X87" i="164"/>
  <c r="Z87" i="164" s="1" a="1"/>
  <c r="Z87" i="164" s="1"/>
  <c r="X86" i="164"/>
  <c r="Z86" i="164" s="1" a="1"/>
  <c r="Z86" i="164" s="1"/>
  <c r="F84" i="164" s="1"/>
  <c r="AA84" i="164" s="1"/>
  <c r="X89" i="164"/>
  <c r="Z89" i="164" s="1" a="1"/>
  <c r="Z89" i="164" s="1"/>
  <c r="X75" i="164"/>
  <c r="Z75" i="164" s="1" a="1"/>
  <c r="Z75" i="164" s="1"/>
  <c r="X74" i="164"/>
  <c r="Z74" i="164" s="1" a="1"/>
  <c r="Z74" i="164" s="1"/>
  <c r="X71" i="164"/>
  <c r="Z71" i="164" s="1" a="1"/>
  <c r="Z71" i="164" s="1"/>
  <c r="R69" i="164" s="1"/>
  <c r="F69" i="164" s="1"/>
  <c r="AA69" i="164" s="1"/>
  <c r="X72" i="164"/>
  <c r="Z72" i="164" s="1" a="1"/>
  <c r="Z72" i="164" s="1"/>
  <c r="V99" i="152"/>
  <c r="O99" i="152" s="1"/>
  <c r="D9" i="214" s="1"/>
  <c r="T93" i="152"/>
  <c r="W29" i="164"/>
  <c r="W42" i="164"/>
  <c r="W267" i="164"/>
  <c r="Z208" i="164" a="1"/>
  <c r="Z208" i="164" s="1"/>
  <c r="Z91" i="164" a="1"/>
  <c r="Z91" i="164" s="1"/>
  <c r="W27" i="164"/>
  <c r="X270" i="164" l="1"/>
  <c r="X269" i="164"/>
  <c r="Z269" i="164" s="1" a="1"/>
  <c r="Z269" i="164" s="1"/>
  <c r="X268" i="164"/>
  <c r="Z268" i="164" s="1" a="1"/>
  <c r="Z268" i="164" s="1"/>
  <c r="X267" i="164"/>
  <c r="Z267" i="164" s="1" a="1"/>
  <c r="Z267" i="164" s="1"/>
  <c r="X266" i="164"/>
  <c r="Z266" i="164" s="1" a="1"/>
  <c r="Z266" i="164" s="1"/>
  <c r="F264" i="164" s="1"/>
  <c r="AA264" i="164" s="1"/>
  <c r="X271" i="164"/>
  <c r="Z271" i="164" s="1" a="1"/>
  <c r="Z271" i="164" s="1"/>
  <c r="X41" i="164"/>
  <c r="Z41" i="164" s="1" a="1"/>
  <c r="Z41" i="164" s="1"/>
  <c r="X46" i="164"/>
  <c r="Z46" i="164" s="1" a="1"/>
  <c r="Z46" i="164" s="1"/>
  <c r="X42" i="164"/>
  <c r="Z42" i="164" s="1" a="1"/>
  <c r="Z42" i="164" s="1"/>
  <c r="X45" i="164"/>
  <c r="Z45" i="164" s="1" a="1"/>
  <c r="Z45" i="164" s="1"/>
  <c r="X44" i="164"/>
  <c r="Z44" i="164" s="1" a="1"/>
  <c r="Z44" i="164" s="1"/>
  <c r="X43" i="164"/>
  <c r="Z43" i="164" s="1" a="1"/>
  <c r="Z43" i="164" s="1"/>
  <c r="X30" i="164"/>
  <c r="Z30" i="164" s="1" a="1"/>
  <c r="Z30" i="164" s="1"/>
  <c r="X29" i="164"/>
  <c r="Z29" i="164" s="1" a="1"/>
  <c r="Z29" i="164" s="1"/>
  <c r="X27" i="164"/>
  <c r="Z27" i="164" s="1" a="1"/>
  <c r="Z27" i="164" s="1"/>
  <c r="X31" i="164"/>
  <c r="Z31" i="164" s="1" a="1"/>
  <c r="Z31" i="164" s="1"/>
  <c r="X26" i="164"/>
  <c r="Z26" i="164" s="1" a="1"/>
  <c r="Z26" i="164" s="1"/>
  <c r="R24" i="164" s="1"/>
  <c r="X28" i="164"/>
  <c r="Z28" i="164" s="1" a="1"/>
  <c r="Z28" i="164" s="1"/>
  <c r="Z270" i="164" a="1"/>
  <c r="Z270" i="164" s="1"/>
  <c r="F24" i="164" l="1"/>
  <c r="AA24" i="164" s="1"/>
  <c r="U451" i="177" l="1"/>
  <c r="S451" i="177"/>
  <c r="R451" i="177"/>
  <c r="U450" i="177"/>
  <c r="S450" i="177"/>
  <c r="R450" i="177"/>
  <c r="U449" i="177"/>
  <c r="S449" i="177"/>
  <c r="R449" i="177"/>
  <c r="U448" i="177"/>
  <c r="S448" i="177"/>
  <c r="R448" i="177"/>
  <c r="U447" i="177"/>
  <c r="S447" i="177"/>
  <c r="R447" i="177"/>
  <c r="U446" i="177"/>
  <c r="S446" i="177"/>
  <c r="R446" i="177"/>
  <c r="F444" i="177"/>
  <c r="C442" i="177"/>
  <c r="U436" i="177"/>
  <c r="S436" i="177"/>
  <c r="R436" i="177"/>
  <c r="U435" i="177"/>
  <c r="S435" i="177"/>
  <c r="R435" i="177"/>
  <c r="U434" i="177"/>
  <c r="S434" i="177"/>
  <c r="R434" i="177"/>
  <c r="U433" i="177"/>
  <c r="S433" i="177"/>
  <c r="R433" i="177"/>
  <c r="U432" i="177"/>
  <c r="S432" i="177"/>
  <c r="R432" i="177"/>
  <c r="U431" i="177"/>
  <c r="S431" i="177"/>
  <c r="R431" i="177"/>
  <c r="F429" i="177"/>
  <c r="C427" i="177"/>
  <c r="U421" i="177"/>
  <c r="S421" i="177"/>
  <c r="R421" i="177"/>
  <c r="U420" i="177"/>
  <c r="S420" i="177"/>
  <c r="R420" i="177"/>
  <c r="U419" i="177"/>
  <c r="S419" i="177"/>
  <c r="R419" i="177"/>
  <c r="U418" i="177"/>
  <c r="S418" i="177"/>
  <c r="R418" i="177"/>
  <c r="U417" i="177"/>
  <c r="S417" i="177"/>
  <c r="R417" i="177"/>
  <c r="U416" i="177"/>
  <c r="S416" i="177"/>
  <c r="R416" i="177"/>
  <c r="F414" i="177"/>
  <c r="C412" i="177"/>
  <c r="U406" i="177"/>
  <c r="S406" i="177"/>
  <c r="R406" i="177"/>
  <c r="U405" i="177"/>
  <c r="S405" i="177"/>
  <c r="R405" i="177"/>
  <c r="U404" i="177"/>
  <c r="S404" i="177"/>
  <c r="R404" i="177"/>
  <c r="U403" i="177"/>
  <c r="S403" i="177"/>
  <c r="R403" i="177"/>
  <c r="U402" i="177"/>
  <c r="S402" i="177"/>
  <c r="R402" i="177"/>
  <c r="U401" i="177"/>
  <c r="S401" i="177"/>
  <c r="R401" i="177"/>
  <c r="F399" i="177"/>
  <c r="C397" i="177"/>
  <c r="U391" i="177"/>
  <c r="S391" i="177"/>
  <c r="R391" i="177"/>
  <c r="U390" i="177"/>
  <c r="S390" i="177"/>
  <c r="R390" i="177"/>
  <c r="U389" i="177"/>
  <c r="S389" i="177"/>
  <c r="R389" i="177"/>
  <c r="U388" i="177"/>
  <c r="S388" i="177"/>
  <c r="R388" i="177"/>
  <c r="U387" i="177"/>
  <c r="S387" i="177"/>
  <c r="R387" i="177"/>
  <c r="U386" i="177"/>
  <c r="S386" i="177"/>
  <c r="R386" i="177"/>
  <c r="F384" i="177"/>
  <c r="C382" i="177"/>
  <c r="U376" i="177"/>
  <c r="S376" i="177"/>
  <c r="R376" i="177"/>
  <c r="U375" i="177"/>
  <c r="S375" i="177"/>
  <c r="R375" i="177"/>
  <c r="U374" i="177"/>
  <c r="S374" i="177"/>
  <c r="R374" i="177"/>
  <c r="U373" i="177"/>
  <c r="S373" i="177"/>
  <c r="R373" i="177"/>
  <c r="U372" i="177"/>
  <c r="S372" i="177"/>
  <c r="R372" i="177"/>
  <c r="U371" i="177"/>
  <c r="S371" i="177"/>
  <c r="R371" i="177"/>
  <c r="F369" i="177"/>
  <c r="C367" i="177"/>
  <c r="U361" i="177"/>
  <c r="S361" i="177"/>
  <c r="R361" i="177"/>
  <c r="U360" i="177"/>
  <c r="S360" i="177"/>
  <c r="R360" i="177"/>
  <c r="U359" i="177"/>
  <c r="S359" i="177"/>
  <c r="R359" i="177"/>
  <c r="U358" i="177"/>
  <c r="S358" i="177"/>
  <c r="R358" i="177"/>
  <c r="U357" i="177"/>
  <c r="S357" i="177"/>
  <c r="R357" i="177"/>
  <c r="U356" i="177"/>
  <c r="S356" i="177"/>
  <c r="R356" i="177"/>
  <c r="F354" i="177"/>
  <c r="C352" i="177"/>
  <c r="U346" i="177"/>
  <c r="S346" i="177"/>
  <c r="R346" i="177"/>
  <c r="U345" i="177"/>
  <c r="S345" i="177"/>
  <c r="R345" i="177"/>
  <c r="U344" i="177"/>
  <c r="S344" i="177"/>
  <c r="R344" i="177"/>
  <c r="U343" i="177"/>
  <c r="S343" i="177"/>
  <c r="R343" i="177"/>
  <c r="U342" i="177"/>
  <c r="S342" i="177"/>
  <c r="R342" i="177"/>
  <c r="U341" i="177"/>
  <c r="S341" i="177"/>
  <c r="R341" i="177"/>
  <c r="F339" i="177"/>
  <c r="C337" i="177"/>
  <c r="U331" i="177"/>
  <c r="S331" i="177"/>
  <c r="R331" i="177"/>
  <c r="U330" i="177"/>
  <c r="S330" i="177"/>
  <c r="R330" i="177"/>
  <c r="U329" i="177"/>
  <c r="S329" i="177"/>
  <c r="R329" i="177"/>
  <c r="U328" i="177"/>
  <c r="S328" i="177"/>
  <c r="R328" i="177"/>
  <c r="U327" i="177"/>
  <c r="S327" i="177"/>
  <c r="R327" i="177"/>
  <c r="U326" i="177"/>
  <c r="S326" i="177"/>
  <c r="R326" i="177"/>
  <c r="F324" i="177"/>
  <c r="C322" i="177"/>
  <c r="U316" i="177"/>
  <c r="S316" i="177"/>
  <c r="R316" i="177"/>
  <c r="U315" i="177"/>
  <c r="S315" i="177"/>
  <c r="R315" i="177"/>
  <c r="U314" i="177"/>
  <c r="S314" i="177"/>
  <c r="R314" i="177"/>
  <c r="U313" i="177"/>
  <c r="S313" i="177"/>
  <c r="R313" i="177"/>
  <c r="U312" i="177"/>
  <c r="S312" i="177"/>
  <c r="R312" i="177"/>
  <c r="U311" i="177"/>
  <c r="S311" i="177"/>
  <c r="R311" i="177"/>
  <c r="F309" i="177"/>
  <c r="C307" i="177"/>
  <c r="U301" i="177"/>
  <c r="S301" i="177"/>
  <c r="R301" i="177"/>
  <c r="U300" i="177"/>
  <c r="S300" i="177"/>
  <c r="R300" i="177"/>
  <c r="U299" i="177"/>
  <c r="S299" i="177"/>
  <c r="R299" i="177"/>
  <c r="U298" i="177"/>
  <c r="S298" i="177"/>
  <c r="R298" i="177"/>
  <c r="U297" i="177"/>
  <c r="S297" i="177"/>
  <c r="R297" i="177"/>
  <c r="U296" i="177"/>
  <c r="S296" i="177"/>
  <c r="R296" i="177"/>
  <c r="F294" i="177"/>
  <c r="C292" i="177"/>
  <c r="U286" i="177"/>
  <c r="S286" i="177"/>
  <c r="R286" i="177"/>
  <c r="U285" i="177"/>
  <c r="S285" i="177"/>
  <c r="R285" i="177"/>
  <c r="U284" i="177"/>
  <c r="S284" i="177"/>
  <c r="R284" i="177"/>
  <c r="U283" i="177"/>
  <c r="S283" i="177"/>
  <c r="R283" i="177"/>
  <c r="U282" i="177"/>
  <c r="S282" i="177"/>
  <c r="R282" i="177"/>
  <c r="U281" i="177"/>
  <c r="S281" i="177"/>
  <c r="R281" i="177"/>
  <c r="F279" i="177"/>
  <c r="C277" i="177"/>
  <c r="U271" i="177"/>
  <c r="S271" i="177"/>
  <c r="R271" i="177"/>
  <c r="U270" i="177"/>
  <c r="S270" i="177"/>
  <c r="R270" i="177"/>
  <c r="U269" i="177"/>
  <c r="S269" i="177"/>
  <c r="R269" i="177"/>
  <c r="U268" i="177"/>
  <c r="S268" i="177"/>
  <c r="R268" i="177"/>
  <c r="U267" i="177"/>
  <c r="S267" i="177"/>
  <c r="R267" i="177"/>
  <c r="U266" i="177"/>
  <c r="S266" i="177"/>
  <c r="R266" i="177"/>
  <c r="F264" i="177"/>
  <c r="C262" i="177"/>
  <c r="U256" i="177"/>
  <c r="S256" i="177"/>
  <c r="R256" i="177"/>
  <c r="U255" i="177"/>
  <c r="S255" i="177"/>
  <c r="R255" i="177"/>
  <c r="U254" i="177"/>
  <c r="S254" i="177"/>
  <c r="R254" i="177"/>
  <c r="U253" i="177"/>
  <c r="S253" i="177"/>
  <c r="R253" i="177"/>
  <c r="U252" i="177"/>
  <c r="S252" i="177"/>
  <c r="R252" i="177"/>
  <c r="U251" i="177"/>
  <c r="S251" i="177"/>
  <c r="R251" i="177"/>
  <c r="F249" i="177"/>
  <c r="C247" i="177"/>
  <c r="U241" i="177"/>
  <c r="S241" i="177"/>
  <c r="R241" i="177"/>
  <c r="U240" i="177"/>
  <c r="S240" i="177"/>
  <c r="R240" i="177"/>
  <c r="U239" i="177"/>
  <c r="S239" i="177"/>
  <c r="R239" i="177"/>
  <c r="U238" i="177"/>
  <c r="S238" i="177"/>
  <c r="R238" i="177"/>
  <c r="U237" i="177"/>
  <c r="S237" i="177"/>
  <c r="R237" i="177"/>
  <c r="U236" i="177"/>
  <c r="S236" i="177"/>
  <c r="R236" i="177"/>
  <c r="F234" i="177"/>
  <c r="C232" i="177"/>
  <c r="U226" i="177"/>
  <c r="S226" i="177"/>
  <c r="R226" i="177"/>
  <c r="U225" i="177"/>
  <c r="S225" i="177"/>
  <c r="R225" i="177"/>
  <c r="U224" i="177"/>
  <c r="S224" i="177"/>
  <c r="R224" i="177"/>
  <c r="U223" i="177"/>
  <c r="S223" i="177"/>
  <c r="R223" i="177"/>
  <c r="U222" i="177"/>
  <c r="S222" i="177"/>
  <c r="R222" i="177"/>
  <c r="U221" i="177"/>
  <c r="S221" i="177"/>
  <c r="R221" i="177"/>
  <c r="F219" i="177"/>
  <c r="C217" i="177"/>
  <c r="U211" i="177"/>
  <c r="S211" i="177"/>
  <c r="R211" i="177"/>
  <c r="U210" i="177"/>
  <c r="S210" i="177"/>
  <c r="R210" i="177"/>
  <c r="U209" i="177"/>
  <c r="S209" i="177"/>
  <c r="R209" i="177"/>
  <c r="U208" i="177"/>
  <c r="S208" i="177"/>
  <c r="R208" i="177"/>
  <c r="U207" i="177"/>
  <c r="S207" i="177"/>
  <c r="R207" i="177"/>
  <c r="U206" i="177"/>
  <c r="S206" i="177"/>
  <c r="R206" i="177"/>
  <c r="F204" i="177"/>
  <c r="C202" i="177"/>
  <c r="U196" i="177"/>
  <c r="S196" i="177"/>
  <c r="R196" i="177"/>
  <c r="U195" i="177"/>
  <c r="S195" i="177"/>
  <c r="R195" i="177"/>
  <c r="U194" i="177"/>
  <c r="S194" i="177"/>
  <c r="R194" i="177"/>
  <c r="U193" i="177"/>
  <c r="S193" i="177"/>
  <c r="R193" i="177"/>
  <c r="U192" i="177"/>
  <c r="S192" i="177"/>
  <c r="R192" i="177"/>
  <c r="U191" i="177"/>
  <c r="S191" i="177"/>
  <c r="R191" i="177"/>
  <c r="F189" i="177"/>
  <c r="C187" i="177"/>
  <c r="U181" i="177"/>
  <c r="S181" i="177"/>
  <c r="R181" i="177"/>
  <c r="U180" i="177"/>
  <c r="S180" i="177"/>
  <c r="R180" i="177"/>
  <c r="U179" i="177"/>
  <c r="S179" i="177"/>
  <c r="R179" i="177"/>
  <c r="U178" i="177"/>
  <c r="S178" i="177"/>
  <c r="R178" i="177"/>
  <c r="U177" i="177"/>
  <c r="S177" i="177"/>
  <c r="R177" i="177"/>
  <c r="U176" i="177"/>
  <c r="S176" i="177"/>
  <c r="R176" i="177"/>
  <c r="F174" i="177"/>
  <c r="C172" i="177"/>
  <c r="U166" i="177"/>
  <c r="S166" i="177"/>
  <c r="R166" i="177"/>
  <c r="U165" i="177"/>
  <c r="S165" i="177"/>
  <c r="R165" i="177"/>
  <c r="U164" i="177"/>
  <c r="S164" i="177"/>
  <c r="R164" i="177"/>
  <c r="U163" i="177"/>
  <c r="S163" i="177"/>
  <c r="R163" i="177"/>
  <c r="U162" i="177"/>
  <c r="S162" i="177"/>
  <c r="R162" i="177"/>
  <c r="U161" i="177"/>
  <c r="S161" i="177"/>
  <c r="R161" i="177"/>
  <c r="F159" i="177"/>
  <c r="C157" i="177"/>
  <c r="U151" i="177"/>
  <c r="S151" i="177"/>
  <c r="R151" i="177"/>
  <c r="U150" i="177"/>
  <c r="S150" i="177"/>
  <c r="R150" i="177"/>
  <c r="U149" i="177"/>
  <c r="S149" i="177"/>
  <c r="R149" i="177"/>
  <c r="U148" i="177"/>
  <c r="S148" i="177"/>
  <c r="R148" i="177"/>
  <c r="U147" i="177"/>
  <c r="R144" i="177" s="1"/>
  <c r="F144" i="177" s="1"/>
  <c r="R147" i="177"/>
  <c r="S147" i="177" s="1"/>
  <c r="U146" i="177"/>
  <c r="S146" i="177"/>
  <c r="R146" i="177"/>
  <c r="C142" i="177"/>
  <c r="U136" i="177"/>
  <c r="S136" i="177"/>
  <c r="R136" i="177"/>
  <c r="U135" i="177"/>
  <c r="S135" i="177"/>
  <c r="R135" i="177"/>
  <c r="U134" i="177"/>
  <c r="S134" i="177"/>
  <c r="R134" i="177"/>
  <c r="U133" i="177"/>
  <c r="S133" i="177"/>
  <c r="R133" i="177"/>
  <c r="U132" i="177"/>
  <c r="S132" i="177"/>
  <c r="R132" i="177"/>
  <c r="U131" i="177"/>
  <c r="S131" i="177"/>
  <c r="R131" i="177"/>
  <c r="F129" i="177"/>
  <c r="C127" i="177"/>
  <c r="U121" i="177"/>
  <c r="S121" i="177"/>
  <c r="R121" i="177"/>
  <c r="U120" i="177"/>
  <c r="S120" i="177"/>
  <c r="R120" i="177"/>
  <c r="U119" i="177"/>
  <c r="S119" i="177"/>
  <c r="R119" i="177"/>
  <c r="U118" i="177"/>
  <c r="S118" i="177"/>
  <c r="R118" i="177"/>
  <c r="U117" i="177"/>
  <c r="S117" i="177"/>
  <c r="R117" i="177"/>
  <c r="U116" i="177"/>
  <c r="S116" i="177"/>
  <c r="R116" i="177"/>
  <c r="F114" i="177"/>
  <c r="C112" i="177"/>
  <c r="U106" i="177"/>
  <c r="S106" i="177"/>
  <c r="R106" i="177"/>
  <c r="U105" i="177"/>
  <c r="S105" i="177"/>
  <c r="R105" i="177"/>
  <c r="U104" i="177"/>
  <c r="S104" i="177"/>
  <c r="R104" i="177"/>
  <c r="U103" i="177"/>
  <c r="S103" i="177"/>
  <c r="R103" i="177"/>
  <c r="U102" i="177"/>
  <c r="S102" i="177"/>
  <c r="R102" i="177"/>
  <c r="U101" i="177"/>
  <c r="S101" i="177"/>
  <c r="R101" i="177"/>
  <c r="F99" i="177"/>
  <c r="C97" i="177"/>
  <c r="U91" i="177"/>
  <c r="S91" i="177"/>
  <c r="R91" i="177"/>
  <c r="U90" i="177"/>
  <c r="S90" i="177"/>
  <c r="R90" i="177"/>
  <c r="U89" i="177"/>
  <c r="S89" i="177"/>
  <c r="R89" i="177"/>
  <c r="U88" i="177"/>
  <c r="S88" i="177"/>
  <c r="R88" i="177"/>
  <c r="U87" i="177"/>
  <c r="S87" i="177"/>
  <c r="R87" i="177"/>
  <c r="U86" i="177"/>
  <c r="S86" i="177"/>
  <c r="R86" i="177"/>
  <c r="F84" i="177"/>
  <c r="C82" i="177"/>
  <c r="U76" i="177"/>
  <c r="S76" i="177"/>
  <c r="R76" i="177"/>
  <c r="U75" i="177"/>
  <c r="S75" i="177"/>
  <c r="R75" i="177"/>
  <c r="U74" i="177"/>
  <c r="S74" i="177"/>
  <c r="R74" i="177"/>
  <c r="U73" i="177"/>
  <c r="S73" i="177"/>
  <c r="R73" i="177"/>
  <c r="U72" i="177"/>
  <c r="S72" i="177"/>
  <c r="R72" i="177"/>
  <c r="U71" i="177"/>
  <c r="S71" i="177"/>
  <c r="R71" i="177"/>
  <c r="F69" i="177"/>
  <c r="C67" i="177"/>
  <c r="U61" i="177"/>
  <c r="S61" i="177"/>
  <c r="R61" i="177"/>
  <c r="U60" i="177"/>
  <c r="S60" i="177"/>
  <c r="R60" i="177"/>
  <c r="U59" i="177"/>
  <c r="S59" i="177"/>
  <c r="R59" i="177"/>
  <c r="U58" i="177"/>
  <c r="S58" i="177"/>
  <c r="R58" i="177"/>
  <c r="U57" i="177"/>
  <c r="S57" i="177"/>
  <c r="R57" i="177"/>
  <c r="U56" i="177"/>
  <c r="S56" i="177"/>
  <c r="R56" i="177"/>
  <c r="F54" i="177"/>
  <c r="C52" i="177"/>
  <c r="U46" i="177"/>
  <c r="S46" i="177"/>
  <c r="R46" i="177"/>
  <c r="U45" i="177"/>
  <c r="S45" i="177"/>
  <c r="R45" i="177"/>
  <c r="U44" i="177"/>
  <c r="S44" i="177"/>
  <c r="R44" i="177"/>
  <c r="U43" i="177"/>
  <c r="S43" i="177"/>
  <c r="R43" i="177"/>
  <c r="U42" i="177"/>
  <c r="S42" i="177"/>
  <c r="R42" i="177"/>
  <c r="U41" i="177"/>
  <c r="S41" i="177"/>
  <c r="R41" i="177"/>
  <c r="F39" i="177"/>
  <c r="C37" i="177"/>
  <c r="U31" i="177"/>
  <c r="S31" i="177"/>
  <c r="R31" i="177"/>
  <c r="U30" i="177"/>
  <c r="S30" i="177"/>
  <c r="R30" i="177"/>
  <c r="U29" i="177"/>
  <c r="R29" i="177"/>
  <c r="S29" i="177" s="1"/>
  <c r="U28" i="177"/>
  <c r="R28" i="177"/>
  <c r="S28" i="177" s="1"/>
  <c r="U27" i="177"/>
  <c r="R27" i="177"/>
  <c r="S27" i="177" s="1"/>
  <c r="U26" i="177"/>
  <c r="S26" i="177"/>
  <c r="R26" i="177"/>
  <c r="C22" i="177"/>
  <c r="R14" i="177"/>
  <c r="S14" i="177" s="1"/>
  <c r="U14" i="177"/>
  <c r="Y451" i="161"/>
  <c r="W451" i="161"/>
  <c r="U451" i="161"/>
  <c r="T451" i="161"/>
  <c r="R451" i="161"/>
  <c r="Y450" i="161"/>
  <c r="W450" i="161"/>
  <c r="U450" i="161"/>
  <c r="T450" i="161"/>
  <c r="R450" i="161"/>
  <c r="Y449" i="161"/>
  <c r="W449" i="161"/>
  <c r="U449" i="161"/>
  <c r="T449" i="161"/>
  <c r="R449" i="161"/>
  <c r="Y448" i="161"/>
  <c r="W448" i="161"/>
  <c r="U448" i="161"/>
  <c r="T448" i="161"/>
  <c r="R448" i="161"/>
  <c r="Y447" i="161"/>
  <c r="W447" i="161"/>
  <c r="U447" i="161"/>
  <c r="T447" i="161"/>
  <c r="R447" i="161"/>
  <c r="Y446" i="161"/>
  <c r="W446" i="161"/>
  <c r="U446" i="161"/>
  <c r="T446" i="161"/>
  <c r="R446" i="161"/>
  <c r="Y436" i="161"/>
  <c r="W436" i="161"/>
  <c r="U436" i="161"/>
  <c r="T436" i="161"/>
  <c r="R436" i="161"/>
  <c r="Y435" i="161"/>
  <c r="W435" i="161"/>
  <c r="U435" i="161"/>
  <c r="T435" i="161"/>
  <c r="R435" i="161"/>
  <c r="Y434" i="161"/>
  <c r="W434" i="161"/>
  <c r="U434" i="161"/>
  <c r="T434" i="161"/>
  <c r="R434" i="161"/>
  <c r="Y433" i="161"/>
  <c r="W433" i="161"/>
  <c r="U433" i="161"/>
  <c r="T433" i="161"/>
  <c r="R433" i="161"/>
  <c r="Y432" i="161"/>
  <c r="W432" i="161"/>
  <c r="U432" i="161"/>
  <c r="T432" i="161"/>
  <c r="R432" i="161"/>
  <c r="Y431" i="161"/>
  <c r="W431" i="161"/>
  <c r="U431" i="161"/>
  <c r="T431" i="161"/>
  <c r="R431" i="161"/>
  <c r="Y421" i="161"/>
  <c r="W421" i="161"/>
  <c r="U421" i="161"/>
  <c r="T421" i="161"/>
  <c r="R421" i="161"/>
  <c r="Y420" i="161"/>
  <c r="W420" i="161"/>
  <c r="U420" i="161"/>
  <c r="T420" i="161"/>
  <c r="R420" i="161"/>
  <c r="Y419" i="161"/>
  <c r="W419" i="161"/>
  <c r="U419" i="161"/>
  <c r="T419" i="161"/>
  <c r="R419" i="161"/>
  <c r="Y418" i="161"/>
  <c r="W418" i="161"/>
  <c r="U418" i="161"/>
  <c r="T418" i="161"/>
  <c r="R418" i="161"/>
  <c r="Y417" i="161"/>
  <c r="W417" i="161"/>
  <c r="U417" i="161"/>
  <c r="T417" i="161"/>
  <c r="R417" i="161"/>
  <c r="Y416" i="161"/>
  <c r="W416" i="161"/>
  <c r="U416" i="161"/>
  <c r="T416" i="161"/>
  <c r="R416" i="161"/>
  <c r="Y406" i="161"/>
  <c r="W406" i="161"/>
  <c r="U406" i="161"/>
  <c r="T406" i="161"/>
  <c r="R406" i="161"/>
  <c r="Y405" i="161"/>
  <c r="W405" i="161"/>
  <c r="U405" i="161"/>
  <c r="T405" i="161"/>
  <c r="R405" i="161"/>
  <c r="Y404" i="161"/>
  <c r="W404" i="161"/>
  <c r="U404" i="161"/>
  <c r="T404" i="161"/>
  <c r="R404" i="161"/>
  <c r="Y403" i="161"/>
  <c r="W403" i="161"/>
  <c r="U403" i="161"/>
  <c r="T403" i="161"/>
  <c r="R403" i="161"/>
  <c r="Y402" i="161"/>
  <c r="W402" i="161"/>
  <c r="U402" i="161"/>
  <c r="T402" i="161"/>
  <c r="R402" i="161"/>
  <c r="Y401" i="161"/>
  <c r="W401" i="161"/>
  <c r="U401" i="161"/>
  <c r="T401" i="161"/>
  <c r="R401" i="161"/>
  <c r="Y391" i="161"/>
  <c r="W391" i="161"/>
  <c r="U391" i="161"/>
  <c r="T391" i="161"/>
  <c r="R391" i="161"/>
  <c r="Y390" i="161"/>
  <c r="W390" i="161"/>
  <c r="U390" i="161"/>
  <c r="T390" i="161"/>
  <c r="R390" i="161"/>
  <c r="Y389" i="161"/>
  <c r="W389" i="161"/>
  <c r="U389" i="161"/>
  <c r="T389" i="161"/>
  <c r="R389" i="161"/>
  <c r="Y388" i="161"/>
  <c r="W388" i="161"/>
  <c r="U388" i="161"/>
  <c r="T388" i="161"/>
  <c r="R388" i="161"/>
  <c r="Y387" i="161"/>
  <c r="W387" i="161"/>
  <c r="U387" i="161"/>
  <c r="T387" i="161"/>
  <c r="R387" i="161"/>
  <c r="Y386" i="161"/>
  <c r="W386" i="161"/>
  <c r="U386" i="161"/>
  <c r="T386" i="161"/>
  <c r="R386" i="161"/>
  <c r="Y376" i="161"/>
  <c r="W376" i="161"/>
  <c r="U376" i="161"/>
  <c r="T376" i="161"/>
  <c r="R376" i="161"/>
  <c r="Y375" i="161"/>
  <c r="W375" i="161"/>
  <c r="U375" i="161"/>
  <c r="T375" i="161"/>
  <c r="R375" i="161"/>
  <c r="Y374" i="161"/>
  <c r="W374" i="161"/>
  <c r="U374" i="161"/>
  <c r="T374" i="161"/>
  <c r="R374" i="161"/>
  <c r="Y373" i="161"/>
  <c r="W373" i="161"/>
  <c r="U373" i="161"/>
  <c r="T373" i="161"/>
  <c r="R373" i="161"/>
  <c r="Y372" i="161"/>
  <c r="W372" i="161"/>
  <c r="U372" i="161"/>
  <c r="T372" i="161"/>
  <c r="R372" i="161"/>
  <c r="Y371" i="161"/>
  <c r="W371" i="161"/>
  <c r="U371" i="161"/>
  <c r="T371" i="161"/>
  <c r="R371" i="161"/>
  <c r="Y361" i="161"/>
  <c r="W361" i="161"/>
  <c r="U361" i="161"/>
  <c r="T361" i="161"/>
  <c r="R361" i="161"/>
  <c r="Y360" i="161"/>
  <c r="W360" i="161"/>
  <c r="U360" i="161"/>
  <c r="T360" i="161"/>
  <c r="R360" i="161"/>
  <c r="Y359" i="161"/>
  <c r="W359" i="161"/>
  <c r="U359" i="161"/>
  <c r="T359" i="161"/>
  <c r="R359" i="161"/>
  <c r="Y358" i="161"/>
  <c r="W358" i="161"/>
  <c r="U358" i="161"/>
  <c r="T358" i="161"/>
  <c r="R358" i="161"/>
  <c r="Y357" i="161"/>
  <c r="W357" i="161"/>
  <c r="U357" i="161"/>
  <c r="T357" i="161"/>
  <c r="R357" i="161"/>
  <c r="Y356" i="161"/>
  <c r="W356" i="161"/>
  <c r="U356" i="161"/>
  <c r="T356" i="161"/>
  <c r="R356" i="161"/>
  <c r="Y346" i="161"/>
  <c r="W346" i="161"/>
  <c r="U346" i="161"/>
  <c r="T346" i="161"/>
  <c r="R346" i="161"/>
  <c r="Y345" i="161"/>
  <c r="W345" i="161"/>
  <c r="U345" i="161"/>
  <c r="T345" i="161"/>
  <c r="R345" i="161"/>
  <c r="Y344" i="161"/>
  <c r="W344" i="161"/>
  <c r="U344" i="161"/>
  <c r="T344" i="161"/>
  <c r="R344" i="161"/>
  <c r="Y343" i="161"/>
  <c r="W343" i="161"/>
  <c r="U343" i="161"/>
  <c r="T343" i="161"/>
  <c r="R343" i="161"/>
  <c r="Y342" i="161"/>
  <c r="W342" i="161"/>
  <c r="U342" i="161"/>
  <c r="T342" i="161"/>
  <c r="R342" i="161"/>
  <c r="Y341" i="161"/>
  <c r="W341" i="161"/>
  <c r="U341" i="161"/>
  <c r="T341" i="161"/>
  <c r="R341" i="161"/>
  <c r="Y331" i="161"/>
  <c r="W331" i="161"/>
  <c r="U331" i="161"/>
  <c r="T331" i="161"/>
  <c r="R331" i="161"/>
  <c r="Y330" i="161"/>
  <c r="W330" i="161"/>
  <c r="U330" i="161"/>
  <c r="T330" i="161"/>
  <c r="R330" i="161"/>
  <c r="Y329" i="161"/>
  <c r="W329" i="161"/>
  <c r="U329" i="161"/>
  <c r="T329" i="161"/>
  <c r="R329" i="161"/>
  <c r="Y328" i="161"/>
  <c r="W328" i="161"/>
  <c r="U328" i="161"/>
  <c r="T328" i="161"/>
  <c r="R328" i="161"/>
  <c r="Y327" i="161"/>
  <c r="W327" i="161"/>
  <c r="U327" i="161"/>
  <c r="T327" i="161"/>
  <c r="R327" i="161"/>
  <c r="Y326" i="161"/>
  <c r="W326" i="161"/>
  <c r="U326" i="161"/>
  <c r="T326" i="161"/>
  <c r="R326" i="161"/>
  <c r="Y316" i="161"/>
  <c r="W316" i="161"/>
  <c r="U316" i="161"/>
  <c r="T316" i="161"/>
  <c r="R316" i="161"/>
  <c r="Y315" i="161"/>
  <c r="W315" i="161"/>
  <c r="U315" i="161"/>
  <c r="T315" i="161"/>
  <c r="R315" i="161"/>
  <c r="Y314" i="161"/>
  <c r="W314" i="161"/>
  <c r="U314" i="161"/>
  <c r="T314" i="161"/>
  <c r="R314" i="161"/>
  <c r="Y313" i="161"/>
  <c r="W313" i="161"/>
  <c r="U313" i="161"/>
  <c r="T313" i="161"/>
  <c r="R313" i="161"/>
  <c r="Y312" i="161"/>
  <c r="W312" i="161"/>
  <c r="U312" i="161"/>
  <c r="T312" i="161"/>
  <c r="R312" i="161"/>
  <c r="Y311" i="161"/>
  <c r="W311" i="161"/>
  <c r="U311" i="161"/>
  <c r="T311" i="161"/>
  <c r="R311" i="161"/>
  <c r="Y301" i="161"/>
  <c r="W301" i="161"/>
  <c r="U301" i="161"/>
  <c r="T301" i="161"/>
  <c r="R301" i="161"/>
  <c r="Y300" i="161"/>
  <c r="W300" i="161"/>
  <c r="U300" i="161"/>
  <c r="T300" i="161"/>
  <c r="R300" i="161"/>
  <c r="Y299" i="161"/>
  <c r="W299" i="161"/>
  <c r="U299" i="161"/>
  <c r="T299" i="161"/>
  <c r="R299" i="161"/>
  <c r="Y298" i="161"/>
  <c r="W298" i="161"/>
  <c r="U298" i="161"/>
  <c r="T298" i="161"/>
  <c r="R298" i="161"/>
  <c r="Y297" i="161"/>
  <c r="W297" i="161"/>
  <c r="U297" i="161"/>
  <c r="T297" i="161"/>
  <c r="R297" i="161"/>
  <c r="Y296" i="161"/>
  <c r="W296" i="161"/>
  <c r="U296" i="161"/>
  <c r="T296" i="161"/>
  <c r="R296" i="161"/>
  <c r="Y286" i="161"/>
  <c r="W286" i="161"/>
  <c r="U286" i="161"/>
  <c r="T286" i="161"/>
  <c r="R286" i="161"/>
  <c r="Y285" i="161"/>
  <c r="W285" i="161"/>
  <c r="U285" i="161"/>
  <c r="T285" i="161"/>
  <c r="R285" i="161"/>
  <c r="Y284" i="161"/>
  <c r="W284" i="161"/>
  <c r="U284" i="161"/>
  <c r="T284" i="161"/>
  <c r="R284" i="161"/>
  <c r="Y283" i="161"/>
  <c r="W283" i="161"/>
  <c r="U283" i="161"/>
  <c r="T283" i="161"/>
  <c r="R283" i="161"/>
  <c r="Y282" i="161"/>
  <c r="W282" i="161"/>
  <c r="U282" i="161"/>
  <c r="T282" i="161"/>
  <c r="R282" i="161"/>
  <c r="Y281" i="161"/>
  <c r="W281" i="161"/>
  <c r="U281" i="161"/>
  <c r="T281" i="161"/>
  <c r="R281" i="161"/>
  <c r="Y271" i="161"/>
  <c r="W271" i="161"/>
  <c r="U271" i="161"/>
  <c r="T271" i="161"/>
  <c r="R271" i="161"/>
  <c r="Y270" i="161"/>
  <c r="W270" i="161"/>
  <c r="U270" i="161"/>
  <c r="T270" i="161"/>
  <c r="R270" i="161"/>
  <c r="Y269" i="161"/>
  <c r="W269" i="161"/>
  <c r="U269" i="161"/>
  <c r="T269" i="161"/>
  <c r="R269" i="161"/>
  <c r="Y268" i="161"/>
  <c r="W268" i="161"/>
  <c r="U268" i="161"/>
  <c r="T268" i="161"/>
  <c r="R268" i="161"/>
  <c r="Y267" i="161"/>
  <c r="W267" i="161"/>
  <c r="U267" i="161"/>
  <c r="T267" i="161"/>
  <c r="R267" i="161"/>
  <c r="Y266" i="161"/>
  <c r="W266" i="161"/>
  <c r="U266" i="161"/>
  <c r="T266" i="161"/>
  <c r="R266" i="161"/>
  <c r="Y256" i="161"/>
  <c r="W256" i="161"/>
  <c r="U256" i="161"/>
  <c r="T256" i="161"/>
  <c r="R256" i="161"/>
  <c r="Y255" i="161"/>
  <c r="W255" i="161"/>
  <c r="U255" i="161"/>
  <c r="T255" i="161"/>
  <c r="R255" i="161"/>
  <c r="Y254" i="161"/>
  <c r="W254" i="161"/>
  <c r="U254" i="161"/>
  <c r="T254" i="161"/>
  <c r="R254" i="161"/>
  <c r="Y253" i="161"/>
  <c r="W253" i="161"/>
  <c r="U253" i="161"/>
  <c r="T253" i="161"/>
  <c r="R253" i="161"/>
  <c r="Y252" i="161"/>
  <c r="W252" i="161"/>
  <c r="U252" i="161"/>
  <c r="T252" i="161"/>
  <c r="R252" i="161"/>
  <c r="Y251" i="161"/>
  <c r="W251" i="161"/>
  <c r="U251" i="161"/>
  <c r="T251" i="161"/>
  <c r="R251" i="161"/>
  <c r="Y241" i="161"/>
  <c r="W241" i="161"/>
  <c r="U241" i="161"/>
  <c r="T241" i="161"/>
  <c r="R241" i="161"/>
  <c r="Y240" i="161"/>
  <c r="W240" i="161"/>
  <c r="U240" i="161"/>
  <c r="T240" i="161"/>
  <c r="R240" i="161"/>
  <c r="Y239" i="161"/>
  <c r="W239" i="161"/>
  <c r="U239" i="161"/>
  <c r="T239" i="161"/>
  <c r="R239" i="161"/>
  <c r="Y238" i="161"/>
  <c r="W238" i="161"/>
  <c r="U238" i="161"/>
  <c r="T238" i="161"/>
  <c r="R238" i="161"/>
  <c r="Y237" i="161"/>
  <c r="W237" i="161"/>
  <c r="U237" i="161"/>
  <c r="T237" i="161"/>
  <c r="R237" i="161"/>
  <c r="Y236" i="161"/>
  <c r="W236" i="161"/>
  <c r="U236" i="161"/>
  <c r="T236" i="161"/>
  <c r="R236" i="161"/>
  <c r="Y226" i="161"/>
  <c r="W226" i="161"/>
  <c r="U226" i="161"/>
  <c r="T226" i="161"/>
  <c r="R226" i="161"/>
  <c r="Y225" i="161"/>
  <c r="W225" i="161"/>
  <c r="U225" i="161"/>
  <c r="T225" i="161"/>
  <c r="R225" i="161"/>
  <c r="Y224" i="161"/>
  <c r="W224" i="161"/>
  <c r="U224" i="161"/>
  <c r="T224" i="161"/>
  <c r="R224" i="161"/>
  <c r="Y223" i="161"/>
  <c r="W223" i="161"/>
  <c r="U223" i="161"/>
  <c r="T223" i="161"/>
  <c r="R223" i="161"/>
  <c r="Y222" i="161"/>
  <c r="W222" i="161"/>
  <c r="U222" i="161"/>
  <c r="T222" i="161"/>
  <c r="R222" i="161"/>
  <c r="Y221" i="161"/>
  <c r="W221" i="161"/>
  <c r="U221" i="161"/>
  <c r="T221" i="161"/>
  <c r="R221" i="161"/>
  <c r="Y211" i="161"/>
  <c r="W211" i="161"/>
  <c r="U211" i="161"/>
  <c r="T211" i="161"/>
  <c r="R211" i="161"/>
  <c r="Y210" i="161"/>
  <c r="W210" i="161"/>
  <c r="U210" i="161"/>
  <c r="T210" i="161"/>
  <c r="R210" i="161"/>
  <c r="Y209" i="161"/>
  <c r="W209" i="161"/>
  <c r="U209" i="161"/>
  <c r="T209" i="161"/>
  <c r="R209" i="161"/>
  <c r="Y208" i="161"/>
  <c r="W208" i="161"/>
  <c r="U208" i="161"/>
  <c r="T208" i="161"/>
  <c r="R208" i="161"/>
  <c r="Y207" i="161"/>
  <c r="W207" i="161"/>
  <c r="U207" i="161"/>
  <c r="T207" i="161"/>
  <c r="R207" i="161"/>
  <c r="Y206" i="161"/>
  <c r="W206" i="161"/>
  <c r="U206" i="161"/>
  <c r="T206" i="161"/>
  <c r="R206" i="161"/>
  <c r="Y196" i="161"/>
  <c r="W196" i="161"/>
  <c r="U196" i="161"/>
  <c r="T196" i="161"/>
  <c r="R196" i="161"/>
  <c r="Y195" i="161"/>
  <c r="W195" i="161"/>
  <c r="U195" i="161"/>
  <c r="T195" i="161"/>
  <c r="R195" i="161"/>
  <c r="Y194" i="161"/>
  <c r="W194" i="161"/>
  <c r="U194" i="161"/>
  <c r="T194" i="161"/>
  <c r="R194" i="161"/>
  <c r="Y193" i="161"/>
  <c r="W193" i="161"/>
  <c r="U193" i="161"/>
  <c r="T193" i="161"/>
  <c r="R193" i="161"/>
  <c r="Y192" i="161"/>
  <c r="W192" i="161"/>
  <c r="U192" i="161"/>
  <c r="T192" i="161"/>
  <c r="R192" i="161"/>
  <c r="Y191" i="161"/>
  <c r="W191" i="161"/>
  <c r="U191" i="161"/>
  <c r="T191" i="161"/>
  <c r="R191" i="161"/>
  <c r="Y181" i="161"/>
  <c r="W181" i="161"/>
  <c r="U181" i="161"/>
  <c r="T181" i="161"/>
  <c r="R181" i="161"/>
  <c r="Y180" i="161"/>
  <c r="W180" i="161"/>
  <c r="U180" i="161"/>
  <c r="T180" i="161"/>
  <c r="R180" i="161"/>
  <c r="Y179" i="161"/>
  <c r="W179" i="161"/>
  <c r="U179" i="161"/>
  <c r="T179" i="161"/>
  <c r="R179" i="161"/>
  <c r="Y178" i="161"/>
  <c r="W178" i="161"/>
  <c r="U178" i="161"/>
  <c r="T178" i="161"/>
  <c r="R178" i="161"/>
  <c r="Y177" i="161"/>
  <c r="W177" i="161"/>
  <c r="U177" i="161"/>
  <c r="T177" i="161"/>
  <c r="R177" i="161"/>
  <c r="Y176" i="161"/>
  <c r="W176" i="161"/>
  <c r="U176" i="161"/>
  <c r="T176" i="161"/>
  <c r="R176" i="161"/>
  <c r="Y166" i="161"/>
  <c r="W166" i="161"/>
  <c r="U166" i="161"/>
  <c r="T166" i="161"/>
  <c r="R166" i="161"/>
  <c r="Y165" i="161"/>
  <c r="W165" i="161"/>
  <c r="U165" i="161"/>
  <c r="T165" i="161"/>
  <c r="R165" i="161"/>
  <c r="Y164" i="161"/>
  <c r="W164" i="161"/>
  <c r="U164" i="161"/>
  <c r="T164" i="161"/>
  <c r="R164" i="161"/>
  <c r="Y163" i="161"/>
  <c r="W163" i="161"/>
  <c r="U163" i="161"/>
  <c r="T163" i="161"/>
  <c r="R163" i="161"/>
  <c r="Y162" i="161"/>
  <c r="W162" i="161"/>
  <c r="U162" i="161"/>
  <c r="T162" i="161"/>
  <c r="R162" i="161"/>
  <c r="Y161" i="161"/>
  <c r="W161" i="161"/>
  <c r="U161" i="161"/>
  <c r="T161" i="161"/>
  <c r="R161" i="161"/>
  <c r="Y151" i="161"/>
  <c r="W151" i="161"/>
  <c r="U151" i="161"/>
  <c r="T151" i="161"/>
  <c r="R151" i="161"/>
  <c r="Y150" i="161"/>
  <c r="W150" i="161"/>
  <c r="U150" i="161"/>
  <c r="T150" i="161"/>
  <c r="R150" i="161"/>
  <c r="Y149" i="161"/>
  <c r="W149" i="161"/>
  <c r="U149" i="161"/>
  <c r="T149" i="161"/>
  <c r="R149" i="161"/>
  <c r="Y148" i="161"/>
  <c r="W148" i="161"/>
  <c r="U148" i="161"/>
  <c r="T148" i="161"/>
  <c r="R148" i="161"/>
  <c r="Y147" i="161"/>
  <c r="W147" i="161"/>
  <c r="U147" i="161"/>
  <c r="T147" i="161"/>
  <c r="R147" i="161"/>
  <c r="Y146" i="161"/>
  <c r="W146" i="161"/>
  <c r="U146" i="161"/>
  <c r="T146" i="161"/>
  <c r="R146" i="161"/>
  <c r="Y136" i="161"/>
  <c r="W136" i="161"/>
  <c r="U136" i="161"/>
  <c r="T136" i="161"/>
  <c r="R136" i="161"/>
  <c r="Y135" i="161"/>
  <c r="W135" i="161"/>
  <c r="U135" i="161"/>
  <c r="T135" i="161"/>
  <c r="R135" i="161"/>
  <c r="Y134" i="161"/>
  <c r="W134" i="161"/>
  <c r="U134" i="161"/>
  <c r="T134" i="161"/>
  <c r="R134" i="161"/>
  <c r="Y133" i="161"/>
  <c r="W133" i="161"/>
  <c r="U133" i="161"/>
  <c r="T133" i="161"/>
  <c r="R133" i="161"/>
  <c r="Y132" i="161"/>
  <c r="W132" i="161"/>
  <c r="U132" i="161"/>
  <c r="T132" i="161"/>
  <c r="R132" i="161"/>
  <c r="Y131" i="161"/>
  <c r="W131" i="161"/>
  <c r="U131" i="161"/>
  <c r="T131" i="161"/>
  <c r="R131" i="161"/>
  <c r="Y121" i="161"/>
  <c r="W121" i="161"/>
  <c r="U121" i="161"/>
  <c r="T121" i="161"/>
  <c r="R121" i="161"/>
  <c r="Y120" i="161"/>
  <c r="W120" i="161"/>
  <c r="U120" i="161"/>
  <c r="T120" i="161"/>
  <c r="R120" i="161"/>
  <c r="Y119" i="161"/>
  <c r="W119" i="161"/>
  <c r="U119" i="161"/>
  <c r="T119" i="161"/>
  <c r="R119" i="161"/>
  <c r="Y118" i="161"/>
  <c r="W118" i="161"/>
  <c r="U118" i="161"/>
  <c r="T118" i="161"/>
  <c r="R118" i="161"/>
  <c r="Y117" i="161"/>
  <c r="W117" i="161"/>
  <c r="U117" i="161"/>
  <c r="T117" i="161"/>
  <c r="R117" i="161"/>
  <c r="Y116" i="161"/>
  <c r="W116" i="161"/>
  <c r="U116" i="161"/>
  <c r="T116" i="161"/>
  <c r="R116" i="161"/>
  <c r="Y106" i="161"/>
  <c r="W106" i="161"/>
  <c r="U106" i="161"/>
  <c r="T106" i="161"/>
  <c r="R106" i="161"/>
  <c r="Y105" i="161"/>
  <c r="W105" i="161"/>
  <c r="U105" i="161"/>
  <c r="T105" i="161"/>
  <c r="R105" i="161"/>
  <c r="Y104" i="161"/>
  <c r="W104" i="161"/>
  <c r="U104" i="161"/>
  <c r="T104" i="161"/>
  <c r="R104" i="161"/>
  <c r="Y103" i="161"/>
  <c r="W103" i="161"/>
  <c r="U103" i="161"/>
  <c r="T103" i="161"/>
  <c r="R103" i="161"/>
  <c r="Y102" i="161"/>
  <c r="W102" i="161"/>
  <c r="U102" i="161"/>
  <c r="T102" i="161"/>
  <c r="R102" i="161"/>
  <c r="Y101" i="161"/>
  <c r="W101" i="161"/>
  <c r="U101" i="161"/>
  <c r="T101" i="161"/>
  <c r="R101" i="161"/>
  <c r="Y91" i="161"/>
  <c r="W91" i="161"/>
  <c r="U91" i="161"/>
  <c r="T91" i="161"/>
  <c r="R91" i="161"/>
  <c r="Y90" i="161"/>
  <c r="W90" i="161"/>
  <c r="U90" i="161"/>
  <c r="T90" i="161"/>
  <c r="R90" i="161"/>
  <c r="Y89" i="161"/>
  <c r="W89" i="161"/>
  <c r="U89" i="161"/>
  <c r="T89" i="161"/>
  <c r="R89" i="161"/>
  <c r="Y88" i="161"/>
  <c r="W88" i="161"/>
  <c r="U88" i="161"/>
  <c r="T88" i="161"/>
  <c r="R88" i="161"/>
  <c r="Y87" i="161"/>
  <c r="W87" i="161"/>
  <c r="U87" i="161"/>
  <c r="T87" i="161"/>
  <c r="R87" i="161"/>
  <c r="Y86" i="161"/>
  <c r="W86" i="161"/>
  <c r="U86" i="161"/>
  <c r="T86" i="161"/>
  <c r="R86" i="161"/>
  <c r="Y76" i="161"/>
  <c r="W76" i="161"/>
  <c r="U76" i="161"/>
  <c r="T76" i="161"/>
  <c r="R76" i="161"/>
  <c r="Y75" i="161"/>
  <c r="W75" i="161"/>
  <c r="U75" i="161"/>
  <c r="T75" i="161"/>
  <c r="R75" i="161"/>
  <c r="Y74" i="161"/>
  <c r="W74" i="161"/>
  <c r="U74" i="161"/>
  <c r="T74" i="161"/>
  <c r="R74" i="161"/>
  <c r="Y73" i="161"/>
  <c r="W73" i="161"/>
  <c r="U73" i="161"/>
  <c r="T73" i="161"/>
  <c r="R73" i="161"/>
  <c r="Y72" i="161"/>
  <c r="W72" i="161"/>
  <c r="U72" i="161"/>
  <c r="T72" i="161"/>
  <c r="R72" i="161"/>
  <c r="Y71" i="161"/>
  <c r="W71" i="161"/>
  <c r="U71" i="161"/>
  <c r="T71" i="161"/>
  <c r="R71" i="161"/>
  <c r="Y61" i="161"/>
  <c r="W61" i="161"/>
  <c r="U61" i="161"/>
  <c r="T61" i="161"/>
  <c r="R61" i="161"/>
  <c r="Y60" i="161"/>
  <c r="W60" i="161"/>
  <c r="U60" i="161"/>
  <c r="T60" i="161"/>
  <c r="R60" i="161"/>
  <c r="Y59" i="161"/>
  <c r="W59" i="161"/>
  <c r="U59" i="161"/>
  <c r="T59" i="161"/>
  <c r="R59" i="161"/>
  <c r="Y58" i="161"/>
  <c r="W58" i="161"/>
  <c r="U58" i="161"/>
  <c r="T58" i="161"/>
  <c r="R58" i="161"/>
  <c r="Y57" i="161"/>
  <c r="W57" i="161"/>
  <c r="U57" i="161"/>
  <c r="T57" i="161"/>
  <c r="R57" i="161"/>
  <c r="Y56" i="161"/>
  <c r="W56" i="161"/>
  <c r="U56" i="161"/>
  <c r="T56" i="161"/>
  <c r="R56" i="161"/>
  <c r="Y46" i="161"/>
  <c r="W46" i="161"/>
  <c r="U46" i="161"/>
  <c r="T46" i="161"/>
  <c r="R46" i="161"/>
  <c r="Y45" i="161"/>
  <c r="W45" i="161"/>
  <c r="U45" i="161"/>
  <c r="T45" i="161"/>
  <c r="R45" i="161"/>
  <c r="Y44" i="161"/>
  <c r="W44" i="161"/>
  <c r="U44" i="161"/>
  <c r="T44" i="161"/>
  <c r="R44" i="161"/>
  <c r="Y43" i="161"/>
  <c r="W43" i="161"/>
  <c r="U43" i="161"/>
  <c r="T43" i="161"/>
  <c r="R43" i="161"/>
  <c r="Y42" i="161"/>
  <c r="W42" i="161"/>
  <c r="U42" i="161"/>
  <c r="T42" i="161"/>
  <c r="R42" i="161"/>
  <c r="Y41" i="161"/>
  <c r="W41" i="161"/>
  <c r="U41" i="161"/>
  <c r="T41" i="161"/>
  <c r="R41" i="161"/>
  <c r="Y31" i="161"/>
  <c r="W31" i="161"/>
  <c r="U31" i="161"/>
  <c r="T31" i="161"/>
  <c r="R31" i="161"/>
  <c r="W30" i="161"/>
  <c r="U30" i="161"/>
  <c r="T30" i="161"/>
  <c r="R30" i="161"/>
  <c r="W29" i="161"/>
  <c r="R29" i="161"/>
  <c r="T29" i="161" s="1"/>
  <c r="U29" i="161" s="1"/>
  <c r="R28" i="161"/>
  <c r="T28" i="161" s="1"/>
  <c r="U28" i="161" s="1"/>
  <c r="R27" i="161"/>
  <c r="T27" i="161" s="1"/>
  <c r="U27" i="161" s="1"/>
  <c r="Y26" i="161"/>
  <c r="W26" i="161"/>
  <c r="U26" i="161"/>
  <c r="T26" i="161"/>
  <c r="R26" i="161"/>
  <c r="C442" i="161"/>
  <c r="C427" i="161"/>
  <c r="C412" i="161"/>
  <c r="C397" i="161"/>
  <c r="C382" i="161"/>
  <c r="C367" i="161"/>
  <c r="C352" i="161"/>
  <c r="C337" i="161"/>
  <c r="C322" i="161"/>
  <c r="C307" i="161"/>
  <c r="C292" i="161"/>
  <c r="C277" i="161"/>
  <c r="C262" i="161"/>
  <c r="C247" i="161"/>
  <c r="C232" i="161"/>
  <c r="C217" i="161"/>
  <c r="C202" i="161"/>
  <c r="C187" i="161"/>
  <c r="C172" i="161"/>
  <c r="C157" i="161"/>
  <c r="C142" i="161"/>
  <c r="C127" i="161"/>
  <c r="C112" i="161"/>
  <c r="C97" i="161"/>
  <c r="C82" i="161"/>
  <c r="C67" i="161"/>
  <c r="C52" i="161"/>
  <c r="C37" i="161"/>
  <c r="C22" i="161"/>
  <c r="C413" i="165"/>
  <c r="C399" i="165"/>
  <c r="C385" i="165"/>
  <c r="C371" i="165"/>
  <c r="C357" i="165"/>
  <c r="C343" i="165"/>
  <c r="C329" i="165"/>
  <c r="C315" i="165"/>
  <c r="C301" i="165"/>
  <c r="C287" i="165"/>
  <c r="C273" i="165"/>
  <c r="C259" i="165"/>
  <c r="C245" i="165"/>
  <c r="C231" i="165"/>
  <c r="C217" i="165"/>
  <c r="C203" i="165"/>
  <c r="C189" i="165"/>
  <c r="C175" i="165"/>
  <c r="C161" i="165"/>
  <c r="C147" i="165"/>
  <c r="C133" i="165"/>
  <c r="C119" i="165"/>
  <c r="C105" i="165"/>
  <c r="C91" i="165"/>
  <c r="C77" i="165"/>
  <c r="C63" i="165"/>
  <c r="C49" i="165"/>
  <c r="C35" i="165"/>
  <c r="X57" i="161" l="1"/>
  <c r="Z57" i="161" s="1" a="1"/>
  <c r="Z57" i="161" s="1"/>
  <c r="X56" i="161"/>
  <c r="Z56" i="161" s="1" a="1"/>
  <c r="Z56" i="161" s="1"/>
  <c r="X58" i="161"/>
  <c r="X61" i="161"/>
  <c r="Z61" i="161" s="1" a="1"/>
  <c r="Z61" i="161" s="1"/>
  <c r="X60" i="161"/>
  <c r="X59" i="161"/>
  <c r="Z59" i="161" s="1" a="1"/>
  <c r="Z59" i="161" s="1"/>
  <c r="X117" i="161"/>
  <c r="Z117" i="161" s="1" a="1"/>
  <c r="Z117" i="161" s="1"/>
  <c r="X116" i="161"/>
  <c r="Z116" i="161" s="1" a="1"/>
  <c r="Z116" i="161" s="1"/>
  <c r="X121" i="161"/>
  <c r="Z121" i="161" s="1" a="1"/>
  <c r="Z121" i="161" s="1"/>
  <c r="X120" i="161"/>
  <c r="Z120" i="161" s="1" a="1"/>
  <c r="Z120" i="161" s="1"/>
  <c r="X119" i="161"/>
  <c r="X118" i="161"/>
  <c r="Z118" i="161" s="1" a="1"/>
  <c r="Z118" i="161" s="1"/>
  <c r="X177" i="161"/>
  <c r="X176" i="161"/>
  <c r="X181" i="161"/>
  <c r="X180" i="161"/>
  <c r="Z180" i="161" s="1" a="1"/>
  <c r="Z180" i="161" s="1"/>
  <c r="X178" i="161"/>
  <c r="Z178" i="161" s="1" a="1"/>
  <c r="Z178" i="161" s="1"/>
  <c r="X179" i="161"/>
  <c r="X237" i="161"/>
  <c r="Z237" i="161" s="1" a="1"/>
  <c r="Z237" i="161" s="1"/>
  <c r="X236" i="161"/>
  <c r="Z236" i="161" s="1" a="1"/>
  <c r="Z236" i="161" s="1"/>
  <c r="X238" i="161"/>
  <c r="Z238" i="161" s="1" a="1"/>
  <c r="Z238" i="161" s="1"/>
  <c r="X241" i="161"/>
  <c r="Z241" i="161" s="1" a="1"/>
  <c r="Z241" i="161" s="1"/>
  <c r="X240" i="161"/>
  <c r="X239" i="161"/>
  <c r="Z239" i="161" s="1" a="1"/>
  <c r="Z239" i="161" s="1"/>
  <c r="X297" i="161"/>
  <c r="Z297" i="161" s="1" a="1"/>
  <c r="Z297" i="161" s="1"/>
  <c r="X296" i="161"/>
  <c r="X301" i="161"/>
  <c r="X300" i="161"/>
  <c r="Z300" i="161" s="1" a="1"/>
  <c r="Z300" i="161" s="1"/>
  <c r="X298" i="161"/>
  <c r="Z298" i="161" s="1" a="1"/>
  <c r="Z298" i="161" s="1"/>
  <c r="X299" i="161"/>
  <c r="Z299" i="161" s="1" a="1"/>
  <c r="Z299" i="161" s="1"/>
  <c r="X357" i="161"/>
  <c r="Z357" i="161" s="1" a="1"/>
  <c r="Z357" i="161" s="1"/>
  <c r="X356" i="161"/>
  <c r="Z356" i="161" s="1" a="1"/>
  <c r="Z356" i="161" s="1"/>
  <c r="X361" i="161"/>
  <c r="Z361" i="161" s="1" a="1"/>
  <c r="Z361" i="161" s="1"/>
  <c r="X360" i="161"/>
  <c r="Z360" i="161" s="1" a="1"/>
  <c r="Z360" i="161" s="1"/>
  <c r="X359" i="161"/>
  <c r="X358" i="161"/>
  <c r="Z358" i="161" s="1" a="1"/>
  <c r="Z358" i="161" s="1"/>
  <c r="X417" i="161"/>
  <c r="X416" i="161"/>
  <c r="Z416" i="161" s="1" a="1"/>
  <c r="Z416" i="161" s="1"/>
  <c r="X418" i="161"/>
  <c r="Z418" i="161" s="1" a="1"/>
  <c r="Z418" i="161" s="1"/>
  <c r="X421" i="161"/>
  <c r="Z421" i="161" s="1" a="1"/>
  <c r="Z421" i="161" s="1"/>
  <c r="X420" i="161"/>
  <c r="Z420" i="161" s="1" a="1"/>
  <c r="Z420" i="161" s="1"/>
  <c r="X419" i="161"/>
  <c r="X46" i="161"/>
  <c r="X41" i="161"/>
  <c r="X45" i="161"/>
  <c r="X44" i="161"/>
  <c r="X43" i="161"/>
  <c r="Z43" i="161" s="1" a="1"/>
  <c r="Z43" i="161" s="1"/>
  <c r="X42" i="161"/>
  <c r="Z42" i="161" s="1" a="1"/>
  <c r="Z42" i="161" s="1"/>
  <c r="X106" i="161"/>
  <c r="Z106" i="161" s="1" a="1"/>
  <c r="Z106" i="161" s="1"/>
  <c r="X105" i="161"/>
  <c r="Z105" i="161" s="1" a="1"/>
  <c r="Z105" i="161" s="1"/>
  <c r="X104" i="161"/>
  <c r="X103" i="161"/>
  <c r="Z103" i="161" s="1" a="1"/>
  <c r="Z103" i="161" s="1"/>
  <c r="X101" i="161"/>
  <c r="X102" i="161"/>
  <c r="X161" i="161"/>
  <c r="Z161" i="161" s="1" a="1"/>
  <c r="Z161" i="161" s="1"/>
  <c r="X166" i="161"/>
  <c r="Z166" i="161" s="1" a="1"/>
  <c r="Z166" i="161" s="1"/>
  <c r="X165" i="161"/>
  <c r="Z165" i="161" s="1" a="1"/>
  <c r="Z165" i="161" s="1"/>
  <c r="X164" i="161"/>
  <c r="Z164" i="161" s="1" a="1"/>
  <c r="Z164" i="161" s="1"/>
  <c r="X163" i="161"/>
  <c r="X162" i="161"/>
  <c r="Z162" i="161" s="1" a="1"/>
  <c r="Z162" i="161" s="1"/>
  <c r="X221" i="161"/>
  <c r="X226" i="161"/>
  <c r="Z226" i="161" s="1" a="1"/>
  <c r="Z226" i="161" s="1"/>
  <c r="X225" i="161"/>
  <c r="X224" i="161"/>
  <c r="Z224" i="161" s="1" a="1"/>
  <c r="Z224" i="161" s="1"/>
  <c r="X223" i="161"/>
  <c r="Z223" i="161" s="1" a="1"/>
  <c r="Z223" i="161" s="1"/>
  <c r="X222" i="161"/>
  <c r="Z222" i="161" s="1" a="1"/>
  <c r="Z222" i="161" s="1"/>
  <c r="X281" i="161"/>
  <c r="Z281" i="161" s="1" a="1"/>
  <c r="Z281" i="161" s="1"/>
  <c r="X286" i="161"/>
  <c r="X285" i="161"/>
  <c r="X284" i="161"/>
  <c r="Z284" i="161" s="1" a="1"/>
  <c r="Z284" i="161" s="1"/>
  <c r="X283" i="161"/>
  <c r="X282" i="161"/>
  <c r="Z282" i="161" s="1" a="1"/>
  <c r="Z282" i="161" s="1"/>
  <c r="X346" i="161"/>
  <c r="Z346" i="161" s="1" a="1"/>
  <c r="Z346" i="161" s="1"/>
  <c r="X345" i="161"/>
  <c r="Z345" i="161" s="1" a="1"/>
  <c r="Z345" i="161" s="1"/>
  <c r="X344" i="161"/>
  <c r="Z344" i="161" s="1" a="1"/>
  <c r="Z344" i="161" s="1"/>
  <c r="X343" i="161"/>
  <c r="Z343" i="161" s="1" a="1"/>
  <c r="Z343" i="161" s="1"/>
  <c r="X341" i="161"/>
  <c r="X342" i="161"/>
  <c r="X406" i="161"/>
  <c r="Z406" i="161" s="1" a="1"/>
  <c r="Z406" i="161" s="1"/>
  <c r="X405" i="161"/>
  <c r="Z405" i="161" s="1" a="1"/>
  <c r="Z405" i="161" s="1"/>
  <c r="X401" i="161"/>
  <c r="Z401" i="161" s="1" a="1"/>
  <c r="Z401" i="161" s="1"/>
  <c r="X404" i="161"/>
  <c r="Z404" i="161" s="1" a="1"/>
  <c r="Z404" i="161" s="1"/>
  <c r="X403" i="161"/>
  <c r="X402" i="161"/>
  <c r="Z402" i="161" s="1" a="1"/>
  <c r="Z402" i="161" s="1"/>
  <c r="X91" i="161"/>
  <c r="X90" i="161"/>
  <c r="Z90" i="161" s="1" a="1"/>
  <c r="Z90" i="161" s="1"/>
  <c r="X89" i="161"/>
  <c r="Z89" i="161" s="1" a="1"/>
  <c r="Z89" i="161" s="1"/>
  <c r="X88" i="161"/>
  <c r="Z88" i="161" s="1" a="1"/>
  <c r="Z88" i="161" s="1"/>
  <c r="X87" i="161"/>
  <c r="Z87" i="161" s="1" a="1"/>
  <c r="Z87" i="161" s="1"/>
  <c r="X86" i="161"/>
  <c r="Z86" i="161" s="1" a="1"/>
  <c r="Z86" i="161" s="1"/>
  <c r="X151" i="161"/>
  <c r="X150" i="161"/>
  <c r="Z150" i="161" s="1" a="1"/>
  <c r="Z150" i="161" s="1"/>
  <c r="X149" i="161"/>
  <c r="X148" i="161"/>
  <c r="X147" i="161"/>
  <c r="X146" i="161"/>
  <c r="Z146" i="161" s="1" a="1"/>
  <c r="Z146" i="161" s="1"/>
  <c r="X211" i="161"/>
  <c r="Z211" i="161" s="1" a="1"/>
  <c r="Z211" i="161" s="1"/>
  <c r="X210" i="161"/>
  <c r="Z210" i="161" s="1" a="1"/>
  <c r="Z210" i="161" s="1"/>
  <c r="X209" i="161"/>
  <c r="X208" i="161"/>
  <c r="Z208" i="161" s="1" a="1"/>
  <c r="Z208" i="161" s="1"/>
  <c r="X207" i="161"/>
  <c r="X206" i="161"/>
  <c r="Z206" i="161" s="1" a="1"/>
  <c r="Z206" i="161" s="1"/>
  <c r="X271" i="161"/>
  <c r="Z271" i="161" s="1" a="1"/>
  <c r="Z271" i="161" s="1"/>
  <c r="X270" i="161"/>
  <c r="Z270" i="161" s="1" a="1"/>
  <c r="Z270" i="161" s="1"/>
  <c r="X269" i="161"/>
  <c r="Z269" i="161" s="1" a="1"/>
  <c r="Z269" i="161" s="1"/>
  <c r="X268" i="161"/>
  <c r="Z268" i="161" s="1" a="1"/>
  <c r="Z268" i="161" s="1"/>
  <c r="X267" i="161"/>
  <c r="X266" i="161"/>
  <c r="Z266" i="161" s="1" a="1"/>
  <c r="Z266" i="161" s="1"/>
  <c r="X331" i="161"/>
  <c r="X330" i="161"/>
  <c r="Z330" i="161" s="1" a="1"/>
  <c r="Z330" i="161" s="1"/>
  <c r="X329" i="161"/>
  <c r="X328" i="161"/>
  <c r="Z328" i="161" s="1" a="1"/>
  <c r="Z328" i="161" s="1"/>
  <c r="X327" i="161"/>
  <c r="Z327" i="161" s="1" a="1"/>
  <c r="Z327" i="161" s="1"/>
  <c r="X326" i="161"/>
  <c r="Z326" i="161" s="1" a="1"/>
  <c r="Z326" i="161" s="1"/>
  <c r="X391" i="161"/>
  <c r="Z391" i="161" s="1" a="1"/>
  <c r="Z391" i="161" s="1"/>
  <c r="X390" i="161"/>
  <c r="Z390" i="161" s="1" a="1"/>
  <c r="Z390" i="161" s="1"/>
  <c r="X389" i="161"/>
  <c r="X388" i="161"/>
  <c r="X387" i="161"/>
  <c r="Z387" i="161" s="1" a="1"/>
  <c r="Z387" i="161" s="1"/>
  <c r="X386" i="161"/>
  <c r="Z386" i="161" s="1" a="1"/>
  <c r="Z386" i="161" s="1"/>
  <c r="X451" i="161"/>
  <c r="Z451" i="161" s="1" a="1"/>
  <c r="Z451" i="161" s="1"/>
  <c r="X450" i="161"/>
  <c r="Z450" i="161" s="1" a="1"/>
  <c r="Z450" i="161" s="1"/>
  <c r="X449" i="161"/>
  <c r="Z449" i="161" s="1" a="1"/>
  <c r="Z449" i="161" s="1"/>
  <c r="X448" i="161"/>
  <c r="X447" i="161"/>
  <c r="X446" i="161"/>
  <c r="Z446" i="161" s="1" a="1"/>
  <c r="Z446" i="161" s="1"/>
  <c r="X74" i="161"/>
  <c r="Z74" i="161" s="1" a="1"/>
  <c r="Z74" i="161" s="1"/>
  <c r="X75" i="161"/>
  <c r="Z75" i="161" s="1" a="1"/>
  <c r="Z75" i="161" s="1"/>
  <c r="X73" i="161"/>
  <c r="X72" i="161"/>
  <c r="Z72" i="161" s="1" a="1"/>
  <c r="Z72" i="161" s="1"/>
  <c r="X71" i="161"/>
  <c r="Z71" i="161" s="1" a="1"/>
  <c r="Z71" i="161" s="1"/>
  <c r="X76" i="161"/>
  <c r="Z76" i="161" s="1" a="1"/>
  <c r="Z76" i="161" s="1"/>
  <c r="X134" i="161"/>
  <c r="X133" i="161"/>
  <c r="Z133" i="161" s="1" a="1"/>
  <c r="Z133" i="161" s="1"/>
  <c r="X132" i="161"/>
  <c r="Z132" i="161" s="1" a="1"/>
  <c r="Z132" i="161" s="1"/>
  <c r="X131" i="161"/>
  <c r="Z131" i="161" s="1" a="1"/>
  <c r="Z131" i="161" s="1"/>
  <c r="X135" i="161"/>
  <c r="Z135" i="161" s="1" a="1"/>
  <c r="Z135" i="161" s="1"/>
  <c r="X136" i="161"/>
  <c r="Z136" i="161" s="1" a="1"/>
  <c r="Z136" i="161" s="1"/>
  <c r="X194" i="161"/>
  <c r="Z194" i="161" s="1" a="1"/>
  <c r="Z194" i="161" s="1"/>
  <c r="X193" i="161"/>
  <c r="Z193" i="161" s="1" a="1"/>
  <c r="Z193" i="161" s="1"/>
  <c r="X192" i="161"/>
  <c r="X195" i="161"/>
  <c r="X191" i="161"/>
  <c r="Z191" i="161" s="1" a="1"/>
  <c r="Z191" i="161" s="1"/>
  <c r="X196" i="161"/>
  <c r="Z196" i="161" s="1" a="1"/>
  <c r="Z196" i="161" s="1"/>
  <c r="X254" i="161"/>
  <c r="Z254" i="161" s="1" a="1"/>
  <c r="Z254" i="161" s="1"/>
  <c r="X253" i="161"/>
  <c r="Z253" i="161" s="1" a="1"/>
  <c r="Z253" i="161" s="1"/>
  <c r="X252" i="161"/>
  <c r="Z252" i="161" s="1" a="1"/>
  <c r="Z252" i="161" s="1"/>
  <c r="X251" i="161"/>
  <c r="Z251" i="161" s="1" a="1"/>
  <c r="Z251" i="161" s="1"/>
  <c r="X256" i="161"/>
  <c r="X255" i="161"/>
  <c r="Z255" i="161" s="1" a="1"/>
  <c r="Z255" i="161" s="1"/>
  <c r="X314" i="161"/>
  <c r="Z314" i="161" s="1" a="1"/>
  <c r="Z314" i="161" s="1"/>
  <c r="X313" i="161"/>
  <c r="Z313" i="161" s="1" a="1"/>
  <c r="Z313" i="161" s="1"/>
  <c r="X315" i="161"/>
  <c r="Z315" i="161" s="1" a="1"/>
  <c r="Z315" i="161" s="1"/>
  <c r="X312" i="161"/>
  <c r="Z312" i="161" s="1" a="1"/>
  <c r="Z312" i="161" s="1"/>
  <c r="X311" i="161"/>
  <c r="X316" i="161"/>
  <c r="Z316" i="161" s="1" a="1"/>
  <c r="Z316" i="161" s="1"/>
  <c r="X374" i="161"/>
  <c r="X375" i="161"/>
  <c r="X373" i="161"/>
  <c r="Z373" i="161" s="1" a="1"/>
  <c r="Z373" i="161" s="1"/>
  <c r="X372" i="161"/>
  <c r="Z372" i="161" s="1" a="1"/>
  <c r="Z372" i="161" s="1"/>
  <c r="X371" i="161"/>
  <c r="Z371" i="161" s="1" a="1"/>
  <c r="Z371" i="161" s="1"/>
  <c r="X376" i="161"/>
  <c r="Z376" i="161" s="1" a="1"/>
  <c r="Z376" i="161" s="1"/>
  <c r="X434" i="161"/>
  <c r="Z434" i="161" s="1" a="1"/>
  <c r="Z434" i="161" s="1"/>
  <c r="X433" i="161"/>
  <c r="Z433" i="161" s="1" a="1"/>
  <c r="Z433" i="161" s="1"/>
  <c r="X435" i="161"/>
  <c r="X432" i="161"/>
  <c r="Z432" i="161" s="1" a="1"/>
  <c r="Z432" i="161" s="1"/>
  <c r="X431" i="161"/>
  <c r="Z431" i="161" s="1" a="1"/>
  <c r="Z431" i="161" s="1"/>
  <c r="X436" i="161"/>
  <c r="Z436" i="161" s="1" a="1"/>
  <c r="Z436" i="161" s="1"/>
  <c r="T449" i="177"/>
  <c r="V449" i="177" s="1" a="1"/>
  <c r="V449" i="177" s="1"/>
  <c r="T448" i="177"/>
  <c r="V448" i="177" s="1" a="1"/>
  <c r="V448" i="177" s="1"/>
  <c r="T447" i="177"/>
  <c r="V447" i="177" s="1" a="1"/>
  <c r="V447" i="177" s="1"/>
  <c r="T451" i="177"/>
  <c r="V451" i="177" s="1" a="1"/>
  <c r="V451" i="177" s="1"/>
  <c r="T450" i="177"/>
  <c r="T446" i="177"/>
  <c r="T432" i="177"/>
  <c r="V432" i="177" s="1" a="1"/>
  <c r="V432" i="177" s="1"/>
  <c r="T431" i="177"/>
  <c r="V431" i="177" s="1" a="1"/>
  <c r="V431" i="177" s="1"/>
  <c r="T434" i="177"/>
  <c r="T433" i="177"/>
  <c r="V433" i="177" s="1" a="1"/>
  <c r="V433" i="177" s="1"/>
  <c r="T436" i="177"/>
  <c r="V436" i="177" s="1" a="1"/>
  <c r="V436" i="177" s="1"/>
  <c r="T435" i="177"/>
  <c r="T417" i="177"/>
  <c r="T416" i="177"/>
  <c r="V416" i="177" s="1" a="1"/>
  <c r="V416" i="177" s="1"/>
  <c r="T419" i="177"/>
  <c r="V419" i="177" s="1" a="1"/>
  <c r="V419" i="177" s="1"/>
  <c r="T420" i="177"/>
  <c r="V420" i="177" s="1" a="1"/>
  <c r="V420" i="177" s="1"/>
  <c r="T421" i="177"/>
  <c r="T418" i="177"/>
  <c r="T404" i="177"/>
  <c r="V404" i="177" s="1" a="1"/>
  <c r="V404" i="177" s="1"/>
  <c r="T401" i="177"/>
  <c r="V401" i="177" s="1" a="1"/>
  <c r="V401" i="177" s="1"/>
  <c r="T406" i="177"/>
  <c r="V406" i="177" s="1" a="1"/>
  <c r="V406" i="177" s="1"/>
  <c r="T403" i="177"/>
  <c r="V403" i="177" s="1" a="1"/>
  <c r="V403" i="177" s="1"/>
  <c r="T402" i="177"/>
  <c r="V402" i="177" s="1" a="1"/>
  <c r="V402" i="177" s="1"/>
  <c r="T405" i="177"/>
  <c r="V405" i="177" s="1" a="1"/>
  <c r="V405" i="177" s="1"/>
  <c r="T389" i="177"/>
  <c r="V389" i="177" s="1" a="1"/>
  <c r="V389" i="177" s="1"/>
  <c r="T388" i="177"/>
  <c r="V388" i="177" s="1" a="1"/>
  <c r="V388" i="177" s="1"/>
  <c r="T387" i="177"/>
  <c r="V387" i="177" s="1" a="1"/>
  <c r="V387" i="177" s="1"/>
  <c r="T390" i="177"/>
  <c r="V390" i="177" s="1" a="1"/>
  <c r="V390" i="177" s="1"/>
  <c r="T386" i="177"/>
  <c r="T391" i="177"/>
  <c r="T374" i="177"/>
  <c r="T373" i="177"/>
  <c r="T372" i="177"/>
  <c r="T371" i="177"/>
  <c r="V371" i="177" s="1" a="1"/>
  <c r="V371" i="177" s="1"/>
  <c r="T376" i="177"/>
  <c r="V376" i="177" s="1" a="1"/>
  <c r="V376" i="177" s="1"/>
  <c r="T375" i="177"/>
  <c r="V375" i="177" s="1" a="1"/>
  <c r="V375" i="177" s="1"/>
  <c r="T357" i="177"/>
  <c r="V357" i="177" s="1" a="1"/>
  <c r="V357" i="177" s="1"/>
  <c r="T356" i="177"/>
  <c r="V356" i="177" s="1" a="1"/>
  <c r="V356" i="177" s="1"/>
  <c r="T361" i="177"/>
  <c r="V361" i="177" s="1" a="1"/>
  <c r="V361" i="177" s="1"/>
  <c r="T360" i="177"/>
  <c r="V360" i="177" s="1" a="1"/>
  <c r="V360" i="177" s="1"/>
  <c r="T359" i="177"/>
  <c r="V359" i="177" s="1" a="1"/>
  <c r="V359" i="177" s="1"/>
  <c r="T358" i="177"/>
  <c r="V358" i="177" s="1" a="1"/>
  <c r="V358" i="177" s="1"/>
  <c r="T344" i="177"/>
  <c r="V344" i="177" s="1" a="1"/>
  <c r="V344" i="177" s="1"/>
  <c r="T342" i="177"/>
  <c r="V342" i="177" s="1" a="1"/>
  <c r="V342" i="177" s="1"/>
  <c r="T343" i="177"/>
  <c r="T341" i="177"/>
  <c r="V341" i="177" s="1" a="1"/>
  <c r="V341" i="177" s="1"/>
  <c r="T346" i="177"/>
  <c r="T345" i="177"/>
  <c r="V345" i="177" s="1" a="1"/>
  <c r="V345" i="177" s="1"/>
  <c r="T331" i="177"/>
  <c r="V331" i="177" s="1" a="1"/>
  <c r="V331" i="177" s="1"/>
  <c r="T330" i="177"/>
  <c r="V330" i="177" s="1" a="1"/>
  <c r="V330" i="177" s="1"/>
  <c r="T329" i="177"/>
  <c r="V329" i="177" s="1" a="1"/>
  <c r="V329" i="177" s="1"/>
  <c r="T328" i="177"/>
  <c r="V328" i="177" s="1" a="1"/>
  <c r="V328" i="177" s="1"/>
  <c r="T327" i="177"/>
  <c r="V327" i="177" s="1" a="1"/>
  <c r="V327" i="177" s="1"/>
  <c r="T326" i="177"/>
  <c r="T314" i="177"/>
  <c r="V314" i="177" s="1" a="1"/>
  <c r="V314" i="177" s="1"/>
  <c r="T313" i="177"/>
  <c r="V313" i="177" s="1" a="1"/>
  <c r="V313" i="177" s="1"/>
  <c r="T312" i="177"/>
  <c r="V312" i="177" s="1" a="1"/>
  <c r="V312" i="177" s="1"/>
  <c r="T311" i="177"/>
  <c r="T316" i="177"/>
  <c r="V316" i="177" s="1" a="1"/>
  <c r="V316" i="177" s="1"/>
  <c r="T315" i="177"/>
  <c r="V315" i="177" s="1" a="1"/>
  <c r="V315" i="177" s="1"/>
  <c r="T301" i="177"/>
  <c r="T298" i="177"/>
  <c r="V298" i="177" s="1" a="1"/>
  <c r="V298" i="177" s="1"/>
  <c r="T297" i="177"/>
  <c r="V297" i="177" s="1" a="1"/>
  <c r="V297" i="177" s="1"/>
  <c r="T296" i="177"/>
  <c r="V296" i="177" s="1" a="1"/>
  <c r="V296" i="177" s="1"/>
  <c r="T300" i="177"/>
  <c r="V300" i="177" s="1" a="1"/>
  <c r="V300" i="177" s="1"/>
  <c r="T299" i="177"/>
  <c r="V299" i="177" s="1" a="1"/>
  <c r="V299" i="177" s="1"/>
  <c r="T283" i="177"/>
  <c r="V283" i="177" s="1" a="1"/>
  <c r="V283" i="177" s="1"/>
  <c r="T282" i="177"/>
  <c r="V282" i="177" s="1" a="1"/>
  <c r="V282" i="177" s="1"/>
  <c r="T286" i="177"/>
  <c r="V286" i="177" s="1" a="1"/>
  <c r="V286" i="177" s="1"/>
  <c r="T281" i="177"/>
  <c r="T285" i="177"/>
  <c r="V285" i="177" s="1" a="1"/>
  <c r="V285" i="177" s="1"/>
  <c r="T284" i="177"/>
  <c r="T271" i="177"/>
  <c r="T267" i="177"/>
  <c r="V267" i="177" s="1" a="1"/>
  <c r="V267" i="177" s="1"/>
  <c r="T270" i="177"/>
  <c r="V270" i="177" s="1" a="1"/>
  <c r="V270" i="177" s="1"/>
  <c r="T269" i="177"/>
  <c r="V269" i="177" s="1" a="1"/>
  <c r="V269" i="177" s="1"/>
  <c r="T268" i="177"/>
  <c r="T266" i="177"/>
  <c r="T254" i="177"/>
  <c r="V254" i="177" s="1" a="1"/>
  <c r="V254" i="177" s="1"/>
  <c r="T253" i="177"/>
  <c r="V253" i="177" s="1" a="1"/>
  <c r="V253" i="177" s="1"/>
  <c r="T252" i="177"/>
  <c r="V252" i="177" s="1" a="1"/>
  <c r="V252" i="177" s="1"/>
  <c r="T251" i="177"/>
  <c r="V251" i="177" s="1" a="1"/>
  <c r="V251" i="177" s="1"/>
  <c r="T256" i="177"/>
  <c r="V256" i="177" s="1" a="1"/>
  <c r="V256" i="177" s="1"/>
  <c r="T255" i="177"/>
  <c r="V255" i="177" s="1" a="1"/>
  <c r="V255" i="177" s="1"/>
  <c r="T237" i="177"/>
  <c r="V237" i="177" s="1" a="1"/>
  <c r="V237" i="177" s="1"/>
  <c r="T236" i="177"/>
  <c r="V236" i="177" s="1" a="1"/>
  <c r="V236" i="177" s="1"/>
  <c r="T239" i="177"/>
  <c r="V239" i="177" s="1" a="1"/>
  <c r="V239" i="177" s="1"/>
  <c r="T238" i="177"/>
  <c r="V238" i="177" s="1" a="1"/>
  <c r="V238" i="177" s="1"/>
  <c r="T241" i="177"/>
  <c r="T240" i="177"/>
  <c r="T222" i="177"/>
  <c r="V222" i="177" s="1" a="1"/>
  <c r="V222" i="177" s="1"/>
  <c r="T221" i="177"/>
  <c r="V221" i="177" s="1" a="1"/>
  <c r="V221" i="177" s="1"/>
  <c r="T226" i="177"/>
  <c r="V226" i="177" s="1" a="1"/>
  <c r="V226" i="177" s="1"/>
  <c r="T225" i="177"/>
  <c r="T224" i="177"/>
  <c r="V224" i="177" s="1" a="1"/>
  <c r="V224" i="177" s="1"/>
  <c r="T223" i="177"/>
  <c r="V223" i="177" s="1" a="1"/>
  <c r="V223" i="177" s="1"/>
  <c r="T211" i="177"/>
  <c r="T209" i="177"/>
  <c r="V209" i="177" s="1" a="1"/>
  <c r="V209" i="177" s="1"/>
  <c r="T208" i="177"/>
  <c r="V208" i="177" s="1" a="1"/>
  <c r="V208" i="177" s="1"/>
  <c r="T210" i="177"/>
  <c r="V210" i="177" s="1" a="1"/>
  <c r="V210" i="177" s="1"/>
  <c r="T207" i="177"/>
  <c r="V207" i="177" s="1" a="1"/>
  <c r="V207" i="177" s="1"/>
  <c r="T206" i="177"/>
  <c r="T192" i="177"/>
  <c r="V192" i="177" s="1" a="1"/>
  <c r="V192" i="177" s="1"/>
  <c r="T191" i="177"/>
  <c r="V191" i="177" s="1" a="1"/>
  <c r="V191" i="177" s="1"/>
  <c r="T194" i="177"/>
  <c r="T193" i="177"/>
  <c r="V193" i="177" s="1" a="1"/>
  <c r="V193" i="177" s="1"/>
  <c r="T196" i="177"/>
  <c r="T195" i="177"/>
  <c r="V195" i="177" s="1" a="1"/>
  <c r="V195" i="177" s="1"/>
  <c r="T176" i="177"/>
  <c r="V176" i="177" s="1" a="1"/>
  <c r="V176" i="177" s="1"/>
  <c r="T177" i="177"/>
  <c r="T181" i="177"/>
  <c r="V181" i="177" s="1" a="1"/>
  <c r="V181" i="177" s="1"/>
  <c r="T178" i="177"/>
  <c r="V178" i="177" s="1" a="1"/>
  <c r="V178" i="177" s="1"/>
  <c r="T180" i="177"/>
  <c r="V180" i="177" s="1" a="1"/>
  <c r="V180" i="177" s="1"/>
  <c r="T179" i="177"/>
  <c r="V179" i="177" s="1" a="1"/>
  <c r="V179" i="177" s="1"/>
  <c r="T162" i="177"/>
  <c r="V162" i="177" s="1" a="1"/>
  <c r="V162" i="177" s="1"/>
  <c r="T166" i="177"/>
  <c r="V166" i="177" s="1" a="1"/>
  <c r="V166" i="177" s="1"/>
  <c r="T165" i="177"/>
  <c r="V165" i="177" s="1" a="1"/>
  <c r="V165" i="177" s="1"/>
  <c r="T164" i="177"/>
  <c r="T161" i="177"/>
  <c r="V161" i="177" s="1" a="1"/>
  <c r="V161" i="177" s="1"/>
  <c r="T163" i="177"/>
  <c r="V163" i="177" s="1" a="1"/>
  <c r="V163" i="177" s="1"/>
  <c r="T151" i="177"/>
  <c r="T150" i="177"/>
  <c r="V150" i="177" s="1" a="1"/>
  <c r="V150" i="177" s="1"/>
  <c r="T149" i="177"/>
  <c r="V149" i="177" s="1" a="1"/>
  <c r="V149" i="177" s="1"/>
  <c r="T148" i="177"/>
  <c r="V148" i="177" s="1" a="1"/>
  <c r="V148" i="177" s="1"/>
  <c r="T147" i="177"/>
  <c r="V147" i="177" s="1" a="1"/>
  <c r="V147" i="177" s="1"/>
  <c r="T146" i="177"/>
  <c r="T134" i="177"/>
  <c r="V134" i="177" s="1" a="1"/>
  <c r="V134" i="177" s="1"/>
  <c r="T133" i="177"/>
  <c r="V133" i="177" s="1" a="1"/>
  <c r="V133" i="177" s="1"/>
  <c r="T132" i="177"/>
  <c r="V132" i="177" s="1" a="1"/>
  <c r="V132" i="177" s="1"/>
  <c r="T131" i="177"/>
  <c r="V131" i="177" s="1" a="1"/>
  <c r="V131" i="177" s="1"/>
  <c r="T135" i="177"/>
  <c r="V135" i="177" s="1" a="1"/>
  <c r="V135" i="177" s="1"/>
  <c r="T136" i="177"/>
  <c r="V136" i="177" s="1" a="1"/>
  <c r="V136" i="177" s="1"/>
  <c r="T117" i="177"/>
  <c r="V117" i="177" s="1" a="1"/>
  <c r="V117" i="177" s="1"/>
  <c r="T116" i="177"/>
  <c r="T119" i="177"/>
  <c r="V119" i="177" s="1" a="1"/>
  <c r="V119" i="177" s="1"/>
  <c r="T120" i="177"/>
  <c r="V120" i="177" s="1" a="1"/>
  <c r="V120" i="177" s="1"/>
  <c r="T121" i="177"/>
  <c r="V121" i="177" s="1" a="1"/>
  <c r="V121" i="177" s="1"/>
  <c r="T118" i="177"/>
  <c r="V118" i="177" s="1" a="1"/>
  <c r="V118" i="177" s="1"/>
  <c r="T106" i="177"/>
  <c r="V106" i="177" s="1" a="1"/>
  <c r="V106" i="177" s="1"/>
  <c r="T105" i="177"/>
  <c r="V105" i="177" s="1" a="1"/>
  <c r="V105" i="177" s="1"/>
  <c r="T102" i="177"/>
  <c r="V102" i="177" s="1" a="1"/>
  <c r="V102" i="177" s="1"/>
  <c r="T104" i="177"/>
  <c r="T103" i="177"/>
  <c r="V103" i="177" s="1" a="1"/>
  <c r="V103" i="177" s="1"/>
  <c r="T101" i="177"/>
  <c r="V101" i="177" s="1" a="1"/>
  <c r="V101" i="177" s="1"/>
  <c r="T87" i="177"/>
  <c r="V87" i="177" s="1" a="1"/>
  <c r="V87" i="177" s="1"/>
  <c r="T90" i="177"/>
  <c r="V90" i="177" s="1" a="1"/>
  <c r="V90" i="177" s="1"/>
  <c r="T86" i="177"/>
  <c r="V86" i="177" s="1" a="1"/>
  <c r="V86" i="177" s="1"/>
  <c r="T91" i="177"/>
  <c r="V91" i="177" s="1" a="1"/>
  <c r="V91" i="177" s="1"/>
  <c r="T88" i="177"/>
  <c r="V88" i="177" s="1" a="1"/>
  <c r="V88" i="177" s="1"/>
  <c r="T89" i="177"/>
  <c r="T73" i="177"/>
  <c r="V73" i="177" s="1" a="1"/>
  <c r="V73" i="177" s="1"/>
  <c r="T72" i="177"/>
  <c r="V72" i="177" s="1" a="1"/>
  <c r="V72" i="177" s="1"/>
  <c r="T71" i="177"/>
  <c r="T76" i="177"/>
  <c r="V76" i="177" s="1" a="1"/>
  <c r="V76" i="177" s="1"/>
  <c r="T75" i="177"/>
  <c r="V75" i="177" s="1" a="1"/>
  <c r="V75" i="177" s="1"/>
  <c r="T74" i="177"/>
  <c r="V74" i="177" s="1" a="1"/>
  <c r="V74" i="177" s="1"/>
  <c r="T57" i="177"/>
  <c r="V57" i="177" s="1" a="1"/>
  <c r="V57" i="177" s="1"/>
  <c r="T56" i="177"/>
  <c r="T58" i="177"/>
  <c r="V58" i="177" s="1" a="1"/>
  <c r="V58" i="177" s="1"/>
  <c r="T59" i="177"/>
  <c r="V59" i="177" s="1" a="1"/>
  <c r="V59" i="177" s="1"/>
  <c r="T61" i="177"/>
  <c r="V61" i="177" s="1" a="1"/>
  <c r="V61" i="177" s="1"/>
  <c r="T60" i="177"/>
  <c r="V60" i="177" s="1" a="1"/>
  <c r="V60" i="177" s="1"/>
  <c r="T45" i="177"/>
  <c r="V45" i="177" s="1" a="1"/>
  <c r="V45" i="177" s="1"/>
  <c r="T41" i="177"/>
  <c r="V41" i="177" s="1" a="1"/>
  <c r="V41" i="177" s="1"/>
  <c r="T46" i="177"/>
  <c r="V46" i="177" s="1" a="1"/>
  <c r="V46" i="177" s="1"/>
  <c r="T44" i="177"/>
  <c r="V44" i="177" s="1" a="1"/>
  <c r="V44" i="177" s="1"/>
  <c r="T43" i="177"/>
  <c r="T42" i="177"/>
  <c r="V42" i="177" s="1" a="1"/>
  <c r="V42" i="177" s="1"/>
  <c r="T29" i="177"/>
  <c r="V29" i="177" s="1" a="1"/>
  <c r="V29" i="177" s="1"/>
  <c r="T28" i="177"/>
  <c r="V28" i="177" s="1" a="1"/>
  <c r="V28" i="177" s="1"/>
  <c r="T27" i="177"/>
  <c r="V27" i="177" s="1" a="1"/>
  <c r="V27" i="177" s="1"/>
  <c r="T26" i="177"/>
  <c r="V26" i="177" s="1" a="1"/>
  <c r="V26" i="177" s="1"/>
  <c r="T31" i="177"/>
  <c r="V31" i="177" s="1" a="1"/>
  <c r="V31" i="177" s="1"/>
  <c r="T30" i="177"/>
  <c r="V30" i="177" s="1" a="1"/>
  <c r="V30" i="177" s="1"/>
  <c r="Z447" i="161" a="1"/>
  <c r="Z447" i="161" s="1"/>
  <c r="Z435" i="161" a="1"/>
  <c r="Z435" i="161" s="1"/>
  <c r="Z417" i="161" a="1"/>
  <c r="Z417" i="161" s="1"/>
  <c r="Z403" i="161" a="1"/>
  <c r="Z403" i="161" s="1"/>
  <c r="Z388" i="161" a="1"/>
  <c r="Z388" i="161" s="1"/>
  <c r="Z389" i="161" a="1"/>
  <c r="Z389" i="161" s="1"/>
  <c r="Z375" i="161" a="1"/>
  <c r="Z375" i="161" s="1"/>
  <c r="Z374" i="161" a="1"/>
  <c r="Z374" i="161" s="1"/>
  <c r="Z359" i="161" a="1"/>
  <c r="Z359" i="161" s="1"/>
  <c r="Z342" i="161" a="1"/>
  <c r="Z342" i="161" s="1"/>
  <c r="Z341" i="161" a="1"/>
  <c r="Z341" i="161" s="1"/>
  <c r="Z329" i="161" a="1"/>
  <c r="Z329" i="161" s="1"/>
  <c r="Z331" i="161" a="1"/>
  <c r="Z331" i="161" s="1"/>
  <c r="Z311" i="161" a="1"/>
  <c r="Z311" i="161" s="1"/>
  <c r="Z301" i="161" a="1"/>
  <c r="Z301" i="161" s="1"/>
  <c r="Z285" i="161" a="1"/>
  <c r="Z285" i="161" s="1"/>
  <c r="Z286" i="161" a="1"/>
  <c r="Z286" i="161" s="1"/>
  <c r="Z267" i="161" a="1"/>
  <c r="Z267" i="161" s="1"/>
  <c r="Z256" i="161" a="1"/>
  <c r="Z256" i="161" s="1"/>
  <c r="Z240" i="161" a="1"/>
  <c r="Z240" i="161" s="1"/>
  <c r="Z221" i="161" a="1"/>
  <c r="Z221" i="161" s="1"/>
  <c r="Z209" i="161" a="1"/>
  <c r="Z209" i="161" s="1"/>
  <c r="Z176" i="161" a="1"/>
  <c r="Z176" i="161" s="1"/>
  <c r="Z163" i="161" a="1"/>
  <c r="Z163" i="161" s="1"/>
  <c r="Z148" i="161" a="1"/>
  <c r="Z148" i="161" s="1"/>
  <c r="Z149" i="161" a="1"/>
  <c r="Z149" i="161" s="1"/>
  <c r="Z134" i="161" a="1"/>
  <c r="Z134" i="161" s="1"/>
  <c r="Z101" i="161" a="1"/>
  <c r="Z101" i="161" s="1"/>
  <c r="Z91" i="161" a="1"/>
  <c r="Z91" i="161" s="1"/>
  <c r="Z60" i="161" a="1"/>
  <c r="Z60" i="161" s="1"/>
  <c r="Z58" i="161" a="1"/>
  <c r="Z58" i="161" s="1"/>
  <c r="Z44" i="161" a="1"/>
  <c r="Z44" i="161" s="1"/>
  <c r="Z45" i="161" a="1"/>
  <c r="Z45" i="161" s="1"/>
  <c r="Z46" i="161" a="1"/>
  <c r="Z46" i="161" s="1"/>
  <c r="R79" i="165"/>
  <c r="F79" i="165" s="1"/>
  <c r="Z151" i="161" a="1"/>
  <c r="Z151" i="161" s="1"/>
  <c r="Z181" i="161" a="1"/>
  <c r="Z181" i="161" s="1"/>
  <c r="R37" i="165"/>
  <c r="F37" i="165" s="1"/>
  <c r="R65" i="165"/>
  <c r="F65" i="165" s="1"/>
  <c r="R177" i="165"/>
  <c r="F177" i="165" s="1"/>
  <c r="R205" i="165"/>
  <c r="F205" i="165" s="1"/>
  <c r="R233" i="165"/>
  <c r="F233" i="165" s="1"/>
  <c r="R261" i="165"/>
  <c r="F261" i="165" s="1"/>
  <c r="R289" i="165"/>
  <c r="F289" i="165" s="1"/>
  <c r="R317" i="165"/>
  <c r="F317" i="165" s="1"/>
  <c r="R345" i="165"/>
  <c r="F345" i="165" s="1"/>
  <c r="R373" i="165"/>
  <c r="F373" i="165" s="1"/>
  <c r="R401" i="165"/>
  <c r="F401" i="165" s="1"/>
  <c r="R93" i="165"/>
  <c r="F93" i="165" s="1"/>
  <c r="R149" i="165"/>
  <c r="F149" i="165" s="1"/>
  <c r="R51" i="165"/>
  <c r="F51" i="165" s="1"/>
  <c r="R107" i="165"/>
  <c r="F107" i="165" s="1"/>
  <c r="R135" i="165"/>
  <c r="F135" i="165" s="1"/>
  <c r="R163" i="165"/>
  <c r="F163" i="165" s="1"/>
  <c r="R191" i="165"/>
  <c r="F191" i="165" s="1"/>
  <c r="R219" i="165"/>
  <c r="F219" i="165" s="1"/>
  <c r="R247" i="165"/>
  <c r="F247" i="165" s="1"/>
  <c r="R275" i="165"/>
  <c r="F275" i="165" s="1"/>
  <c r="R303" i="165"/>
  <c r="F303" i="165" s="1"/>
  <c r="R331" i="165"/>
  <c r="F331" i="165" s="1"/>
  <c r="R359" i="165"/>
  <c r="F359" i="165" s="1"/>
  <c r="R387" i="165"/>
  <c r="F387" i="165" s="1"/>
  <c r="R415" i="165"/>
  <c r="F415" i="165" s="1"/>
  <c r="W28" i="161"/>
  <c r="V196" i="177" a="1"/>
  <c r="V196" i="177" s="1"/>
  <c r="V346" i="177" a="1"/>
  <c r="V346" i="177" s="1"/>
  <c r="V211" i="177" a="1"/>
  <c r="V211" i="177" s="1"/>
  <c r="V421" i="177" a="1"/>
  <c r="V421" i="177" s="1"/>
  <c r="V391" i="177" a="1"/>
  <c r="V391" i="177" s="1"/>
  <c r="V386" i="177" a="1"/>
  <c r="V386" i="177" s="1"/>
  <c r="V343" i="177" a="1"/>
  <c r="V343" i="177" s="1"/>
  <c r="V374" i="177" a="1"/>
  <c r="V374" i="177" s="1"/>
  <c r="V373" i="177" a="1"/>
  <c r="V373" i="177" s="1"/>
  <c r="V372" i="177" a="1"/>
  <c r="V372" i="177" s="1"/>
  <c r="V435" i="177" a="1"/>
  <c r="V435" i="177" s="1"/>
  <c r="V434" i="177" a="1"/>
  <c r="V434" i="177" s="1"/>
  <c r="V450" i="177" a="1"/>
  <c r="V450" i="177" s="1"/>
  <c r="V446" i="177" a="1"/>
  <c r="V446" i="177" s="1"/>
  <c r="V417" i="177" a="1"/>
  <c r="V417" i="177" s="1"/>
  <c r="V418" i="177" a="1"/>
  <c r="V418" i="177" s="1"/>
  <c r="V241" i="177" a="1"/>
  <c r="V241" i="177" s="1"/>
  <c r="V240" i="177" a="1"/>
  <c r="V240" i="177" s="1"/>
  <c r="V284" i="177" a="1"/>
  <c r="V284" i="177" s="1"/>
  <c r="V281" i="177" a="1"/>
  <c r="V281" i="177" s="1"/>
  <c r="V271" i="177" a="1"/>
  <c r="V271" i="177" s="1"/>
  <c r="V268" i="177" a="1"/>
  <c r="V268" i="177" s="1"/>
  <c r="V266" i="177" a="1"/>
  <c r="V266" i="177" s="1"/>
  <c r="V301" i="177" a="1"/>
  <c r="V301" i="177" s="1"/>
  <c r="V311" i="177" a="1"/>
  <c r="V311" i="177" s="1"/>
  <c r="V326" i="177" a="1"/>
  <c r="V326" i="177" s="1"/>
  <c r="V164" i="177" a="1"/>
  <c r="V164" i="177" s="1"/>
  <c r="V151" i="177" a="1"/>
  <c r="V151" i="177" s="1"/>
  <c r="V146" i="177" a="1"/>
  <c r="V146" i="177" s="1"/>
  <c r="V177" i="177" a="1"/>
  <c r="V177" i="177" s="1"/>
  <c r="V194" i="177" a="1"/>
  <c r="V194" i="177" s="1"/>
  <c r="V206" i="177" a="1"/>
  <c r="V206" i="177" s="1"/>
  <c r="V225" i="177" a="1"/>
  <c r="V225" i="177" s="1"/>
  <c r="V116" i="177" a="1"/>
  <c r="V116" i="177" s="1"/>
  <c r="V104" i="177" a="1"/>
  <c r="V104" i="177" s="1"/>
  <c r="V89" i="177" a="1"/>
  <c r="V89" i="177" s="1"/>
  <c r="V71" i="177" a="1"/>
  <c r="V71" i="177" s="1"/>
  <c r="V56" i="177" a="1"/>
  <c r="V56" i="177" s="1"/>
  <c r="V43" i="177" a="1"/>
  <c r="V43" i="177" s="1"/>
  <c r="Z448" i="161" a="1"/>
  <c r="Z448" i="161" s="1"/>
  <c r="Z419" i="161" a="1"/>
  <c r="Z419" i="161" s="1"/>
  <c r="Z296" i="161" a="1"/>
  <c r="Z296" i="161" s="1"/>
  <c r="Z283" i="161" a="1"/>
  <c r="Z283" i="161" s="1"/>
  <c r="Z225" i="161" a="1"/>
  <c r="Z225" i="161" s="1"/>
  <c r="Z207" i="161" a="1"/>
  <c r="Z207" i="161" s="1"/>
  <c r="Z192" i="161" a="1"/>
  <c r="Z192" i="161" s="1"/>
  <c r="Z195" i="161" a="1"/>
  <c r="Z195" i="161" s="1"/>
  <c r="Z177" i="161" a="1"/>
  <c r="Z177" i="161" s="1"/>
  <c r="Z179" i="161" a="1"/>
  <c r="Z179" i="161" s="1"/>
  <c r="Z147" i="161" a="1"/>
  <c r="Z147" i="161" s="1"/>
  <c r="Z119" i="161" a="1"/>
  <c r="Z119" i="161" s="1"/>
  <c r="Z102" i="161" a="1"/>
  <c r="Z102" i="161" s="1"/>
  <c r="Z104" i="161" a="1"/>
  <c r="Z104" i="161" s="1"/>
  <c r="Z73" i="161" a="1"/>
  <c r="Z73" i="161" s="1"/>
  <c r="Z41" i="161" a="1"/>
  <c r="Z41" i="161" s="1"/>
  <c r="W27" i="161"/>
  <c r="X30" i="161" l="1"/>
  <c r="X31" i="161"/>
  <c r="Z31" i="161" s="1" a="1"/>
  <c r="Z31" i="161" s="1"/>
  <c r="X26" i="161"/>
  <c r="Z26" i="161" s="1" a="1"/>
  <c r="Z26" i="161" s="1"/>
  <c r="R24" i="161" s="1"/>
  <c r="F24" i="161" s="1"/>
  <c r="W21" i="139" s="1" a="1"/>
  <c r="W21" i="139" s="1"/>
  <c r="L21" i="139" s="1"/>
  <c r="X27" i="161"/>
  <c r="X28" i="161"/>
  <c r="Z28" i="161" s="1" a="1"/>
  <c r="Z28" i="161" s="1"/>
  <c r="X29" i="161"/>
  <c r="Z29" i="161" s="1" a="1"/>
  <c r="Z29" i="161" s="1"/>
  <c r="Z30" i="161" a="1"/>
  <c r="Z30" i="161" s="1"/>
  <c r="R24" i="177"/>
  <c r="F24" i="177" s="1"/>
  <c r="R121" i="165"/>
  <c r="F121" i="165" s="1"/>
  <c r="W11" i="139" a="1"/>
  <c r="W11" i="139" s="1"/>
  <c r="L11" i="139" s="1"/>
  <c r="Z27" i="161" a="1"/>
  <c r="Z27" i="161" s="1"/>
  <c r="K44" i="139" l="1"/>
  <c r="K39" i="139"/>
  <c r="K34" i="139"/>
  <c r="K29" i="139"/>
  <c r="K24" i="139"/>
  <c r="T14" i="141" l="1"/>
  <c r="H14" i="141"/>
  <c r="H12" i="141"/>
  <c r="T12" i="141"/>
  <c r="T13" i="141"/>
  <c r="H13" i="141"/>
  <c r="H15" i="141"/>
  <c r="T15" i="141"/>
  <c r="T16" i="141"/>
  <c r="H16" i="141"/>
  <c r="R23" i="165"/>
  <c r="F23" i="165" s="1"/>
  <c r="Q44" i="139"/>
  <c r="S44" i="139"/>
  <c r="R44" i="139" s="1"/>
  <c r="T36" i="122"/>
  <c r="T35" i="122"/>
  <c r="J35" i="122" s="1"/>
  <c r="T34" i="122"/>
  <c r="J34" i="122" s="1"/>
  <c r="T33" i="122"/>
  <c r="J33" i="122" s="1"/>
  <c r="T32" i="122"/>
  <c r="J32" i="122" s="1"/>
  <c r="T31" i="122"/>
  <c r="T30" i="122"/>
  <c r="J30" i="122" s="1"/>
  <c r="T29" i="122"/>
  <c r="J29" i="122" s="1"/>
  <c r="T28" i="122"/>
  <c r="J28" i="122" s="1"/>
  <c r="T27" i="122"/>
  <c r="J27" i="122" s="1"/>
  <c r="T26" i="122"/>
  <c r="T25" i="122"/>
  <c r="J25" i="122" s="1"/>
  <c r="T24" i="122"/>
  <c r="J24" i="122" s="1"/>
  <c r="T23" i="122"/>
  <c r="J23" i="122" s="1"/>
  <c r="T22" i="122"/>
  <c r="J22" i="122" s="1"/>
  <c r="T21" i="122"/>
  <c r="T20" i="122"/>
  <c r="J20" i="122" s="1"/>
  <c r="T19" i="122"/>
  <c r="J19" i="122" s="1"/>
  <c r="T18" i="122"/>
  <c r="J18" i="122" s="1"/>
  <c r="T17" i="122"/>
  <c r="J17" i="122" s="1"/>
  <c r="T16" i="122"/>
  <c r="T15" i="122"/>
  <c r="J15" i="122" s="1"/>
  <c r="T13" i="122"/>
  <c r="J13" i="122" s="1"/>
  <c r="T6" i="122"/>
  <c r="T17" i="141" l="1"/>
  <c r="F7" i="164"/>
  <c r="AA7" i="164" s="1"/>
  <c r="R36" i="122"/>
  <c r="Q36" i="122" s="1"/>
  <c r="R35" i="122"/>
  <c r="Q35" i="122" s="1"/>
  <c r="R34" i="122"/>
  <c r="Q34" i="122" s="1"/>
  <c r="R33" i="122"/>
  <c r="R32" i="122"/>
  <c r="R31" i="122"/>
  <c r="Q31" i="122" s="1"/>
  <c r="R30" i="122"/>
  <c r="Q30" i="122" s="1"/>
  <c r="R29" i="122"/>
  <c r="Q29" i="122" s="1"/>
  <c r="R28" i="122"/>
  <c r="Q28" i="122" s="1"/>
  <c r="R27" i="122"/>
  <c r="Q27" i="122" s="1"/>
  <c r="R26" i="122"/>
  <c r="Q26" i="122" s="1"/>
  <c r="R25" i="122"/>
  <c r="Q25" i="122" s="1"/>
  <c r="R24" i="122"/>
  <c r="Q24" i="122" s="1"/>
  <c r="R23" i="122"/>
  <c r="Q23" i="122" s="1"/>
  <c r="R22" i="122"/>
  <c r="R21" i="122"/>
  <c r="Q21" i="122" s="1"/>
  <c r="R20" i="122"/>
  <c r="Q20" i="122" s="1"/>
  <c r="R19" i="122"/>
  <c r="R18" i="122"/>
  <c r="R17" i="122"/>
  <c r="R16" i="122"/>
  <c r="Q16" i="122" s="1"/>
  <c r="R15" i="122"/>
  <c r="Q15" i="122" s="1"/>
  <c r="R14" i="122"/>
  <c r="R13" i="122"/>
  <c r="R12" i="122"/>
  <c r="R11" i="122"/>
  <c r="Q11" i="122" s="1"/>
  <c r="R7" i="122"/>
  <c r="R6" i="122"/>
  <c r="P6" i="122"/>
  <c r="P36" i="122"/>
  <c r="P35" i="122"/>
  <c r="P34" i="122"/>
  <c r="P33" i="122"/>
  <c r="P32" i="122"/>
  <c r="P31" i="122"/>
  <c r="P30" i="122"/>
  <c r="P29" i="122"/>
  <c r="P28" i="122"/>
  <c r="P27" i="122"/>
  <c r="P26" i="122"/>
  <c r="P25" i="122"/>
  <c r="P24" i="122"/>
  <c r="P23" i="122"/>
  <c r="P22" i="122"/>
  <c r="P21" i="122"/>
  <c r="P20" i="122"/>
  <c r="P19" i="122"/>
  <c r="P18" i="122"/>
  <c r="P17" i="122"/>
  <c r="P16" i="122"/>
  <c r="P15" i="122"/>
  <c r="P14" i="122"/>
  <c r="P13" i="122"/>
  <c r="P12" i="122"/>
  <c r="P11" i="122"/>
  <c r="P7" i="122"/>
  <c r="Q4" i="139"/>
  <c r="S10" i="139"/>
  <c r="R10" i="139" s="1"/>
  <c r="S12" i="139"/>
  <c r="S13" i="139"/>
  <c r="S14" i="139"/>
  <c r="R14" i="139" s="1"/>
  <c r="S15" i="139"/>
  <c r="R15" i="139" s="1"/>
  <c r="S17" i="139"/>
  <c r="S18" i="139"/>
  <c r="S19" i="139"/>
  <c r="R19" i="139" s="1"/>
  <c r="S20" i="139"/>
  <c r="R20" i="139" s="1"/>
  <c r="S24" i="139"/>
  <c r="R24" i="139" s="1"/>
  <c r="S25" i="139"/>
  <c r="R25" i="139" s="1"/>
  <c r="S27" i="139"/>
  <c r="S28" i="139"/>
  <c r="R28" i="139" s="1"/>
  <c r="S29" i="139"/>
  <c r="R29" i="139" s="1"/>
  <c r="S30" i="139"/>
  <c r="R30" i="139" s="1"/>
  <c r="S31" i="139"/>
  <c r="S34" i="139"/>
  <c r="R34" i="139" s="1"/>
  <c r="S35" i="139"/>
  <c r="R35" i="139" s="1"/>
  <c r="S36" i="139"/>
  <c r="S37" i="139"/>
  <c r="R37" i="139" s="1"/>
  <c r="S38" i="139"/>
  <c r="R38" i="139" s="1"/>
  <c r="S39" i="139"/>
  <c r="R39" i="139" s="1"/>
  <c r="S40" i="139"/>
  <c r="R40" i="139" s="1"/>
  <c r="S41" i="139"/>
  <c r="S42" i="139"/>
  <c r="S43" i="139"/>
  <c r="R43" i="139" s="1"/>
  <c r="S45" i="139"/>
  <c r="R45" i="139" s="1"/>
  <c r="S46" i="139"/>
  <c r="S47" i="139"/>
  <c r="S48" i="139"/>
  <c r="R48" i="139" s="1"/>
  <c r="S49" i="139"/>
  <c r="R49" i="139" s="1"/>
  <c r="S9" i="139"/>
  <c r="Q10" i="139"/>
  <c r="Q12" i="139"/>
  <c r="Q13" i="139"/>
  <c r="Q14" i="139"/>
  <c r="Q15" i="139"/>
  <c r="Q17" i="139"/>
  <c r="Q18" i="139"/>
  <c r="Q19" i="139"/>
  <c r="Q20" i="139"/>
  <c r="Q24" i="139"/>
  <c r="Q25" i="139"/>
  <c r="Q27" i="139"/>
  <c r="Q28" i="139"/>
  <c r="Q29" i="139"/>
  <c r="Q30" i="139"/>
  <c r="Q31" i="139"/>
  <c r="Q34" i="139"/>
  <c r="Q35" i="139"/>
  <c r="Q36" i="139"/>
  <c r="Q37" i="139"/>
  <c r="Q38" i="139"/>
  <c r="Q39" i="139"/>
  <c r="Q40" i="139"/>
  <c r="Q41" i="139"/>
  <c r="Q42" i="139"/>
  <c r="Q43" i="139"/>
  <c r="Q45" i="139"/>
  <c r="Q46" i="139"/>
  <c r="Q47" i="139"/>
  <c r="Q48" i="139"/>
  <c r="Q49" i="139"/>
  <c r="Q9" i="139"/>
  <c r="Q19" i="122" l="1"/>
  <c r="R47" i="139"/>
  <c r="R46" i="139"/>
  <c r="Q6" i="122"/>
  <c r="R32" i="139"/>
  <c r="R33" i="139"/>
  <c r="R23" i="139"/>
  <c r="R21" i="139"/>
  <c r="R26" i="139"/>
  <c r="R11" i="139"/>
  <c r="Q32" i="122"/>
  <c r="Q12" i="122"/>
  <c r="Q13" i="122"/>
  <c r="Q14" i="122"/>
  <c r="Q17" i="122"/>
  <c r="Q18" i="122"/>
  <c r="Q22" i="122"/>
  <c r="Q7" i="122"/>
  <c r="W20" i="139" a="1"/>
  <c r="W20" i="139" s="1"/>
  <c r="L20" i="139" s="1"/>
  <c r="W44" i="139" a="1"/>
  <c r="W44" i="139" s="1"/>
  <c r="W9" i="139" a="1"/>
  <c r="W9" i="139" s="1"/>
  <c r="Q33" i="122"/>
  <c r="W10" i="139" a="1"/>
  <c r="W10" i="139" s="1"/>
  <c r="L10" i="139" s="1"/>
  <c r="W14" i="139" a="1"/>
  <c r="W14" i="139" s="1"/>
  <c r="W19" i="139" a="1"/>
  <c r="W19" i="139" s="1"/>
  <c r="W40" i="139" a="1"/>
  <c r="W40" i="139" s="1"/>
  <c r="L40" i="139" s="1"/>
  <c r="W15" i="139" a="1"/>
  <c r="W15" i="139" s="1"/>
  <c r="L15" i="139" s="1"/>
  <c r="W39" i="139" a="1"/>
  <c r="W39" i="139" s="1"/>
  <c r="W43" i="139" a="1"/>
  <c r="W43" i="139" s="1"/>
  <c r="L43" i="139" s="1"/>
  <c r="R36" i="139"/>
  <c r="R18" i="139"/>
  <c r="R27" i="139"/>
  <c r="R12" i="139"/>
  <c r="R42" i="139"/>
  <c r="R9" i="139"/>
  <c r="R13" i="139"/>
  <c r="R17" i="139"/>
  <c r="R41" i="139"/>
  <c r="R31" i="139"/>
  <c r="L9" i="139" l="1"/>
  <c r="V16" i="139"/>
  <c r="U16" i="139"/>
  <c r="T16" i="139"/>
  <c r="V22" i="139"/>
  <c r="U22" i="139"/>
  <c r="T22" i="139"/>
  <c r="V32" i="139"/>
  <c r="T32" i="139"/>
  <c r="U33" i="139"/>
  <c r="U32" i="139"/>
  <c r="V33" i="139"/>
  <c r="T33" i="139"/>
  <c r="V23" i="139"/>
  <c r="T23" i="139"/>
  <c r="U21" i="139"/>
  <c r="U23" i="139"/>
  <c r="V21" i="139"/>
  <c r="T21" i="139"/>
  <c r="V11" i="139"/>
  <c r="T11" i="139"/>
  <c r="V26" i="139"/>
  <c r="T26" i="139"/>
  <c r="U11" i="139"/>
  <c r="U26" i="139"/>
  <c r="V44" i="139"/>
  <c r="T44" i="139"/>
  <c r="U44" i="139"/>
  <c r="T10" i="139"/>
  <c r="V10" i="139"/>
  <c r="U13" i="139"/>
  <c r="T15" i="139"/>
  <c r="V15" i="139"/>
  <c r="U18" i="139"/>
  <c r="T20" i="139"/>
  <c r="V20" i="139"/>
  <c r="U25" i="139"/>
  <c r="T28" i="139"/>
  <c r="V28" i="139"/>
  <c r="U30" i="139"/>
  <c r="U34" i="139"/>
  <c r="T36" i="139"/>
  <c r="V36" i="139"/>
  <c r="U38" i="139"/>
  <c r="T40" i="139"/>
  <c r="V40" i="139"/>
  <c r="U42" i="139"/>
  <c r="T45" i="139"/>
  <c r="V45" i="139"/>
  <c r="U47" i="139"/>
  <c r="T49" i="139"/>
  <c r="V49" i="139"/>
  <c r="U9" i="139"/>
  <c r="T12" i="139"/>
  <c r="V12" i="139"/>
  <c r="U14" i="139"/>
  <c r="T17" i="139"/>
  <c r="V17" i="139"/>
  <c r="U19" i="139"/>
  <c r="T24" i="139"/>
  <c r="V24" i="139"/>
  <c r="U27" i="139"/>
  <c r="T29" i="139"/>
  <c r="V29" i="139"/>
  <c r="U31" i="139"/>
  <c r="U35" i="139"/>
  <c r="T37" i="139"/>
  <c r="V37" i="139"/>
  <c r="U39" i="139"/>
  <c r="T41" i="139"/>
  <c r="V41" i="139"/>
  <c r="U43" i="139"/>
  <c r="T46" i="139"/>
  <c r="V46" i="139"/>
  <c r="U48" i="139"/>
  <c r="U10" i="139"/>
  <c r="T13" i="139"/>
  <c r="V13" i="139"/>
  <c r="U15" i="139"/>
  <c r="T18" i="139"/>
  <c r="V18" i="139"/>
  <c r="U20" i="139"/>
  <c r="T25" i="139"/>
  <c r="V25" i="139"/>
  <c r="U28" i="139"/>
  <c r="T30" i="139"/>
  <c r="V30" i="139"/>
  <c r="T34" i="139"/>
  <c r="V34" i="139"/>
  <c r="U36" i="139"/>
  <c r="T38" i="139"/>
  <c r="V38" i="139"/>
  <c r="U40" i="139"/>
  <c r="T42" i="139"/>
  <c r="V42" i="139"/>
  <c r="U45" i="139"/>
  <c r="T47" i="139"/>
  <c r="V47" i="139"/>
  <c r="U49" i="139"/>
  <c r="T9" i="139"/>
  <c r="V9" i="139"/>
  <c r="U12" i="139"/>
  <c r="T14" i="139"/>
  <c r="V14" i="139"/>
  <c r="U17" i="139"/>
  <c r="T19" i="139"/>
  <c r="V19" i="139"/>
  <c r="U24" i="139"/>
  <c r="T27" i="139"/>
  <c r="V27" i="139"/>
  <c r="U29" i="139"/>
  <c r="T31" i="139"/>
  <c r="V31" i="139"/>
  <c r="T35" i="139"/>
  <c r="V35" i="139"/>
  <c r="U37" i="139"/>
  <c r="T39" i="139"/>
  <c r="V39" i="139"/>
  <c r="U41" i="139"/>
  <c r="T43" i="139"/>
  <c r="V43" i="139"/>
  <c r="U46" i="139"/>
  <c r="T48" i="139"/>
  <c r="V48" i="139"/>
  <c r="X9" i="139" l="1" a="1"/>
  <c r="X9" i="139" s="1"/>
  <c r="T3" i="139" s="1"/>
  <c r="Z9" i="139" a="1"/>
  <c r="Z9" i="139" s="1"/>
  <c r="Y9" i="139" a="1"/>
  <c r="Y9" i="139" s="1"/>
  <c r="W45" i="139" a="1"/>
  <c r="W45" i="139" s="1"/>
  <c r="L45" i="139" s="1"/>
  <c r="W46" i="139" l="1" a="1"/>
  <c r="W46" i="139" s="1"/>
  <c r="L46" i="139" s="1"/>
  <c r="W47" i="139" l="1" a="1"/>
  <c r="W47" i="139" s="1"/>
  <c r="L47" i="139" s="1"/>
  <c r="W24" i="139" a="1"/>
  <c r="W24" i="139" s="1"/>
  <c r="W18" i="139" a="1"/>
  <c r="W18" i="139" s="1"/>
  <c r="L18" i="139" s="1"/>
  <c r="W49" i="139" l="1" a="1"/>
  <c r="W49" i="139" s="1"/>
  <c r="W48" i="139" a="1"/>
  <c r="W48" i="139" s="1"/>
  <c r="L48" i="139" s="1"/>
  <c r="W25" i="139" a="1"/>
  <c r="W25" i="139" s="1"/>
  <c r="L25" i="139" s="1"/>
  <c r="W27" i="139" l="1" a="1"/>
  <c r="W27" i="139" s="1"/>
  <c r="L27" i="139" s="1"/>
  <c r="W28" i="139" l="1" a="1"/>
  <c r="W28" i="139" s="1"/>
  <c r="L28" i="139" s="1"/>
  <c r="W29" i="139" l="1" a="1"/>
  <c r="W29" i="139" s="1"/>
  <c r="W30" i="139" l="1" a="1"/>
  <c r="W30" i="139" s="1"/>
  <c r="L30" i="139" s="1"/>
  <c r="W34" i="139" l="1" a="1"/>
  <c r="W34" i="139" s="1"/>
  <c r="W35" i="139" l="1" a="1"/>
  <c r="W35" i="139" s="1"/>
  <c r="L35" i="139" s="1"/>
  <c r="T4" i="139" l="1"/>
  <c r="W36" i="139" a="1"/>
  <c r="W36" i="139" s="1"/>
  <c r="L36" i="139" s="1"/>
  <c r="T5" i="139" l="1"/>
  <c r="W38" i="139" a="1"/>
  <c r="W38" i="139" s="1"/>
  <c r="L38" i="139" s="1"/>
  <c r="W37" i="139" a="1"/>
  <c r="W37" i="139" s="1"/>
  <c r="L37" i="139" s="1"/>
  <c r="R14" i="164" l="1"/>
  <c r="S14" i="164" s="1"/>
  <c r="T14" i="164" s="1"/>
  <c r="U14" i="164" s="1"/>
  <c r="Y14" i="164"/>
  <c r="R12" i="164"/>
  <c r="S12" i="164" s="1"/>
  <c r="Y12" i="164"/>
  <c r="R13" i="164"/>
  <c r="S13" i="164" s="1"/>
  <c r="U13" i="164"/>
  <c r="Y13" i="164"/>
  <c r="W16" i="164"/>
  <c r="W15" i="164"/>
  <c r="W11" i="164"/>
  <c r="Y16" i="164"/>
  <c r="Y15" i="164"/>
  <c r="Y11" i="164"/>
  <c r="U16" i="164"/>
  <c r="U15" i="164"/>
  <c r="U11" i="164"/>
  <c r="T11" i="164"/>
  <c r="T16" i="164"/>
  <c r="T15" i="164"/>
  <c r="S16" i="164"/>
  <c r="S15" i="164"/>
  <c r="S11" i="164"/>
  <c r="R16" i="164"/>
  <c r="R15" i="164"/>
  <c r="R11" i="164"/>
  <c r="W14" i="164" l="1"/>
  <c r="T12" i="164"/>
  <c r="U12" i="164" s="1"/>
  <c r="T13" i="164"/>
  <c r="W13" i="164" s="1"/>
  <c r="R12" i="177"/>
  <c r="S12" i="177" s="1"/>
  <c r="R13" i="177"/>
  <c r="S13" i="177" s="1"/>
  <c r="R15" i="177"/>
  <c r="R16" i="177"/>
  <c r="R11" i="177"/>
  <c r="S11" i="177"/>
  <c r="U13" i="177"/>
  <c r="U12" i="177"/>
  <c r="U11" i="177"/>
  <c r="U16" i="177"/>
  <c r="U15" i="177"/>
  <c r="S15" i="177"/>
  <c r="S16" i="177"/>
  <c r="R12" i="161"/>
  <c r="T12" i="161" s="1"/>
  <c r="U12" i="161" s="1"/>
  <c r="W12" i="161" s="1"/>
  <c r="Y12" i="161"/>
  <c r="R13" i="161"/>
  <c r="T13" i="161"/>
  <c r="U13" i="161"/>
  <c r="Y13" i="161"/>
  <c r="R14" i="161"/>
  <c r="T14" i="161" s="1"/>
  <c r="U14" i="161" s="1"/>
  <c r="W14" i="161"/>
  <c r="Y14" i="161"/>
  <c r="Y16" i="161"/>
  <c r="Y15" i="161"/>
  <c r="Y11" i="161"/>
  <c r="W16" i="161"/>
  <c r="W15" i="161"/>
  <c r="U15" i="161"/>
  <c r="U16" i="161"/>
  <c r="R11" i="161"/>
  <c r="T16" i="161"/>
  <c r="T15" i="161"/>
  <c r="R16" i="161"/>
  <c r="R15" i="161"/>
  <c r="T14" i="177" l="1"/>
  <c r="V14" i="177" s="1" a="1"/>
  <c r="V14" i="177" s="1"/>
  <c r="T13" i="177"/>
  <c r="V13" i="177" s="1" a="1"/>
  <c r="V13" i="177" s="1"/>
  <c r="T12" i="177"/>
  <c r="V12" i="177" s="1" a="1"/>
  <c r="V12" i="177" s="1"/>
  <c r="T11" i="177"/>
  <c r="V11" i="177" s="1" a="1"/>
  <c r="V11" i="177" s="1"/>
  <c r="R9" i="177" s="1"/>
  <c r="T15" i="177"/>
  <c r="V15" i="177" s="1" a="1"/>
  <c r="V15" i="177" s="1"/>
  <c r="T16" i="177"/>
  <c r="V16" i="177" s="1" a="1"/>
  <c r="V16" i="177" s="1"/>
  <c r="W13" i="161"/>
  <c r="W12" i="164"/>
  <c r="T11" i="161"/>
  <c r="U11" i="161" s="1"/>
  <c r="X13" i="164" l="1"/>
  <c r="Z13" i="164" s="1" a="1"/>
  <c r="Z13" i="164" s="1"/>
  <c r="X11" i="164"/>
  <c r="Z11" i="164" s="1" a="1"/>
  <c r="Z11" i="164" s="1"/>
  <c r="R9" i="164" s="1"/>
  <c r="F9" i="164" s="1"/>
  <c r="AA9" i="164" s="1"/>
  <c r="Z5" i="164" s="1"/>
  <c r="D27" i="214" s="1"/>
  <c r="X16" i="164"/>
  <c r="Z16" i="164" s="1" a="1"/>
  <c r="Z16" i="164" s="1"/>
  <c r="X15" i="164"/>
  <c r="Z15" i="164" s="1" a="1"/>
  <c r="Z15" i="164" s="1"/>
  <c r="X12" i="164"/>
  <c r="Z12" i="164" s="1" a="1"/>
  <c r="Z12" i="164" s="1"/>
  <c r="X14" i="164"/>
  <c r="Z14" i="164" s="1" a="1"/>
  <c r="Z14" i="164" s="1"/>
  <c r="W11" i="161"/>
  <c r="X14" i="161" l="1"/>
  <c r="Z14" i="161" s="1" a="1"/>
  <c r="Z14" i="161" s="1"/>
  <c r="X13" i="161"/>
  <c r="Z13" i="161" s="1" a="1"/>
  <c r="Z13" i="161" s="1"/>
  <c r="X12" i="161"/>
  <c r="Z12" i="161" s="1" a="1"/>
  <c r="Z12" i="161" s="1"/>
  <c r="X11" i="161"/>
  <c r="Z11" i="161" s="1" a="1"/>
  <c r="Z11" i="161" s="1"/>
  <c r="R9" i="161" s="1"/>
  <c r="F9" i="161" s="1"/>
  <c r="X15" i="161"/>
  <c r="Z15" i="161" s="1" a="1"/>
  <c r="Z15" i="161" s="1"/>
  <c r="X16" i="161"/>
  <c r="Z16" i="161" s="1" a="1"/>
  <c r="Z16" i="161" s="1"/>
  <c r="W42" i="139" a="1"/>
  <c r="W42" i="139" s="1"/>
  <c r="L42" i="139" s="1"/>
  <c r="W41" i="139" a="1"/>
  <c r="W41" i="139" s="1"/>
  <c r="L41" i="139" s="1"/>
  <c r="J7" i="122"/>
  <c r="T14" i="122" l="1"/>
  <c r="J14" i="122" s="1"/>
  <c r="Q42" i="122" s="1" a="1"/>
  <c r="Q42" i="122" s="1"/>
  <c r="W26" i="139" a="1"/>
  <c r="W26" i="139" s="1"/>
  <c r="L26" i="139" s="1"/>
  <c r="Q41" i="122" l="1"/>
  <c r="W31" i="139" a="1"/>
  <c r="W31" i="139" s="1"/>
  <c r="L31" i="139" s="1"/>
  <c r="S45" i="149"/>
  <c r="V45" i="149"/>
  <c r="AK45" i="149" s="1"/>
  <c r="Y45" i="149"/>
  <c r="AA45" i="149"/>
  <c r="Z45" i="149" s="1"/>
  <c r="AD45" i="149"/>
  <c r="AE45" i="149"/>
  <c r="AH45" i="149"/>
  <c r="S46" i="149"/>
  <c r="V46" i="149"/>
  <c r="AK46" i="149" s="1"/>
  <c r="Y46" i="149"/>
  <c r="AA46" i="149"/>
  <c r="Z46" i="149" s="1"/>
  <c r="AD46" i="149"/>
  <c r="AE46" i="149"/>
  <c r="AH46" i="149"/>
  <c r="V47" i="149"/>
  <c r="AK47" i="149" s="1"/>
  <c r="Y47" i="149"/>
  <c r="AA47" i="149"/>
  <c r="Z47" i="149" s="1"/>
  <c r="AD47" i="149"/>
  <c r="AE47" i="149"/>
  <c r="AH47" i="149"/>
  <c r="V48" i="149"/>
  <c r="AK48" i="149" s="1"/>
  <c r="Y48" i="149"/>
  <c r="AA48" i="149"/>
  <c r="Z48" i="149" s="1"/>
  <c r="AD48" i="149"/>
  <c r="AE48" i="149"/>
  <c r="AH48" i="149"/>
  <c r="S49" i="149"/>
  <c r="V49" i="149"/>
  <c r="AK49" i="149" s="1"/>
  <c r="Y49" i="149"/>
  <c r="AA49" i="149"/>
  <c r="Z49" i="149" s="1"/>
  <c r="AD49" i="149"/>
  <c r="AE49" i="149"/>
  <c r="AH49" i="149"/>
  <c r="V38" i="149"/>
  <c r="AK38" i="149" s="1"/>
  <c r="Y38" i="149"/>
  <c r="AA38" i="149"/>
  <c r="AD38" i="149"/>
  <c r="AE38" i="149"/>
  <c r="AH38" i="149"/>
  <c r="S39" i="149"/>
  <c r="V39" i="149"/>
  <c r="AK39" i="149" s="1"/>
  <c r="Y39" i="149"/>
  <c r="AA39" i="149"/>
  <c r="Z39" i="149" s="1"/>
  <c r="AD39" i="149"/>
  <c r="AE39" i="149"/>
  <c r="AH39" i="149"/>
  <c r="S40" i="149"/>
  <c r="V40" i="149"/>
  <c r="AK40" i="149" s="1"/>
  <c r="Y40" i="149"/>
  <c r="AA40" i="149"/>
  <c r="Z40" i="149" s="1"/>
  <c r="AD40" i="149"/>
  <c r="AE40" i="149"/>
  <c r="AH40" i="149"/>
  <c r="AD12" i="149"/>
  <c r="AA12" i="149"/>
  <c r="Z12" i="149" s="1"/>
  <c r="Y12" i="149"/>
  <c r="AK12" i="149"/>
  <c r="AA11" i="149"/>
  <c r="Y11" i="149"/>
  <c r="AA10" i="149"/>
  <c r="Y10" i="149"/>
  <c r="AK10" i="149"/>
  <c r="Y142" i="190"/>
  <c r="AA142" i="190"/>
  <c r="AC142" i="190"/>
  <c r="AD142" i="190"/>
  <c r="AE142" i="190"/>
  <c r="AF142" i="190"/>
  <c r="AF71" i="190"/>
  <c r="AE71" i="190"/>
  <c r="AD71" i="190"/>
  <c r="AC71" i="190"/>
  <c r="AA71" i="190"/>
  <c r="Y71" i="190"/>
  <c r="AF65" i="190"/>
  <c r="AE65" i="190"/>
  <c r="AD65" i="190"/>
  <c r="AC65" i="190"/>
  <c r="AA65" i="190"/>
  <c r="Y65" i="190"/>
  <c r="AF66" i="190"/>
  <c r="AE66" i="190"/>
  <c r="AD66" i="190"/>
  <c r="AC66" i="190"/>
  <c r="AA66" i="190"/>
  <c r="Y66" i="190"/>
  <c r="R14" i="165"/>
  <c r="S14" i="165"/>
  <c r="U14" i="165"/>
  <c r="V14" i="165"/>
  <c r="X14" i="165"/>
  <c r="R15" i="165"/>
  <c r="S15" i="165"/>
  <c r="U15" i="165"/>
  <c r="V15" i="165"/>
  <c r="X15" i="165"/>
  <c r="R11" i="165"/>
  <c r="V12" i="165"/>
  <c r="V11" i="165"/>
  <c r="R12" i="165"/>
  <c r="Z12" i="165" s="1"/>
  <c r="U12" i="165"/>
  <c r="U11" i="165"/>
  <c r="S12" i="165"/>
  <c r="S11" i="165"/>
  <c r="AA171" i="190"/>
  <c r="AA170" i="190"/>
  <c r="AA169" i="190"/>
  <c r="AA168" i="190"/>
  <c r="AA167" i="190"/>
  <c r="AA166" i="190"/>
  <c r="AA165" i="190"/>
  <c r="AA164" i="190"/>
  <c r="AA163" i="190"/>
  <c r="AA162" i="190"/>
  <c r="AA161" i="190"/>
  <c r="AA160" i="190"/>
  <c r="AA159" i="190"/>
  <c r="AA158" i="190"/>
  <c r="AA157" i="190"/>
  <c r="AA156" i="190"/>
  <c r="AA155" i="190"/>
  <c r="AA154" i="190"/>
  <c r="AA153" i="190"/>
  <c r="AA152" i="190"/>
  <c r="AA151" i="190"/>
  <c r="AA150" i="190"/>
  <c r="AA149" i="190"/>
  <c r="AA148" i="190"/>
  <c r="AA147" i="190"/>
  <c r="AA146" i="190"/>
  <c r="AA145" i="190"/>
  <c r="AA144" i="190"/>
  <c r="AA143" i="190"/>
  <c r="AA141" i="190"/>
  <c r="AA140" i="190"/>
  <c r="AA139" i="190"/>
  <c r="AA138" i="190"/>
  <c r="AA137" i="190"/>
  <c r="AA136" i="190"/>
  <c r="AA135" i="190"/>
  <c r="AA134" i="190"/>
  <c r="AA133" i="190"/>
  <c r="AA132" i="190"/>
  <c r="AA131" i="190"/>
  <c r="AA130" i="190"/>
  <c r="AA129" i="190"/>
  <c r="AA128" i="190"/>
  <c r="AA127" i="190"/>
  <c r="AA126" i="190"/>
  <c r="AA125" i="190"/>
  <c r="AA124" i="190"/>
  <c r="AA123" i="190"/>
  <c r="AA122" i="190"/>
  <c r="AA121" i="190"/>
  <c r="AA120" i="190"/>
  <c r="AA119" i="190"/>
  <c r="AA118" i="190"/>
  <c r="AA117" i="190"/>
  <c r="AA116" i="190"/>
  <c r="AA115" i="190"/>
  <c r="AA114" i="190"/>
  <c r="AA113" i="190"/>
  <c r="AA112" i="190"/>
  <c r="AA111" i="190"/>
  <c r="AA110" i="190"/>
  <c r="AA109" i="190"/>
  <c r="AA108" i="190"/>
  <c r="AA107" i="190"/>
  <c r="AA106" i="190"/>
  <c r="AA105" i="190"/>
  <c r="AA104" i="190"/>
  <c r="AA103" i="190"/>
  <c r="AA102" i="190"/>
  <c r="AA101" i="190"/>
  <c r="AA100" i="190"/>
  <c r="AA99" i="190"/>
  <c r="AA98" i="190"/>
  <c r="AA97" i="190"/>
  <c r="AA96" i="190"/>
  <c r="AA95" i="190"/>
  <c r="AA94" i="190"/>
  <c r="AA93" i="190"/>
  <c r="AA92" i="190"/>
  <c r="AA91" i="190"/>
  <c r="AA90" i="190"/>
  <c r="AA89" i="190"/>
  <c r="AA88" i="190"/>
  <c r="AA87" i="190"/>
  <c r="AA86" i="190"/>
  <c r="AA85" i="190"/>
  <c r="AA84" i="190"/>
  <c r="AA83" i="190"/>
  <c r="AA82" i="190"/>
  <c r="AA81" i="190"/>
  <c r="AA80" i="190"/>
  <c r="AA79" i="190"/>
  <c r="AA78" i="190"/>
  <c r="AA77" i="190"/>
  <c r="AA76" i="190"/>
  <c r="AA75" i="190"/>
  <c r="AA74" i="190"/>
  <c r="AA73" i="190"/>
  <c r="AA72" i="190"/>
  <c r="AA70" i="190"/>
  <c r="AA69" i="190"/>
  <c r="AA68" i="190"/>
  <c r="AA67" i="190"/>
  <c r="AA64" i="190"/>
  <c r="AA63" i="190"/>
  <c r="AA62" i="190"/>
  <c r="AA61" i="190"/>
  <c r="AA60" i="190"/>
  <c r="AA59" i="190"/>
  <c r="AA58" i="190"/>
  <c r="AA57" i="190"/>
  <c r="AA56" i="190"/>
  <c r="AA55" i="190"/>
  <c r="AA54" i="190"/>
  <c r="AA53" i="190"/>
  <c r="AA52" i="190"/>
  <c r="AA51" i="190"/>
  <c r="AA50" i="190"/>
  <c r="AA49" i="190"/>
  <c r="AA48" i="190"/>
  <c r="AA47" i="190"/>
  <c r="AA46" i="190"/>
  <c r="AA45" i="190"/>
  <c r="AA44" i="190"/>
  <c r="AA43" i="190"/>
  <c r="AA42" i="190"/>
  <c r="AA41" i="190"/>
  <c r="AA40" i="190"/>
  <c r="AA39" i="190"/>
  <c r="AA38" i="190"/>
  <c r="AA37" i="190"/>
  <c r="AA36" i="190"/>
  <c r="AA35" i="190"/>
  <c r="AA34" i="190"/>
  <c r="AA33" i="190"/>
  <c r="AA32" i="190"/>
  <c r="AA31" i="190"/>
  <c r="AA30" i="190"/>
  <c r="AA29" i="190"/>
  <c r="AA28" i="190"/>
  <c r="AA27" i="190"/>
  <c r="AA26" i="190"/>
  <c r="AA24" i="190"/>
  <c r="AA21" i="190"/>
  <c r="AA20" i="190"/>
  <c r="AA19" i="190"/>
  <c r="AA18" i="190"/>
  <c r="AA17" i="190"/>
  <c r="AA16" i="190"/>
  <c r="AA15" i="190"/>
  <c r="AA14" i="190"/>
  <c r="AA13" i="190"/>
  <c r="AA12" i="190"/>
  <c r="AA11" i="190"/>
  <c r="AA10" i="190"/>
  <c r="AA9" i="190"/>
  <c r="AA8" i="190"/>
  <c r="Q43" i="122" l="1"/>
  <c r="D26" i="214" s="1"/>
  <c r="AG71" i="190"/>
  <c r="AG65" i="190"/>
  <c r="AG66" i="190"/>
  <c r="AG142" i="190"/>
  <c r="AL40" i="149"/>
  <c r="AL39" i="149"/>
  <c r="AL49" i="149"/>
  <c r="AL46" i="149"/>
  <c r="AL45" i="149"/>
  <c r="X11" i="165"/>
  <c r="AK11" i="149"/>
  <c r="AF49" i="149"/>
  <c r="AF38" i="149"/>
  <c r="AF48" i="149"/>
  <c r="AF46" i="149"/>
  <c r="AF47" i="149"/>
  <c r="AF45" i="149"/>
  <c r="AF40" i="149"/>
  <c r="AF39" i="149"/>
  <c r="X12" i="165"/>
  <c r="AH167" i="149"/>
  <c r="AH166" i="149"/>
  <c r="AH165" i="149"/>
  <c r="AH164" i="149"/>
  <c r="AH163" i="149"/>
  <c r="AH162" i="149"/>
  <c r="AH161" i="149"/>
  <c r="AH160" i="149"/>
  <c r="AH159" i="149"/>
  <c r="AH158" i="149"/>
  <c r="AH157" i="149"/>
  <c r="AH156" i="149"/>
  <c r="AH155" i="149"/>
  <c r="AH154" i="149"/>
  <c r="AH153" i="149"/>
  <c r="AH152" i="149"/>
  <c r="AH150" i="149"/>
  <c r="AH149" i="149"/>
  <c r="AH148" i="149"/>
  <c r="AH146" i="149"/>
  <c r="AH145" i="149"/>
  <c r="AH144" i="149"/>
  <c r="AH143" i="149"/>
  <c r="AH142" i="149"/>
  <c r="AH141" i="149"/>
  <c r="AH139" i="149"/>
  <c r="AH138" i="149"/>
  <c r="AH137" i="149"/>
  <c r="AH136" i="149"/>
  <c r="AH135" i="149"/>
  <c r="AH134" i="149"/>
  <c r="AH133" i="149"/>
  <c r="AH132" i="149"/>
  <c r="AH131" i="149"/>
  <c r="AH130" i="149"/>
  <c r="AH129" i="149"/>
  <c r="AH128" i="149"/>
  <c r="AH127" i="149"/>
  <c r="AH126" i="149"/>
  <c r="AH125" i="149"/>
  <c r="AH124" i="149"/>
  <c r="AH123" i="149"/>
  <c r="AH122" i="149"/>
  <c r="AH119" i="149"/>
  <c r="AH118" i="149"/>
  <c r="AH117" i="149"/>
  <c r="AH116" i="149"/>
  <c r="AH115" i="149"/>
  <c r="AH114" i="149"/>
  <c r="AH113" i="149"/>
  <c r="AH112" i="149"/>
  <c r="AH111" i="149"/>
  <c r="AH109" i="149"/>
  <c r="AH108" i="149"/>
  <c r="AH107" i="149"/>
  <c r="AH106" i="149"/>
  <c r="AH105" i="149"/>
  <c r="AH104" i="149"/>
  <c r="AH103" i="149"/>
  <c r="AH102" i="149"/>
  <c r="AH99" i="149"/>
  <c r="AH98" i="149"/>
  <c r="AH97" i="149"/>
  <c r="AH96" i="149"/>
  <c r="AH95" i="149"/>
  <c r="AH94" i="149"/>
  <c r="AH93" i="149"/>
  <c r="AH92" i="149"/>
  <c r="AH91" i="149"/>
  <c r="AH90" i="149"/>
  <c r="AH89" i="149"/>
  <c r="AH88" i="149"/>
  <c r="AH87" i="149"/>
  <c r="AH86" i="149"/>
  <c r="AH85" i="149"/>
  <c r="AH84" i="149"/>
  <c r="AH83" i="149"/>
  <c r="AH82" i="149"/>
  <c r="AH79" i="149"/>
  <c r="AH78" i="149"/>
  <c r="AH77" i="149"/>
  <c r="AH76" i="149"/>
  <c r="AH75" i="149"/>
  <c r="AH74" i="149"/>
  <c r="AH72" i="149"/>
  <c r="AH71" i="149"/>
  <c r="AH70" i="149"/>
  <c r="AH69" i="149"/>
  <c r="AH68" i="149"/>
  <c r="AH67" i="149"/>
  <c r="AH66" i="149"/>
  <c r="AH65" i="149"/>
  <c r="AH64" i="149"/>
  <c r="AH63" i="149"/>
  <c r="AH62" i="149"/>
  <c r="AH61" i="149"/>
  <c r="AH60" i="149"/>
  <c r="AH59" i="149"/>
  <c r="AH58" i="149"/>
  <c r="AH57" i="149"/>
  <c r="AH56" i="149"/>
  <c r="AH55" i="149"/>
  <c r="AH54" i="149"/>
  <c r="AH53" i="149"/>
  <c r="AH51" i="149"/>
  <c r="AH50" i="149"/>
  <c r="AH44" i="149"/>
  <c r="AH43" i="149"/>
  <c r="AH42" i="149"/>
  <c r="AH41" i="149"/>
  <c r="AH37" i="149"/>
  <c r="AH36" i="149"/>
  <c r="AH35" i="149"/>
  <c r="AH34" i="149"/>
  <c r="AH33" i="149"/>
  <c r="AH32" i="149"/>
  <c r="AH31" i="149"/>
  <c r="AH30" i="149"/>
  <c r="AH29" i="149"/>
  <c r="AH27" i="149"/>
  <c r="AH23" i="149"/>
  <c r="AH22" i="149"/>
  <c r="AH21" i="149"/>
  <c r="AH19" i="149"/>
  <c r="AH18" i="149"/>
  <c r="AH17" i="149"/>
  <c r="AH16" i="149"/>
  <c r="AH15" i="149"/>
  <c r="AH9" i="149"/>
  <c r="AH8" i="149"/>
  <c r="S10" i="122" l="1"/>
  <c r="S8" i="122"/>
  <c r="S9" i="122"/>
  <c r="Y15" i="165"/>
  <c r="Y14" i="165"/>
  <c r="Y13" i="165"/>
  <c r="AA13" i="165" s="1" a="1"/>
  <c r="AA13" i="165" s="1"/>
  <c r="Y12" i="165"/>
  <c r="Y11" i="165"/>
  <c r="AA403" i="165" a="1"/>
  <c r="AA403" i="165" s="1"/>
  <c r="AA351" i="165" a="1"/>
  <c r="AA351" i="165" s="1"/>
  <c r="AA308" i="165" a="1"/>
  <c r="AA308" i="165" s="1"/>
  <c r="AA293" i="165" a="1"/>
  <c r="AA293" i="165" s="1"/>
  <c r="AA278" i="165" a="1"/>
  <c r="AA278" i="165" s="1"/>
  <c r="AA266" i="165" a="1"/>
  <c r="AA266" i="165" s="1"/>
  <c r="AA253" i="165" a="1"/>
  <c r="AA253" i="165" s="1"/>
  <c r="AA236" i="165" a="1"/>
  <c r="AA236" i="165" s="1"/>
  <c r="AA221" i="165" a="1"/>
  <c r="AA221" i="165" s="1"/>
  <c r="AA211" i="165" a="1"/>
  <c r="AA211" i="165" s="1"/>
  <c r="AA197" i="165" a="1"/>
  <c r="AA197" i="165" s="1"/>
  <c r="AA180" i="165" a="1"/>
  <c r="AA180" i="165" s="1"/>
  <c r="AA155" i="165" a="1"/>
  <c r="AA155" i="165" s="1"/>
  <c r="AA140" i="165" a="1"/>
  <c r="AA140" i="165" s="1"/>
  <c r="AA139" i="165" a="1"/>
  <c r="AA139" i="165" s="1"/>
  <c r="AA125" i="165" a="1"/>
  <c r="AA125" i="165" s="1"/>
  <c r="AA99" i="165" a="1"/>
  <c r="AA99" i="165" s="1"/>
  <c r="AA98" i="165" a="1"/>
  <c r="AA98" i="165" s="1"/>
  <c r="AA97" i="165" a="1"/>
  <c r="AA97" i="165" s="1"/>
  <c r="AA83" i="165" a="1"/>
  <c r="AA83" i="165" s="1"/>
  <c r="AA419" i="165" a="1"/>
  <c r="AA419" i="165" s="1"/>
  <c r="AA404" i="165" a="1"/>
  <c r="AA404" i="165" s="1"/>
  <c r="AA377" i="165" a="1"/>
  <c r="AA377" i="165" s="1"/>
  <c r="AA361" i="165" a="1"/>
  <c r="AA361" i="165" s="1"/>
  <c r="AA337" i="165" a="1"/>
  <c r="AA337" i="165" s="1"/>
  <c r="AA336" i="165" a="1"/>
  <c r="AA336" i="165" s="1"/>
  <c r="AA319" i="165" a="1"/>
  <c r="AA319" i="165" s="1"/>
  <c r="AA309" i="165" a="1"/>
  <c r="AA309" i="165" s="1"/>
  <c r="AA294" i="165" a="1"/>
  <c r="AA294" i="165" s="1"/>
  <c r="AA263" i="165" a="1"/>
  <c r="AA263" i="165" s="1"/>
  <c r="AA238" i="165" a="1"/>
  <c r="AA238" i="165" s="1"/>
  <c r="AA237" i="165" a="1"/>
  <c r="AA237" i="165" s="1"/>
  <c r="AA207" i="165" a="1"/>
  <c r="AA207" i="165" s="1"/>
  <c r="AA165" i="165" a="1"/>
  <c r="AA165" i="165" s="1"/>
  <c r="AA141" i="165" a="1"/>
  <c r="AA141" i="165" s="1"/>
  <c r="AA110" i="165" a="1"/>
  <c r="AA110" i="165" s="1"/>
  <c r="AA109" i="165" a="1"/>
  <c r="AA109" i="165" s="1"/>
  <c r="AA69" i="165" a="1"/>
  <c r="AA69" i="165" s="1"/>
  <c r="AA39" i="165" a="1"/>
  <c r="AA39" i="165" s="1"/>
  <c r="AA208" i="165" a="1"/>
  <c r="AA208" i="165" s="1"/>
  <c r="AA167" i="165" a="1"/>
  <c r="AA167" i="165" s="1"/>
  <c r="AA127" i="165" a="1"/>
  <c r="AA127" i="165" s="1"/>
  <c r="AA85" i="165" a="1"/>
  <c r="AA85" i="165" s="1"/>
  <c r="AA70" i="165" a="1"/>
  <c r="AA70" i="165" s="1"/>
  <c r="AA55" i="165" a="1"/>
  <c r="AA55" i="165" s="1"/>
  <c r="AA26" i="165" a="1"/>
  <c r="AA26" i="165" s="1"/>
  <c r="AA168" i="165" a="1"/>
  <c r="AA168" i="165" s="1"/>
  <c r="AA123" i="165" a="1"/>
  <c r="AA123" i="165" s="1"/>
  <c r="AA42" i="165" a="1"/>
  <c r="AA42" i="165" s="1"/>
  <c r="AA375" i="165" a="1"/>
  <c r="AA375" i="165" s="1"/>
  <c r="AA265" i="165" a="1"/>
  <c r="AA265" i="165" s="1"/>
  <c r="AA235" i="165" a="1"/>
  <c r="AA235" i="165" s="1"/>
  <c r="AA124" i="165" a="1"/>
  <c r="AA124" i="165" s="1"/>
  <c r="AA96" i="165" a="1"/>
  <c r="AA96" i="165" s="1"/>
  <c r="AA43" i="165" a="1"/>
  <c r="AA43" i="165" s="1"/>
  <c r="AA418" i="165" a="1"/>
  <c r="AA418" i="165" s="1"/>
  <c r="AA267" i="165" a="1"/>
  <c r="AA267" i="165" s="1"/>
  <c r="AA251" i="165" a="1"/>
  <c r="AA251" i="165" s="1"/>
  <c r="AA196" i="165" a="1"/>
  <c r="AA196" i="165" s="1"/>
  <c r="AA28" i="165" a="1"/>
  <c r="AA28" i="165" s="1"/>
  <c r="AA54" i="165" a="1"/>
  <c r="AA54" i="165" s="1"/>
  <c r="AA29" i="165" a="1"/>
  <c r="AA29" i="165" s="1"/>
  <c r="AA421" i="165" a="1"/>
  <c r="AA421" i="165" s="1"/>
  <c r="AA389" i="165" a="1"/>
  <c r="AA389" i="165" s="1"/>
  <c r="AA379" i="165" a="1"/>
  <c r="AA379" i="165" s="1"/>
  <c r="AA362" i="165" a="1"/>
  <c r="AA362" i="165" s="1"/>
  <c r="AA347" i="165" a="1"/>
  <c r="AA347" i="165" s="1"/>
  <c r="AA320" i="165" a="1"/>
  <c r="AA320" i="165" s="1"/>
  <c r="AA295" i="165" a="1"/>
  <c r="AA295" i="165" s="1"/>
  <c r="AA279" i="165" a="1"/>
  <c r="AA279" i="165" s="1"/>
  <c r="AA239" i="165" a="1"/>
  <c r="AA239" i="165" s="1"/>
  <c r="AA222" i="165" a="1"/>
  <c r="AA222" i="165" s="1"/>
  <c r="AA181" i="165" a="1"/>
  <c r="AA181" i="165" s="1"/>
  <c r="AA166" i="165" a="1"/>
  <c r="AA166" i="165" s="1"/>
  <c r="AA151" i="165" a="1"/>
  <c r="AA151" i="165" s="1"/>
  <c r="AA126" i="165" a="1"/>
  <c r="AA126" i="165" s="1"/>
  <c r="AA111" i="165" a="1"/>
  <c r="AA111" i="165" s="1"/>
  <c r="AA84" i="165" a="1"/>
  <c r="AA84" i="165" s="1"/>
  <c r="AA25" i="165" a="1"/>
  <c r="AA25" i="165" s="1"/>
  <c r="AA152" i="165" a="1"/>
  <c r="AA152" i="165" s="1"/>
  <c r="AA137" i="165" a="1"/>
  <c r="AA137" i="165" s="1"/>
  <c r="AA112" i="165" a="1"/>
  <c r="AA112" i="165" s="1"/>
  <c r="AA71" i="165" a="1"/>
  <c r="AA71" i="165" s="1"/>
  <c r="AA40" i="165" a="1"/>
  <c r="AA40" i="165" s="1"/>
  <c r="AA138" i="165" a="1"/>
  <c r="AA138" i="165" s="1"/>
  <c r="AA41" i="165" a="1"/>
  <c r="AA41" i="165" s="1"/>
  <c r="AA27" i="165" a="1"/>
  <c r="AA27" i="165" s="1"/>
  <c r="AA364" i="165" a="1"/>
  <c r="AA364" i="165" s="1"/>
  <c r="AA349" i="165" a="1"/>
  <c r="AA349" i="165" s="1"/>
  <c r="AA334" i="165" a="1"/>
  <c r="AA334" i="165" s="1"/>
  <c r="AA307" i="165" a="1"/>
  <c r="AA307" i="165" s="1"/>
  <c r="AA179" i="165" a="1"/>
  <c r="AA179" i="165" s="1"/>
  <c r="AA67" i="165" a="1"/>
  <c r="AA67" i="165" s="1"/>
  <c r="AA277" i="165" a="1"/>
  <c r="AA277" i="165" s="1"/>
  <c r="AA252" i="165" a="1"/>
  <c r="AA252" i="165" s="1"/>
  <c r="AA420" i="165" a="1"/>
  <c r="AA420" i="165" s="1"/>
  <c r="AA390" i="165" a="1"/>
  <c r="AA390" i="165" s="1"/>
  <c r="AA378" i="165" a="1"/>
  <c r="AA378" i="165" s="1"/>
  <c r="AA348" i="165" a="1"/>
  <c r="AA348" i="165" s="1"/>
  <c r="AA321" i="165" a="1"/>
  <c r="AA321" i="165" s="1"/>
  <c r="AA305" i="165" a="1"/>
  <c r="AA305" i="165" s="1"/>
  <c r="AA281" i="165" a="1"/>
  <c r="AA281" i="165" s="1"/>
  <c r="AA280" i="165" a="1"/>
  <c r="AA280" i="165" s="1"/>
  <c r="AA264" i="165" a="1"/>
  <c r="AA264" i="165" s="1"/>
  <c r="AA249" i="165" a="1"/>
  <c r="AA249" i="165" s="1"/>
  <c r="AA182" i="165" a="1"/>
  <c r="AA182" i="165" s="1"/>
  <c r="AA210" i="165" a="1"/>
  <c r="AA210" i="165" s="1"/>
  <c r="AA406" i="165" a="1"/>
  <c r="AA406" i="165" s="1"/>
  <c r="AA405" i="165" a="1"/>
  <c r="AA405" i="165" s="1"/>
  <c r="AA363" i="165" a="1"/>
  <c r="AA363" i="165" s="1"/>
  <c r="AA322" i="165" a="1"/>
  <c r="AA322" i="165" s="1"/>
  <c r="AA306" i="165" a="1"/>
  <c r="AA306" i="165" s="1"/>
  <c r="AA291" i="165" a="1"/>
  <c r="AA291" i="165" s="1"/>
  <c r="AA224" i="165" a="1"/>
  <c r="AA224" i="165" s="1"/>
  <c r="AA223" i="165" a="1"/>
  <c r="AA223" i="165" s="1"/>
  <c r="AA193" i="165" a="1"/>
  <c r="AA193" i="165" s="1"/>
  <c r="AA183" i="165" a="1"/>
  <c r="AA183" i="165" s="1"/>
  <c r="AA113" i="165" a="1"/>
  <c r="AA113" i="165" s="1"/>
  <c r="AA95" i="165" a="1"/>
  <c r="AA95" i="165" s="1"/>
  <c r="AA81" i="165" a="1"/>
  <c r="AA81" i="165" s="1"/>
  <c r="AA56" i="165" a="1"/>
  <c r="AA56" i="165" s="1"/>
  <c r="AA333" i="165" a="1"/>
  <c r="AA333" i="165" s="1"/>
  <c r="AA323" i="165" a="1"/>
  <c r="AA323" i="165" s="1"/>
  <c r="AA292" i="165" a="1"/>
  <c r="AA292" i="165" s="1"/>
  <c r="AA225" i="165" a="1"/>
  <c r="AA225" i="165" s="1"/>
  <c r="AA209" i="165" a="1"/>
  <c r="AA209" i="165" s="1"/>
  <c r="AA194" i="165" a="1"/>
  <c r="AA194" i="165" s="1"/>
  <c r="AA169" i="165" a="1"/>
  <c r="AA169" i="165" s="1"/>
  <c r="AA153" i="165" a="1"/>
  <c r="AA153" i="165" s="1"/>
  <c r="AA82" i="165" a="1"/>
  <c r="AA82" i="165" s="1"/>
  <c r="AA57" i="165" a="1"/>
  <c r="AA57" i="165" s="1"/>
  <c r="AA365" i="165" a="1"/>
  <c r="AA365" i="165" s="1"/>
  <c r="AA393" i="165" a="1"/>
  <c r="AA393" i="165" s="1"/>
  <c r="AA376" i="165" a="1"/>
  <c r="AA376" i="165" s="1"/>
  <c r="AA350" i="165" a="1"/>
  <c r="AA350" i="165" s="1"/>
  <c r="AA335" i="165" a="1"/>
  <c r="AA335" i="165" s="1"/>
  <c r="AA195" i="165" a="1"/>
  <c r="AA195" i="165" s="1"/>
  <c r="AA154" i="165" a="1"/>
  <c r="AA154" i="165" s="1"/>
  <c r="AA68" i="165" a="1"/>
  <c r="AA68" i="165" s="1"/>
  <c r="AA53" i="165" a="1"/>
  <c r="AA53" i="165" s="1"/>
  <c r="AA407" i="165" a="1"/>
  <c r="AA407" i="165" s="1"/>
  <c r="AA391" i="165" a="1"/>
  <c r="AA391" i="165" s="1"/>
  <c r="AA250" i="165" a="1"/>
  <c r="AA250" i="165" s="1"/>
  <c r="AA417" i="165" a="1"/>
  <c r="AA417" i="165" s="1"/>
  <c r="AA392" i="165" a="1"/>
  <c r="AA392" i="165" s="1"/>
  <c r="AA14" i="165" a="1"/>
  <c r="AA14" i="165" s="1"/>
  <c r="AA15" i="165" a="1"/>
  <c r="AA15" i="165" s="1"/>
  <c r="AA11" i="165" a="1"/>
  <c r="AA11" i="165" s="1"/>
  <c r="R9" i="165" s="1"/>
  <c r="W17" i="139" l="1" a="1"/>
  <c r="W17" i="139" s="1"/>
  <c r="L17" i="139" s="1"/>
  <c r="AA12" i="165" a="1"/>
  <c r="AA12" i="165" s="1"/>
  <c r="W13" i="139" l="1" a="1"/>
  <c r="W13" i="139" s="1"/>
  <c r="L13" i="139" s="1"/>
  <c r="W12" i="139" a="1"/>
  <c r="W12" i="139" s="1"/>
  <c r="AL9" i="149"/>
  <c r="AL92" i="149"/>
  <c r="AL93" i="149"/>
  <c r="AL94" i="149"/>
  <c r="AL95" i="149"/>
  <c r="AL96" i="149"/>
  <c r="AL97" i="149"/>
  <c r="AL99" i="149"/>
  <c r="AL103" i="149"/>
  <c r="AL104" i="149"/>
  <c r="AL105" i="149"/>
  <c r="AL106" i="149"/>
  <c r="AL107" i="149"/>
  <c r="AL109" i="149"/>
  <c r="AL111" i="149"/>
  <c r="AL112" i="149"/>
  <c r="AL113" i="149"/>
  <c r="AL114" i="149"/>
  <c r="AL115" i="149"/>
  <c r="AL116" i="149"/>
  <c r="AL117" i="149"/>
  <c r="AL119" i="149"/>
  <c r="AL120" i="149"/>
  <c r="AL121" i="149"/>
  <c r="AL122" i="149"/>
  <c r="AL123" i="149"/>
  <c r="AL124" i="149"/>
  <c r="AL125" i="149"/>
  <c r="AL126" i="149"/>
  <c r="AL127" i="149"/>
  <c r="AL129" i="149"/>
  <c r="AL131" i="149"/>
  <c r="AL132" i="149"/>
  <c r="AL133" i="149"/>
  <c r="AL134" i="149"/>
  <c r="AL135" i="149"/>
  <c r="AL136" i="149"/>
  <c r="AL137" i="149"/>
  <c r="AL139" i="149"/>
  <c r="AL143" i="149"/>
  <c r="AL144" i="149"/>
  <c r="AL145" i="149"/>
  <c r="AL146" i="149"/>
  <c r="AJ149" i="149"/>
  <c r="AL149" i="149" s="1"/>
  <c r="AJ150" i="149"/>
  <c r="AJ151" i="149"/>
  <c r="AL151" i="149" s="1"/>
  <c r="AJ152" i="149"/>
  <c r="AL152" i="149" s="1"/>
  <c r="AJ153" i="149"/>
  <c r="AL153" i="149" s="1"/>
  <c r="AJ154" i="149"/>
  <c r="AL154" i="149" s="1"/>
  <c r="AJ155" i="149"/>
  <c r="AL155" i="149" s="1"/>
  <c r="AJ156" i="149"/>
  <c r="AL156" i="149" s="1"/>
  <c r="AJ157" i="149"/>
  <c r="AL157" i="149" s="1"/>
  <c r="AJ158" i="149"/>
  <c r="AL158" i="149" s="1"/>
  <c r="AJ159" i="149"/>
  <c r="AJ160" i="149"/>
  <c r="AL160" i="149" s="1"/>
  <c r="AJ161" i="149"/>
  <c r="AJ162" i="149"/>
  <c r="AL162" i="149" s="1"/>
  <c r="AJ163" i="149"/>
  <c r="AL163" i="149" s="1"/>
  <c r="AJ164" i="149"/>
  <c r="AL164" i="149" s="1"/>
  <c r="AJ165" i="149"/>
  <c r="AL165" i="149" s="1"/>
  <c r="AJ166" i="149"/>
  <c r="AL166" i="149" s="1"/>
  <c r="AJ167" i="149"/>
  <c r="AL167" i="149" s="1"/>
  <c r="Y16" i="190"/>
  <c r="AC16" i="190"/>
  <c r="AD16" i="190"/>
  <c r="AE16" i="190"/>
  <c r="AF16" i="190"/>
  <c r="Y17" i="190"/>
  <c r="AC17" i="190"/>
  <c r="AD17" i="190"/>
  <c r="AE17" i="190"/>
  <c r="AF17" i="190"/>
  <c r="Y18" i="190"/>
  <c r="AC18" i="190"/>
  <c r="AD18" i="190"/>
  <c r="AE18" i="190"/>
  <c r="AF18" i="190"/>
  <c r="Y19" i="190"/>
  <c r="AC19" i="190"/>
  <c r="AD19" i="190"/>
  <c r="AE19" i="190"/>
  <c r="AF19" i="190"/>
  <c r="Y89" i="190"/>
  <c r="AC89" i="190"/>
  <c r="AD89" i="190"/>
  <c r="AE89" i="190"/>
  <c r="AF89" i="190"/>
  <c r="Y90" i="190"/>
  <c r="AC90" i="190"/>
  <c r="AD90" i="190"/>
  <c r="AE90" i="190"/>
  <c r="AF90" i="190"/>
  <c r="AD13" i="149"/>
  <c r="V13" i="149"/>
  <c r="Y13" i="149"/>
  <c r="AA13" i="149"/>
  <c r="AA14" i="149"/>
  <c r="Y14" i="149"/>
  <c r="V14" i="149"/>
  <c r="AF171" i="190"/>
  <c r="AE171" i="190"/>
  <c r="AD171" i="190"/>
  <c r="AC171" i="190"/>
  <c r="AF170" i="190"/>
  <c r="AE170" i="190"/>
  <c r="AD170" i="190"/>
  <c r="AC170" i="190"/>
  <c r="AF169" i="190"/>
  <c r="AE169" i="190"/>
  <c r="AD169" i="190"/>
  <c r="AC169" i="190"/>
  <c r="AF168" i="190"/>
  <c r="AE168" i="190"/>
  <c r="AD168" i="190"/>
  <c r="AC168" i="190"/>
  <c r="AF167" i="190"/>
  <c r="AE167" i="190"/>
  <c r="AD167" i="190"/>
  <c r="AC167" i="190"/>
  <c r="AF166" i="190"/>
  <c r="AE166" i="190"/>
  <c r="AD166" i="190"/>
  <c r="AC166" i="190"/>
  <c r="AF165" i="190"/>
  <c r="AE165" i="190"/>
  <c r="AD165" i="190"/>
  <c r="AC165" i="190"/>
  <c r="AF164" i="190"/>
  <c r="AE164" i="190"/>
  <c r="AD164" i="190"/>
  <c r="AC164" i="190"/>
  <c r="AF163" i="190"/>
  <c r="AE163" i="190"/>
  <c r="AD163" i="190"/>
  <c r="AC163" i="190"/>
  <c r="AF162" i="190"/>
  <c r="AE162" i="190"/>
  <c r="AD162" i="190"/>
  <c r="AC162" i="190"/>
  <c r="AF161" i="190"/>
  <c r="AE161" i="190"/>
  <c r="AD161" i="190"/>
  <c r="AC161" i="190"/>
  <c r="AF160" i="190"/>
  <c r="AE160" i="190"/>
  <c r="AD160" i="190"/>
  <c r="AC160" i="190"/>
  <c r="AF159" i="190"/>
  <c r="AE159" i="190"/>
  <c r="AD159" i="190"/>
  <c r="AC159" i="190"/>
  <c r="AF158" i="190"/>
  <c r="AE158" i="190"/>
  <c r="AD158" i="190"/>
  <c r="AC158" i="190"/>
  <c r="AF157" i="190"/>
  <c r="AE157" i="190"/>
  <c r="AD157" i="190"/>
  <c r="AC157" i="190"/>
  <c r="AF156" i="190"/>
  <c r="AE156" i="190"/>
  <c r="AD156" i="190"/>
  <c r="AC156" i="190"/>
  <c r="AF155" i="190"/>
  <c r="AE155" i="190"/>
  <c r="AD155" i="190"/>
  <c r="AC155" i="190"/>
  <c r="AF154" i="190"/>
  <c r="AE154" i="190"/>
  <c r="AD154" i="190"/>
  <c r="AC154" i="190"/>
  <c r="AF153" i="190"/>
  <c r="AE153" i="190"/>
  <c r="AD153" i="190"/>
  <c r="AC153" i="190"/>
  <c r="AF152" i="190"/>
  <c r="AE152" i="190"/>
  <c r="AD152" i="190"/>
  <c r="AC152" i="190"/>
  <c r="AF151" i="190"/>
  <c r="AE151" i="190"/>
  <c r="AD151" i="190"/>
  <c r="AC151" i="190"/>
  <c r="AF150" i="190"/>
  <c r="AE150" i="190"/>
  <c r="AD150" i="190"/>
  <c r="AC150" i="190"/>
  <c r="AF149" i="190"/>
  <c r="AE149" i="190"/>
  <c r="AD149" i="190"/>
  <c r="AC149" i="190"/>
  <c r="AF148" i="190"/>
  <c r="AE148" i="190"/>
  <c r="AD148" i="190"/>
  <c r="AC148" i="190"/>
  <c r="AF147" i="190"/>
  <c r="AE147" i="190"/>
  <c r="AD147" i="190"/>
  <c r="AC147" i="190"/>
  <c r="AF146" i="190"/>
  <c r="AE146" i="190"/>
  <c r="AD146" i="190"/>
  <c r="AC146" i="190"/>
  <c r="AF145" i="190"/>
  <c r="AE145" i="190"/>
  <c r="AD145" i="190"/>
  <c r="AC145" i="190"/>
  <c r="AF144" i="190"/>
  <c r="AE144" i="190"/>
  <c r="AD144" i="190"/>
  <c r="AC144" i="190"/>
  <c r="AF143" i="190"/>
  <c r="AE143" i="190"/>
  <c r="AD143" i="190"/>
  <c r="AC143" i="190"/>
  <c r="AF141" i="190"/>
  <c r="AE141" i="190"/>
  <c r="AD141" i="190"/>
  <c r="AC141" i="190"/>
  <c r="AF140" i="190"/>
  <c r="AE140" i="190"/>
  <c r="AD140" i="190"/>
  <c r="AC140" i="190"/>
  <c r="AF139" i="190"/>
  <c r="AE139" i="190"/>
  <c r="AD139" i="190"/>
  <c r="AC139" i="190"/>
  <c r="AF138" i="190"/>
  <c r="AE138" i="190"/>
  <c r="AD138" i="190"/>
  <c r="AC138" i="190"/>
  <c r="AF137" i="190"/>
  <c r="AE137" i="190"/>
  <c r="AD137" i="190"/>
  <c r="AC137" i="190"/>
  <c r="AF136" i="190"/>
  <c r="AE136" i="190"/>
  <c r="AD136" i="190"/>
  <c r="AC136" i="190"/>
  <c r="AF135" i="190"/>
  <c r="AE135" i="190"/>
  <c r="AD135" i="190"/>
  <c r="AC135" i="190"/>
  <c r="AF134" i="190"/>
  <c r="AE134" i="190"/>
  <c r="AD134" i="190"/>
  <c r="AC134" i="190"/>
  <c r="AF133" i="190"/>
  <c r="AE133" i="190"/>
  <c r="AD133" i="190"/>
  <c r="AC133" i="190"/>
  <c r="AF132" i="190"/>
  <c r="AE132" i="190"/>
  <c r="AD132" i="190"/>
  <c r="AC132" i="190"/>
  <c r="AF131" i="190"/>
  <c r="AE131" i="190"/>
  <c r="AD131" i="190"/>
  <c r="AC131" i="190"/>
  <c r="AF130" i="190"/>
  <c r="AE130" i="190"/>
  <c r="AD130" i="190"/>
  <c r="AC130" i="190"/>
  <c r="AF129" i="190"/>
  <c r="AE129" i="190"/>
  <c r="AD129" i="190"/>
  <c r="AC129" i="190"/>
  <c r="AF128" i="190"/>
  <c r="AE128" i="190"/>
  <c r="AD128" i="190"/>
  <c r="AC128" i="190"/>
  <c r="AF127" i="190"/>
  <c r="AE127" i="190"/>
  <c r="AD127" i="190"/>
  <c r="AC127" i="190"/>
  <c r="AF126" i="190"/>
  <c r="AE126" i="190"/>
  <c r="AD126" i="190"/>
  <c r="AC126" i="190"/>
  <c r="AF125" i="190"/>
  <c r="AE125" i="190"/>
  <c r="AD125" i="190"/>
  <c r="AC125" i="190"/>
  <c r="AF124" i="190"/>
  <c r="AE124" i="190"/>
  <c r="AD124" i="190"/>
  <c r="AC124" i="190"/>
  <c r="AF123" i="190"/>
  <c r="AE123" i="190"/>
  <c r="AD123" i="190"/>
  <c r="AC123" i="190"/>
  <c r="AF122" i="190"/>
  <c r="AE122" i="190"/>
  <c r="AD122" i="190"/>
  <c r="AC122" i="190"/>
  <c r="AF121" i="190"/>
  <c r="AE121" i="190"/>
  <c r="AD121" i="190"/>
  <c r="AC121" i="190"/>
  <c r="AF120" i="190"/>
  <c r="AE120" i="190"/>
  <c r="AD120" i="190"/>
  <c r="AC120" i="190"/>
  <c r="AF119" i="190"/>
  <c r="AE119" i="190"/>
  <c r="AD119" i="190"/>
  <c r="AC119" i="190"/>
  <c r="AF118" i="190"/>
  <c r="AE118" i="190"/>
  <c r="AD118" i="190"/>
  <c r="AC118" i="190"/>
  <c r="AF117" i="190"/>
  <c r="AE117" i="190"/>
  <c r="AD117" i="190"/>
  <c r="AC117" i="190"/>
  <c r="AF116" i="190"/>
  <c r="AE116" i="190"/>
  <c r="AD116" i="190"/>
  <c r="AC116" i="190"/>
  <c r="AF115" i="190"/>
  <c r="AE115" i="190"/>
  <c r="AD115" i="190"/>
  <c r="AC115" i="190"/>
  <c r="AF114" i="190"/>
  <c r="AE114" i="190"/>
  <c r="AD114" i="190"/>
  <c r="AC114" i="190"/>
  <c r="AF113" i="190"/>
  <c r="AE113" i="190"/>
  <c r="AD113" i="190"/>
  <c r="AC113" i="190"/>
  <c r="AF112" i="190"/>
  <c r="AE112" i="190"/>
  <c r="AD112" i="190"/>
  <c r="AC112" i="190"/>
  <c r="AF111" i="190"/>
  <c r="AE111" i="190"/>
  <c r="AD111" i="190"/>
  <c r="AC111" i="190"/>
  <c r="AF110" i="190"/>
  <c r="AE110" i="190"/>
  <c r="AD110" i="190"/>
  <c r="AC110" i="190"/>
  <c r="AF109" i="190"/>
  <c r="AE109" i="190"/>
  <c r="AD109" i="190"/>
  <c r="AC109" i="190"/>
  <c r="AF108" i="190"/>
  <c r="AE108" i="190"/>
  <c r="AD108" i="190"/>
  <c r="AC108" i="190"/>
  <c r="AF107" i="190"/>
  <c r="AE107" i="190"/>
  <c r="AD107" i="190"/>
  <c r="AC107" i="190"/>
  <c r="AF106" i="190"/>
  <c r="AE106" i="190"/>
  <c r="AD106" i="190"/>
  <c r="AC106" i="190"/>
  <c r="AF105" i="190"/>
  <c r="AE105" i="190"/>
  <c r="AD105" i="190"/>
  <c r="AC105" i="190"/>
  <c r="AF104" i="190"/>
  <c r="AE104" i="190"/>
  <c r="AD104" i="190"/>
  <c r="AC104" i="190"/>
  <c r="AF103" i="190"/>
  <c r="AE103" i="190"/>
  <c r="AD103" i="190"/>
  <c r="AC103" i="190"/>
  <c r="AF102" i="190"/>
  <c r="AE102" i="190"/>
  <c r="AD102" i="190"/>
  <c r="AC102" i="190"/>
  <c r="AF101" i="190"/>
  <c r="AE101" i="190"/>
  <c r="AD101" i="190"/>
  <c r="AC101" i="190"/>
  <c r="AF100" i="190"/>
  <c r="AE100" i="190"/>
  <c r="AD100" i="190"/>
  <c r="AC100" i="190"/>
  <c r="AF99" i="190"/>
  <c r="AE99" i="190"/>
  <c r="AD99" i="190"/>
  <c r="AC99" i="190"/>
  <c r="AF98" i="190"/>
  <c r="AE98" i="190"/>
  <c r="AD98" i="190"/>
  <c r="AC98" i="190"/>
  <c r="AF97" i="190"/>
  <c r="AE97" i="190"/>
  <c r="AD97" i="190"/>
  <c r="AC97" i="190"/>
  <c r="AF96" i="190"/>
  <c r="AE96" i="190"/>
  <c r="AD96" i="190"/>
  <c r="AC96" i="190"/>
  <c r="AF95" i="190"/>
  <c r="AE95" i="190"/>
  <c r="AD95" i="190"/>
  <c r="AC95" i="190"/>
  <c r="AF94" i="190"/>
  <c r="AE94" i="190"/>
  <c r="AD94" i="190"/>
  <c r="AC94" i="190"/>
  <c r="AF93" i="190"/>
  <c r="AE93" i="190"/>
  <c r="AD93" i="190"/>
  <c r="AC93" i="190"/>
  <c r="AF92" i="190"/>
  <c r="AE92" i="190"/>
  <c r="AD92" i="190"/>
  <c r="AC92" i="190"/>
  <c r="AF91" i="190"/>
  <c r="AE91" i="190"/>
  <c r="AD91" i="190"/>
  <c r="AC91" i="190"/>
  <c r="AF88" i="190"/>
  <c r="AE88" i="190"/>
  <c r="AD88" i="190"/>
  <c r="AC88" i="190"/>
  <c r="AF87" i="190"/>
  <c r="AE87" i="190"/>
  <c r="AD87" i="190"/>
  <c r="AC87" i="190"/>
  <c r="AF86" i="190"/>
  <c r="AE86" i="190"/>
  <c r="AD86" i="190"/>
  <c r="AC86" i="190"/>
  <c r="AF85" i="190"/>
  <c r="AE85" i="190"/>
  <c r="AD85" i="190"/>
  <c r="AC85" i="190"/>
  <c r="AF84" i="190"/>
  <c r="AE84" i="190"/>
  <c r="AD84" i="190"/>
  <c r="AC84" i="190"/>
  <c r="AF83" i="190"/>
  <c r="AE83" i="190"/>
  <c r="AD83" i="190"/>
  <c r="AC83" i="190"/>
  <c r="AF82" i="190"/>
  <c r="AE82" i="190"/>
  <c r="AD82" i="190"/>
  <c r="AC82" i="190"/>
  <c r="AF81" i="190"/>
  <c r="AE81" i="190"/>
  <c r="AD81" i="190"/>
  <c r="AC81" i="190"/>
  <c r="AF80" i="190"/>
  <c r="AE80" i="190"/>
  <c r="AD80" i="190"/>
  <c r="AC80" i="190"/>
  <c r="AF79" i="190"/>
  <c r="AE79" i="190"/>
  <c r="AD79" i="190"/>
  <c r="AC79" i="190"/>
  <c r="AF78" i="190"/>
  <c r="AE78" i="190"/>
  <c r="AD78" i="190"/>
  <c r="AC78" i="190"/>
  <c r="AF77" i="190"/>
  <c r="AE77" i="190"/>
  <c r="AD77" i="190"/>
  <c r="AC77" i="190"/>
  <c r="AF76" i="190"/>
  <c r="AE76" i="190"/>
  <c r="AD76" i="190"/>
  <c r="AC76" i="190"/>
  <c r="AF75" i="190"/>
  <c r="AE75" i="190"/>
  <c r="AD75" i="190"/>
  <c r="AC75" i="190"/>
  <c r="AF74" i="190"/>
  <c r="AE74" i="190"/>
  <c r="AD74" i="190"/>
  <c r="AC74" i="190"/>
  <c r="AF73" i="190"/>
  <c r="AE73" i="190"/>
  <c r="AD73" i="190"/>
  <c r="AC73" i="190"/>
  <c r="AF72" i="190"/>
  <c r="AE72" i="190"/>
  <c r="AD72" i="190"/>
  <c r="AC72" i="190"/>
  <c r="AF70" i="190"/>
  <c r="AE70" i="190"/>
  <c r="AD70" i="190"/>
  <c r="AC70" i="190"/>
  <c r="AF69" i="190"/>
  <c r="AE69" i="190"/>
  <c r="AD69" i="190"/>
  <c r="AC69" i="190"/>
  <c r="AF68" i="190"/>
  <c r="AE68" i="190"/>
  <c r="AD68" i="190"/>
  <c r="AC68" i="190"/>
  <c r="AF67" i="190"/>
  <c r="AE67" i="190"/>
  <c r="AD67" i="190"/>
  <c r="AC67" i="190"/>
  <c r="AF64" i="190"/>
  <c r="AE64" i="190"/>
  <c r="AD64" i="190"/>
  <c r="AC64" i="190"/>
  <c r="AF63" i="190"/>
  <c r="AE63" i="190"/>
  <c r="AD63" i="190"/>
  <c r="AC63" i="190"/>
  <c r="AF62" i="190"/>
  <c r="AE62" i="190"/>
  <c r="AD62" i="190"/>
  <c r="AC62" i="190"/>
  <c r="AF61" i="190"/>
  <c r="AE61" i="190"/>
  <c r="AD61" i="190"/>
  <c r="AC61" i="190"/>
  <c r="AF60" i="190"/>
  <c r="AE60" i="190"/>
  <c r="AD60" i="190"/>
  <c r="AC60" i="190"/>
  <c r="AF59" i="190"/>
  <c r="AE59" i="190"/>
  <c r="AD59" i="190"/>
  <c r="AC59" i="190"/>
  <c r="AF58" i="190"/>
  <c r="AE58" i="190"/>
  <c r="AD58" i="190"/>
  <c r="AC58" i="190"/>
  <c r="AF57" i="190"/>
  <c r="AE57" i="190"/>
  <c r="AD57" i="190"/>
  <c r="AC57" i="190"/>
  <c r="AF56" i="190"/>
  <c r="AE56" i="190"/>
  <c r="AD56" i="190"/>
  <c r="AC56" i="190"/>
  <c r="AF55" i="190"/>
  <c r="AE55" i="190"/>
  <c r="AD55" i="190"/>
  <c r="AC55" i="190"/>
  <c r="AF54" i="190"/>
  <c r="AE54" i="190"/>
  <c r="AD54" i="190"/>
  <c r="AC54" i="190"/>
  <c r="AF53" i="190"/>
  <c r="AE53" i="190"/>
  <c r="AD53" i="190"/>
  <c r="AC53" i="190"/>
  <c r="AF52" i="190"/>
  <c r="AE52" i="190"/>
  <c r="AD52" i="190"/>
  <c r="AC52" i="190"/>
  <c r="AF51" i="190"/>
  <c r="AE51" i="190"/>
  <c r="AD51" i="190"/>
  <c r="AC51" i="190"/>
  <c r="AF50" i="190"/>
  <c r="AE50" i="190"/>
  <c r="AD50" i="190"/>
  <c r="AC50" i="190"/>
  <c r="AF49" i="190"/>
  <c r="AE49" i="190"/>
  <c r="AD49" i="190"/>
  <c r="AC49" i="190"/>
  <c r="AF48" i="190"/>
  <c r="AE48" i="190"/>
  <c r="AD48" i="190"/>
  <c r="AC48" i="190"/>
  <c r="AF47" i="190"/>
  <c r="AE47" i="190"/>
  <c r="AD47" i="190"/>
  <c r="AC47" i="190"/>
  <c r="AF46" i="190"/>
  <c r="AE46" i="190"/>
  <c r="AD46" i="190"/>
  <c r="AC46" i="190"/>
  <c r="AF45" i="190"/>
  <c r="AE45" i="190"/>
  <c r="AD45" i="190"/>
  <c r="AC45" i="190"/>
  <c r="AF44" i="190"/>
  <c r="AE44" i="190"/>
  <c r="AD44" i="190"/>
  <c r="AC44" i="190"/>
  <c r="AF43" i="190"/>
  <c r="AE43" i="190"/>
  <c r="AD43" i="190"/>
  <c r="AC43" i="190"/>
  <c r="AF42" i="190"/>
  <c r="AE42" i="190"/>
  <c r="AD42" i="190"/>
  <c r="AC42" i="190"/>
  <c r="AF41" i="190"/>
  <c r="AE41" i="190"/>
  <c r="AD41" i="190"/>
  <c r="AC41" i="190"/>
  <c r="AF40" i="190"/>
  <c r="AE40" i="190"/>
  <c r="AD40" i="190"/>
  <c r="AC40" i="190"/>
  <c r="AF39" i="190"/>
  <c r="AE39" i="190"/>
  <c r="AD39" i="190"/>
  <c r="AC39" i="190"/>
  <c r="AF38" i="190"/>
  <c r="AE38" i="190"/>
  <c r="AD38" i="190"/>
  <c r="AC38" i="190"/>
  <c r="AF37" i="190"/>
  <c r="AE37" i="190"/>
  <c r="AD37" i="190"/>
  <c r="AC37" i="190"/>
  <c r="AF36" i="190"/>
  <c r="AE36" i="190"/>
  <c r="AD36" i="190"/>
  <c r="AC36" i="190"/>
  <c r="AF35" i="190"/>
  <c r="AE35" i="190"/>
  <c r="AD35" i="190"/>
  <c r="AC35" i="190"/>
  <c r="AF34" i="190"/>
  <c r="AE34" i="190"/>
  <c r="AD34" i="190"/>
  <c r="AC34" i="190"/>
  <c r="AF33" i="190"/>
  <c r="AE33" i="190"/>
  <c r="AD33" i="190"/>
  <c r="AC33" i="190"/>
  <c r="AF32" i="190"/>
  <c r="AE32" i="190"/>
  <c r="AD32" i="190"/>
  <c r="AC32" i="190"/>
  <c r="AF31" i="190"/>
  <c r="AE31" i="190"/>
  <c r="AD31" i="190"/>
  <c r="AC31" i="190"/>
  <c r="AF30" i="190"/>
  <c r="AE30" i="190"/>
  <c r="AD30" i="190"/>
  <c r="AC30" i="190"/>
  <c r="AF29" i="190"/>
  <c r="AE29" i="190"/>
  <c r="AD29" i="190"/>
  <c r="AC29" i="190"/>
  <c r="AF28" i="190"/>
  <c r="AE28" i="190"/>
  <c r="AD28" i="190"/>
  <c r="AC28" i="190"/>
  <c r="AF27" i="190"/>
  <c r="AE27" i="190"/>
  <c r="AD27" i="190"/>
  <c r="AC27" i="190"/>
  <c r="AF26" i="190"/>
  <c r="AE26" i="190"/>
  <c r="AD26" i="190"/>
  <c r="AC26" i="190"/>
  <c r="AF24" i="190"/>
  <c r="AE24" i="190"/>
  <c r="AD24" i="190"/>
  <c r="AC24" i="190"/>
  <c r="AF21" i="190"/>
  <c r="AE21" i="190"/>
  <c r="AD21" i="190"/>
  <c r="AC21" i="190"/>
  <c r="AF20" i="190"/>
  <c r="AE20" i="190"/>
  <c r="AD20" i="190"/>
  <c r="AC20" i="190"/>
  <c r="AF15" i="190"/>
  <c r="AE15" i="190"/>
  <c r="AD15" i="190"/>
  <c r="AC15" i="190"/>
  <c r="AF14" i="190"/>
  <c r="AE14" i="190"/>
  <c r="AD14" i="190"/>
  <c r="AC14" i="190"/>
  <c r="AF13" i="190"/>
  <c r="AE13" i="190"/>
  <c r="AD13" i="190"/>
  <c r="AC13" i="190"/>
  <c r="AF12" i="190"/>
  <c r="AE12" i="190"/>
  <c r="AD12" i="190"/>
  <c r="AC12" i="190"/>
  <c r="AF11" i="190"/>
  <c r="AE11" i="190"/>
  <c r="AD11" i="190"/>
  <c r="AC11" i="190"/>
  <c r="AF10" i="190"/>
  <c r="AE10" i="190"/>
  <c r="AD10" i="190"/>
  <c r="AF9" i="190"/>
  <c r="AE9" i="190"/>
  <c r="AD9" i="190"/>
  <c r="AC9" i="190"/>
  <c r="AD8" i="190"/>
  <c r="AE8" i="190"/>
  <c r="AF8" i="190"/>
  <c r="AC8" i="190"/>
  <c r="W9" i="183"/>
  <c r="W8" i="183"/>
  <c r="W165" i="183"/>
  <c r="W164" i="183"/>
  <c r="W163" i="183"/>
  <c r="W162" i="183"/>
  <c r="W161" i="183"/>
  <c r="W160" i="183"/>
  <c r="W158" i="183"/>
  <c r="W157" i="183"/>
  <c r="W156" i="183"/>
  <c r="W155" i="183"/>
  <c r="W154" i="183"/>
  <c r="W153" i="183"/>
  <c r="W152" i="183"/>
  <c r="W151" i="183"/>
  <c r="W150" i="183"/>
  <c r="W148" i="183"/>
  <c r="W146" i="183"/>
  <c r="W145" i="183"/>
  <c r="W144" i="183"/>
  <c r="W143" i="183"/>
  <c r="W142" i="183"/>
  <c r="W141" i="183"/>
  <c r="W140" i="183"/>
  <c r="W139" i="183"/>
  <c r="W138" i="183"/>
  <c r="W137" i="183"/>
  <c r="W136" i="183"/>
  <c r="W134" i="183"/>
  <c r="W133" i="183"/>
  <c r="W132" i="183"/>
  <c r="W131" i="183"/>
  <c r="W130" i="183"/>
  <c r="W129" i="183"/>
  <c r="W128" i="183"/>
  <c r="W127" i="183"/>
  <c r="W126" i="183"/>
  <c r="W125" i="183"/>
  <c r="W124" i="183"/>
  <c r="W122" i="183"/>
  <c r="W121" i="183"/>
  <c r="W120" i="183"/>
  <c r="W119" i="183"/>
  <c r="W118" i="183"/>
  <c r="W117" i="183"/>
  <c r="W116" i="183"/>
  <c r="W115" i="183"/>
  <c r="W112" i="183"/>
  <c r="W110" i="183"/>
  <c r="W109" i="183"/>
  <c r="W108" i="183"/>
  <c r="W107" i="183"/>
  <c r="W106" i="183"/>
  <c r="W105" i="183"/>
  <c r="W104" i="183"/>
  <c r="W103" i="183"/>
  <c r="W102" i="183"/>
  <c r="W100" i="183"/>
  <c r="W98" i="183"/>
  <c r="W97" i="183"/>
  <c r="W96" i="183"/>
  <c r="W95" i="183"/>
  <c r="W94" i="183"/>
  <c r="W93" i="183"/>
  <c r="W92" i="183"/>
  <c r="W91" i="183"/>
  <c r="W88" i="183"/>
  <c r="W86" i="183"/>
  <c r="W85" i="183"/>
  <c r="W84" i="183"/>
  <c r="W83" i="183"/>
  <c r="W82" i="183"/>
  <c r="W81" i="183"/>
  <c r="W80" i="183"/>
  <c r="W79" i="183"/>
  <c r="W78" i="183"/>
  <c r="W77" i="183"/>
  <c r="W76" i="183"/>
  <c r="W75" i="183"/>
  <c r="W74" i="183"/>
  <c r="W73" i="183"/>
  <c r="W72" i="183"/>
  <c r="W69" i="183"/>
  <c r="W68" i="183"/>
  <c r="W67" i="183"/>
  <c r="W66" i="183"/>
  <c r="W65" i="183"/>
  <c r="W63" i="183"/>
  <c r="W62" i="183"/>
  <c r="W61" i="183"/>
  <c r="W60" i="183"/>
  <c r="W59" i="183"/>
  <c r="W58" i="183"/>
  <c r="W57" i="183"/>
  <c r="W56" i="183"/>
  <c r="W55" i="183"/>
  <c r="W54" i="183"/>
  <c r="W53" i="183"/>
  <c r="W52" i="183"/>
  <c r="W51" i="183"/>
  <c r="W50" i="183"/>
  <c r="W49" i="183"/>
  <c r="W48" i="183"/>
  <c r="W46" i="183"/>
  <c r="W45" i="183"/>
  <c r="W44" i="183"/>
  <c r="W43" i="183"/>
  <c r="W42" i="183"/>
  <c r="W41" i="183"/>
  <c r="W40" i="183"/>
  <c r="W39" i="183"/>
  <c r="W38" i="183"/>
  <c r="W37" i="183"/>
  <c r="W36" i="183"/>
  <c r="W35" i="183"/>
  <c r="W34" i="183"/>
  <c r="W33" i="183"/>
  <c r="W32" i="183"/>
  <c r="W31" i="183"/>
  <c r="W30" i="183"/>
  <c r="W29" i="183"/>
  <c r="W28" i="183"/>
  <c r="W27" i="183"/>
  <c r="W26" i="183"/>
  <c r="W25" i="183"/>
  <c r="W24" i="183"/>
  <c r="W21" i="183"/>
  <c r="W20" i="183"/>
  <c r="W19" i="183"/>
  <c r="W18" i="183"/>
  <c r="W15" i="183"/>
  <c r="W14" i="183"/>
  <c r="S13" i="183"/>
  <c r="S12" i="183"/>
  <c r="S11" i="183"/>
  <c r="AE167" i="149"/>
  <c r="AE166" i="149"/>
  <c r="AE165" i="149"/>
  <c r="AE164" i="149"/>
  <c r="AE163" i="149"/>
  <c r="AE162" i="149"/>
  <c r="AE161" i="149"/>
  <c r="AE160" i="149"/>
  <c r="AE159" i="149"/>
  <c r="AE158" i="149"/>
  <c r="AE157" i="149"/>
  <c r="AE156" i="149"/>
  <c r="AE155" i="149"/>
  <c r="AE154" i="149"/>
  <c r="AE153" i="149"/>
  <c r="AE152" i="149"/>
  <c r="AE150" i="149"/>
  <c r="AE149" i="149"/>
  <c r="AE148" i="149"/>
  <c r="AE146" i="149"/>
  <c r="AE145" i="149"/>
  <c r="AE144" i="149"/>
  <c r="AE143" i="149"/>
  <c r="AE142" i="149"/>
  <c r="AE141" i="149"/>
  <c r="AE139" i="149"/>
  <c r="AE138" i="149"/>
  <c r="AE137" i="149"/>
  <c r="AE136" i="149"/>
  <c r="AE135" i="149"/>
  <c r="AE134" i="149"/>
  <c r="AE133" i="149"/>
  <c r="AE132" i="149"/>
  <c r="AE131" i="149"/>
  <c r="AE130" i="149"/>
  <c r="AE129" i="149"/>
  <c r="AE128" i="149"/>
  <c r="AE127" i="149"/>
  <c r="AE126" i="149"/>
  <c r="AE125" i="149"/>
  <c r="AE124" i="149"/>
  <c r="AE123" i="149"/>
  <c r="AE122" i="149"/>
  <c r="AE119" i="149"/>
  <c r="AE118" i="149"/>
  <c r="AE117" i="149"/>
  <c r="AE116" i="149"/>
  <c r="AE115" i="149"/>
  <c r="AE114" i="149"/>
  <c r="AE113" i="149"/>
  <c r="AE112" i="149"/>
  <c r="AE111" i="149"/>
  <c r="AE109" i="149"/>
  <c r="AE108" i="149"/>
  <c r="AE107" i="149"/>
  <c r="AE106" i="149"/>
  <c r="AE105" i="149"/>
  <c r="AE104" i="149"/>
  <c r="AE103" i="149"/>
  <c r="AE102" i="149"/>
  <c r="AE99" i="149"/>
  <c r="AE98" i="149"/>
  <c r="AE97" i="149"/>
  <c r="AE96" i="149"/>
  <c r="AE95" i="149"/>
  <c r="AE94" i="149"/>
  <c r="AE93" i="149"/>
  <c r="AE92" i="149"/>
  <c r="AE91" i="149"/>
  <c r="AE90" i="149"/>
  <c r="AE89" i="149"/>
  <c r="AE88" i="149"/>
  <c r="AE87" i="149"/>
  <c r="AE86" i="149"/>
  <c r="AE85" i="149"/>
  <c r="AE84" i="149"/>
  <c r="AE83" i="149"/>
  <c r="AE82" i="149"/>
  <c r="AE79" i="149"/>
  <c r="AE78" i="149"/>
  <c r="AE77" i="149"/>
  <c r="AE76" i="149"/>
  <c r="AE75" i="149"/>
  <c r="AE74" i="149"/>
  <c r="AE72" i="149"/>
  <c r="AE71" i="149"/>
  <c r="AE70" i="149"/>
  <c r="AE69" i="149"/>
  <c r="AE68" i="149"/>
  <c r="AE67" i="149"/>
  <c r="AE66" i="149"/>
  <c r="AE65" i="149"/>
  <c r="AE64" i="149"/>
  <c r="AE63" i="149"/>
  <c r="AE62" i="149"/>
  <c r="AE61" i="149"/>
  <c r="AE60" i="149"/>
  <c r="AE59" i="149"/>
  <c r="AE58" i="149"/>
  <c r="AE57" i="149"/>
  <c r="AE56" i="149"/>
  <c r="AE55" i="149"/>
  <c r="AE54" i="149"/>
  <c r="AE53" i="149"/>
  <c r="AE51" i="149"/>
  <c r="AE50" i="149"/>
  <c r="AE44" i="149"/>
  <c r="AE43" i="149"/>
  <c r="AE42" i="149"/>
  <c r="AE41" i="149"/>
  <c r="AE37" i="149"/>
  <c r="AE36" i="149"/>
  <c r="AE35" i="149"/>
  <c r="AE34" i="149"/>
  <c r="AE33" i="149"/>
  <c r="AE32" i="149"/>
  <c r="AE31" i="149"/>
  <c r="AE30" i="149"/>
  <c r="AE29" i="149"/>
  <c r="AE27" i="149"/>
  <c r="AE23" i="149"/>
  <c r="AE22" i="149"/>
  <c r="AE21" i="149"/>
  <c r="AE19" i="149"/>
  <c r="AE16" i="149"/>
  <c r="AE15" i="149"/>
  <c r="AE9" i="149"/>
  <c r="AE8" i="149"/>
  <c r="L12" i="139" l="1"/>
  <c r="AG16" i="190"/>
  <c r="AG15" i="190"/>
  <c r="AG21" i="190"/>
  <c r="AG26" i="190"/>
  <c r="AG28" i="190"/>
  <c r="AG30" i="190"/>
  <c r="AG32" i="190"/>
  <c r="AG34" i="190"/>
  <c r="AG36" i="190"/>
  <c r="AG38" i="190"/>
  <c r="AG40" i="190"/>
  <c r="AG42" i="190"/>
  <c r="AG44" i="190"/>
  <c r="AG46" i="190"/>
  <c r="AG48" i="190"/>
  <c r="AG50" i="190"/>
  <c r="AG52" i="190"/>
  <c r="AG54" i="190"/>
  <c r="AG56" i="190"/>
  <c r="AG58" i="190"/>
  <c r="AG60" i="190"/>
  <c r="AG62" i="190"/>
  <c r="AG64" i="190"/>
  <c r="AG68" i="190"/>
  <c r="AG70" i="190"/>
  <c r="AG73" i="190"/>
  <c r="AG75" i="190"/>
  <c r="AG77" i="190"/>
  <c r="AG79" i="190"/>
  <c r="AG81" i="190"/>
  <c r="AG83" i="190"/>
  <c r="AG85" i="190"/>
  <c r="AG91" i="190"/>
  <c r="AG93" i="190"/>
  <c r="AG95" i="190"/>
  <c r="AG97" i="190"/>
  <c r="AG99" i="190"/>
  <c r="AG101" i="190"/>
  <c r="AG103" i="190"/>
  <c r="AG105" i="190"/>
  <c r="AG107" i="190"/>
  <c r="AG109" i="190"/>
  <c r="AG111" i="190"/>
  <c r="AG115" i="190"/>
  <c r="AG117" i="190"/>
  <c r="AG119" i="190"/>
  <c r="AG121" i="190"/>
  <c r="AG123" i="190"/>
  <c r="AG125" i="190"/>
  <c r="AG127" i="190"/>
  <c r="AG129" i="190"/>
  <c r="AG131" i="190"/>
  <c r="AG133" i="190"/>
  <c r="AG135" i="190"/>
  <c r="AG137" i="190"/>
  <c r="AG141" i="190"/>
  <c r="AG144" i="190"/>
  <c r="AG146" i="190"/>
  <c r="AG148" i="190"/>
  <c r="AG150" i="190"/>
  <c r="AG154" i="190"/>
  <c r="AG156" i="190"/>
  <c r="AG158" i="190"/>
  <c r="AG8" i="190"/>
  <c r="AG90" i="190"/>
  <c r="AG18" i="190"/>
  <c r="AG160" i="190"/>
  <c r="AG162" i="190"/>
  <c r="AG164" i="190"/>
  <c r="AG166" i="190"/>
  <c r="AG168" i="190"/>
  <c r="AG170" i="190"/>
  <c r="AG9" i="190"/>
  <c r="AG19" i="190"/>
  <c r="AG14" i="190"/>
  <c r="AG20" i="190"/>
  <c r="AG24" i="190"/>
  <c r="AG27" i="190"/>
  <c r="AG29" i="190"/>
  <c r="AG31" i="190"/>
  <c r="AG33" i="190"/>
  <c r="AG35" i="190"/>
  <c r="AG37" i="190"/>
  <c r="AG39" i="190"/>
  <c r="AG41" i="190"/>
  <c r="AG43" i="190"/>
  <c r="AG45" i="190"/>
  <c r="AG47" i="190"/>
  <c r="AG49" i="190"/>
  <c r="AG51" i="190"/>
  <c r="AG53" i="190"/>
  <c r="AG55" i="190"/>
  <c r="AG57" i="190"/>
  <c r="AG59" i="190"/>
  <c r="AG61" i="190"/>
  <c r="AG63" i="190"/>
  <c r="AG67" i="190"/>
  <c r="AG69" i="190"/>
  <c r="AG72" i="190"/>
  <c r="AG74" i="190"/>
  <c r="AG76" i="190"/>
  <c r="AG78" i="190"/>
  <c r="AG80" i="190"/>
  <c r="AG82" i="190"/>
  <c r="AG84" i="190"/>
  <c r="AG86" i="190"/>
  <c r="AG88" i="190"/>
  <c r="AG92" i="190"/>
  <c r="AG94" i="190"/>
  <c r="AG96" i="190"/>
  <c r="AG98" i="190"/>
  <c r="AG102" i="190"/>
  <c r="AG104" i="190"/>
  <c r="AG106" i="190"/>
  <c r="AG108" i="190"/>
  <c r="AG110" i="190"/>
  <c r="AG112" i="190"/>
  <c r="AG114" i="190"/>
  <c r="AG116" i="190"/>
  <c r="AG118" i="190"/>
  <c r="AG120" i="190"/>
  <c r="AG122" i="190"/>
  <c r="AG124" i="190"/>
  <c r="AG128" i="190"/>
  <c r="AG130" i="190"/>
  <c r="AG132" i="190"/>
  <c r="AG134" i="190"/>
  <c r="AG136" i="190"/>
  <c r="AG138" i="190"/>
  <c r="AG140" i="190"/>
  <c r="AG143" i="190"/>
  <c r="AG145" i="190"/>
  <c r="AG147" i="190"/>
  <c r="AG149" i="190"/>
  <c r="AG151" i="190"/>
  <c r="AG153" i="190"/>
  <c r="AG155" i="190"/>
  <c r="AG157" i="190"/>
  <c r="AG159" i="190"/>
  <c r="AG161" i="190"/>
  <c r="AG163" i="190"/>
  <c r="AG167" i="190"/>
  <c r="AG169" i="190"/>
  <c r="AG171" i="190"/>
  <c r="AG89" i="190"/>
  <c r="AG17" i="190"/>
  <c r="AG13" i="190"/>
  <c r="AG10" i="190"/>
  <c r="AG12" i="190"/>
  <c r="AG11" i="190"/>
  <c r="W11" i="183"/>
  <c r="AD11" i="149" s="1"/>
  <c r="AK13" i="149"/>
  <c r="W13" i="183"/>
  <c r="W12" i="183"/>
  <c r="Q54" i="139" l="1" a="1"/>
  <c r="Q54" i="139" s="1"/>
  <c r="Q53" i="139"/>
  <c r="S91" i="149"/>
  <c r="S90" i="149"/>
  <c r="S88" i="149"/>
  <c r="S87" i="149"/>
  <c r="S86" i="149"/>
  <c r="AL86" i="149" s="1"/>
  <c r="S85" i="149"/>
  <c r="AL85" i="149" s="1"/>
  <c r="S84" i="149"/>
  <c r="S82" i="149"/>
  <c r="S79" i="149"/>
  <c r="AL79" i="149" s="1"/>
  <c r="S78" i="149"/>
  <c r="AL78" i="149" s="1"/>
  <c r="S77" i="149"/>
  <c r="S76" i="149"/>
  <c r="S75" i="149"/>
  <c r="S74" i="149"/>
  <c r="S72" i="149"/>
  <c r="AL72" i="149" s="1"/>
  <c r="S71" i="149"/>
  <c r="AL71" i="149" s="1"/>
  <c r="S70" i="149"/>
  <c r="S69" i="149"/>
  <c r="S68" i="149"/>
  <c r="S67" i="149"/>
  <c r="S65" i="149"/>
  <c r="AL65" i="149" s="1"/>
  <c r="S64" i="149"/>
  <c r="AL64" i="149" s="1"/>
  <c r="S63" i="149"/>
  <c r="S62" i="149"/>
  <c r="S61" i="149"/>
  <c r="S60" i="149"/>
  <c r="S58" i="149"/>
  <c r="AL58" i="149" s="1"/>
  <c r="S57" i="149"/>
  <c r="AL57" i="149" s="1"/>
  <c r="S56" i="149"/>
  <c r="S55" i="149"/>
  <c r="S54" i="149"/>
  <c r="S53" i="149"/>
  <c r="S51" i="149"/>
  <c r="AL51" i="149" s="1"/>
  <c r="S50" i="149"/>
  <c r="AL50" i="149" s="1"/>
  <c r="S44" i="149"/>
  <c r="AL44" i="149" s="1"/>
  <c r="S43" i="149"/>
  <c r="AL43" i="149" s="1"/>
  <c r="S42" i="149"/>
  <c r="S41" i="149"/>
  <c r="S37" i="149"/>
  <c r="AL37" i="149" s="1"/>
  <c r="S36" i="149"/>
  <c r="AL36" i="149" s="1"/>
  <c r="S35" i="149"/>
  <c r="S34" i="149"/>
  <c r="S33" i="149"/>
  <c r="S30" i="149"/>
  <c r="AL30" i="149" s="1"/>
  <c r="S29" i="149"/>
  <c r="AL29" i="149" s="1"/>
  <c r="S23" i="149"/>
  <c r="AL23" i="149" s="1"/>
  <c r="S22" i="149"/>
  <c r="AL22" i="149" s="1"/>
  <c r="S21" i="149"/>
  <c r="S16" i="149"/>
  <c r="AL16" i="149" s="1"/>
  <c r="S15" i="149"/>
  <c r="AL15" i="149" s="1"/>
  <c r="AD8" i="149"/>
  <c r="AF8" i="149" s="1"/>
  <c r="W159" i="183"/>
  <c r="W147" i="183"/>
  <c r="W135" i="183"/>
  <c r="W123" i="183"/>
  <c r="W111" i="183"/>
  <c r="W99" i="183"/>
  <c r="W87" i="183"/>
  <c r="AD167" i="149"/>
  <c r="AF167" i="149" s="1"/>
  <c r="AD166" i="149"/>
  <c r="AF166" i="149" s="1"/>
  <c r="AD165" i="149"/>
  <c r="AF165" i="149" s="1"/>
  <c r="AD164" i="149"/>
  <c r="AF164" i="149" s="1"/>
  <c r="AD163" i="149"/>
  <c r="AF163" i="149" s="1"/>
  <c r="AD162" i="149"/>
  <c r="AF162" i="149" s="1"/>
  <c r="AD161" i="149"/>
  <c r="AF161" i="149" s="1"/>
  <c r="AD160" i="149"/>
  <c r="AF160" i="149" s="1"/>
  <c r="AD159" i="149"/>
  <c r="AF159" i="149" s="1"/>
  <c r="AD158" i="149"/>
  <c r="AF158" i="149" s="1"/>
  <c r="AD157" i="149"/>
  <c r="AF157" i="149" s="1"/>
  <c r="AD156" i="149"/>
  <c r="AF156" i="149" s="1"/>
  <c r="AD155" i="149"/>
  <c r="AF155" i="149" s="1"/>
  <c r="AD154" i="149"/>
  <c r="AF154" i="149" s="1"/>
  <c r="AD153" i="149"/>
  <c r="AF153" i="149" s="1"/>
  <c r="AD152" i="149"/>
  <c r="AF152" i="149" s="1"/>
  <c r="AD150" i="149"/>
  <c r="AF150" i="149" s="1"/>
  <c r="AD149" i="149"/>
  <c r="AF149" i="149" s="1"/>
  <c r="AD148" i="149"/>
  <c r="AF148" i="149" s="1"/>
  <c r="AD147" i="149"/>
  <c r="AD146" i="149"/>
  <c r="AF146" i="149" s="1"/>
  <c r="AD145" i="149"/>
  <c r="AF145" i="149" s="1"/>
  <c r="AD144" i="149"/>
  <c r="AF144" i="149" s="1"/>
  <c r="AD143" i="149"/>
  <c r="AF143" i="149" s="1"/>
  <c r="AD142" i="149"/>
  <c r="AF142" i="149" s="1"/>
  <c r="AD141" i="149"/>
  <c r="AF141" i="149" s="1"/>
  <c r="AD139" i="149"/>
  <c r="AF139" i="149" s="1"/>
  <c r="AD138" i="149"/>
  <c r="AF138" i="149" s="1"/>
  <c r="AD137" i="149"/>
  <c r="AF137" i="149" s="1"/>
  <c r="AD136" i="149"/>
  <c r="AF136" i="149" s="1"/>
  <c r="AD135" i="149"/>
  <c r="AF135" i="149" s="1"/>
  <c r="AD134" i="149"/>
  <c r="AF134" i="149" s="1"/>
  <c r="AD133" i="149"/>
  <c r="AF133" i="149" s="1"/>
  <c r="AD132" i="149"/>
  <c r="AF132" i="149" s="1"/>
  <c r="AD131" i="149"/>
  <c r="AF131" i="149" s="1"/>
  <c r="AD130" i="149"/>
  <c r="AF130" i="149" s="1"/>
  <c r="AD129" i="149"/>
  <c r="AF129" i="149" s="1"/>
  <c r="AD128" i="149"/>
  <c r="AF128" i="149" s="1"/>
  <c r="AD127" i="149"/>
  <c r="AF127" i="149" s="1"/>
  <c r="AD126" i="149"/>
  <c r="AF126" i="149" s="1"/>
  <c r="AD125" i="149"/>
  <c r="AF125" i="149" s="1"/>
  <c r="AD124" i="149"/>
  <c r="AF124" i="149" s="1"/>
  <c r="AD123" i="149"/>
  <c r="AF123" i="149" s="1"/>
  <c r="AD122" i="149"/>
  <c r="AF122" i="149" s="1"/>
  <c r="AD119" i="149"/>
  <c r="AF119" i="149" s="1"/>
  <c r="AD118" i="149"/>
  <c r="AF118" i="149" s="1"/>
  <c r="AD117" i="149"/>
  <c r="AF117" i="149" s="1"/>
  <c r="AD116" i="149"/>
  <c r="AF116" i="149" s="1"/>
  <c r="AD115" i="149"/>
  <c r="AF115" i="149" s="1"/>
  <c r="AD114" i="149"/>
  <c r="AF114" i="149" s="1"/>
  <c r="AD113" i="149"/>
  <c r="AF113" i="149" s="1"/>
  <c r="AD112" i="149"/>
  <c r="AF112" i="149" s="1"/>
  <c r="AD111" i="149"/>
  <c r="AF111" i="149" s="1"/>
  <c r="AD109" i="149"/>
  <c r="AF109" i="149" s="1"/>
  <c r="AD108" i="149"/>
  <c r="AF108" i="149" s="1"/>
  <c r="AD107" i="149"/>
  <c r="AF107" i="149" s="1"/>
  <c r="AD106" i="149"/>
  <c r="AF106" i="149" s="1"/>
  <c r="AD105" i="149"/>
  <c r="AF105" i="149" s="1"/>
  <c r="AD104" i="149"/>
  <c r="AF104" i="149" s="1"/>
  <c r="AD103" i="149"/>
  <c r="AF103" i="149" s="1"/>
  <c r="AD102" i="149"/>
  <c r="AF102" i="149" s="1"/>
  <c r="AD99" i="149"/>
  <c r="AF99" i="149" s="1"/>
  <c r="AD98" i="149"/>
  <c r="AF98" i="149" s="1"/>
  <c r="AD97" i="149"/>
  <c r="AF97" i="149" s="1"/>
  <c r="AD96" i="149"/>
  <c r="AF96" i="149" s="1"/>
  <c r="AD95" i="149"/>
  <c r="AF95" i="149" s="1"/>
  <c r="AD94" i="149"/>
  <c r="AF94" i="149" s="1"/>
  <c r="AD93" i="149"/>
  <c r="AF93" i="149" s="1"/>
  <c r="AD92" i="149"/>
  <c r="AF92" i="149" s="1"/>
  <c r="AD91" i="149"/>
  <c r="AF91" i="149" s="1"/>
  <c r="AD90" i="149"/>
  <c r="AF90" i="149" s="1"/>
  <c r="AD89" i="149"/>
  <c r="AF89" i="149" s="1"/>
  <c r="AD88" i="149"/>
  <c r="AF88" i="149" s="1"/>
  <c r="AD87" i="149"/>
  <c r="AF87" i="149" s="1"/>
  <c r="AD86" i="149"/>
  <c r="AF86" i="149" s="1"/>
  <c r="AD85" i="149"/>
  <c r="AF85" i="149" s="1"/>
  <c r="AD84" i="149"/>
  <c r="AF84" i="149" s="1"/>
  <c r="AD83" i="149"/>
  <c r="AF83" i="149" s="1"/>
  <c r="AD82" i="149"/>
  <c r="AF82" i="149" s="1"/>
  <c r="AD79" i="149"/>
  <c r="AF79" i="149" s="1"/>
  <c r="AD78" i="149"/>
  <c r="AF78" i="149" s="1"/>
  <c r="AD77" i="149"/>
  <c r="AF77" i="149" s="1"/>
  <c r="AD76" i="149"/>
  <c r="AF76" i="149" s="1"/>
  <c r="AD75" i="149"/>
  <c r="AF75" i="149" s="1"/>
  <c r="AD74" i="149"/>
  <c r="AF74" i="149" s="1"/>
  <c r="AD72" i="149"/>
  <c r="AF72" i="149" s="1"/>
  <c r="AD71" i="149"/>
  <c r="AF71" i="149" s="1"/>
  <c r="AD70" i="149"/>
  <c r="AF70" i="149" s="1"/>
  <c r="AD69" i="149"/>
  <c r="AF69" i="149" s="1"/>
  <c r="AD68" i="149"/>
  <c r="AF68" i="149" s="1"/>
  <c r="AD67" i="149"/>
  <c r="AF67" i="149" s="1"/>
  <c r="AD66" i="149"/>
  <c r="AF66" i="149" s="1"/>
  <c r="AD65" i="149"/>
  <c r="AF65" i="149" s="1"/>
  <c r="AD64" i="149"/>
  <c r="AF64" i="149" s="1"/>
  <c r="AD63" i="149"/>
  <c r="AF63" i="149" s="1"/>
  <c r="AD62" i="149"/>
  <c r="AF62" i="149" s="1"/>
  <c r="AD61" i="149"/>
  <c r="AF61" i="149" s="1"/>
  <c r="AD60" i="149"/>
  <c r="AF60" i="149" s="1"/>
  <c r="AD59" i="149"/>
  <c r="AF59" i="149" s="1"/>
  <c r="AD58" i="149"/>
  <c r="AF58" i="149" s="1"/>
  <c r="AD57" i="149"/>
  <c r="AF57" i="149" s="1"/>
  <c r="AD56" i="149"/>
  <c r="AF56" i="149" s="1"/>
  <c r="AD55" i="149"/>
  <c r="AF55" i="149" s="1"/>
  <c r="AD54" i="149"/>
  <c r="AF54" i="149" s="1"/>
  <c r="AD53" i="149"/>
  <c r="AF53" i="149" s="1"/>
  <c r="AD51" i="149"/>
  <c r="AF51" i="149" s="1"/>
  <c r="AD50" i="149"/>
  <c r="AF50" i="149" s="1"/>
  <c r="AD44" i="149"/>
  <c r="AF44" i="149" s="1"/>
  <c r="AD43" i="149"/>
  <c r="AF43" i="149" s="1"/>
  <c r="AD42" i="149"/>
  <c r="AF42" i="149" s="1"/>
  <c r="AD41" i="149"/>
  <c r="AF41" i="149" s="1"/>
  <c r="AD37" i="149"/>
  <c r="AF37" i="149" s="1"/>
  <c r="AD36" i="149"/>
  <c r="AF36" i="149" s="1"/>
  <c r="AD35" i="149"/>
  <c r="AF35" i="149" s="1"/>
  <c r="AD34" i="149"/>
  <c r="AF34" i="149" s="1"/>
  <c r="AD33" i="149"/>
  <c r="AF33" i="149" s="1"/>
  <c r="AD32" i="149"/>
  <c r="AF32" i="149" s="1"/>
  <c r="AD31" i="149"/>
  <c r="AF31" i="149" s="1"/>
  <c r="AD30" i="149"/>
  <c r="AF30" i="149" s="1"/>
  <c r="AD29" i="149"/>
  <c r="AF29" i="149" s="1"/>
  <c r="AD28" i="149"/>
  <c r="AD27" i="149"/>
  <c r="AF27" i="149" s="1"/>
  <c r="AD26" i="149"/>
  <c r="AD25" i="149"/>
  <c r="AD23" i="149"/>
  <c r="AF23" i="149" s="1"/>
  <c r="AD22" i="149"/>
  <c r="AF22" i="149" s="1"/>
  <c r="AD21" i="149"/>
  <c r="AF21" i="149" s="1"/>
  <c r="AD20" i="149"/>
  <c r="AD19" i="149"/>
  <c r="AF19" i="149" s="1"/>
  <c r="AD16" i="149"/>
  <c r="AF16" i="149" s="1"/>
  <c r="AD15" i="149"/>
  <c r="AF15" i="149" s="1"/>
  <c r="AD9" i="149"/>
  <c r="AF9" i="149" s="1"/>
  <c r="Q55" i="139" l="1"/>
  <c r="D19" i="214" s="1"/>
  <c r="S165" i="183"/>
  <c r="S164" i="183"/>
  <c r="S163" i="183"/>
  <c r="S162" i="183"/>
  <c r="S161" i="183"/>
  <c r="S160" i="183"/>
  <c r="S159" i="183"/>
  <c r="S158" i="183"/>
  <c r="S157" i="183"/>
  <c r="S156" i="183"/>
  <c r="S155" i="183"/>
  <c r="S154" i="183"/>
  <c r="S153" i="183"/>
  <c r="S152" i="183"/>
  <c r="S151" i="183"/>
  <c r="S150" i="183"/>
  <c r="S149" i="183"/>
  <c r="S148" i="183"/>
  <c r="S147" i="183"/>
  <c r="S146" i="183"/>
  <c r="S145" i="183"/>
  <c r="S144" i="183"/>
  <c r="S143" i="183"/>
  <c r="S142" i="183"/>
  <c r="S141" i="183"/>
  <c r="S140" i="183"/>
  <c r="S139" i="183"/>
  <c r="S138" i="183"/>
  <c r="S137" i="183"/>
  <c r="S136" i="183"/>
  <c r="S135" i="183"/>
  <c r="S134" i="183"/>
  <c r="S133" i="183"/>
  <c r="S132" i="183"/>
  <c r="S131" i="183"/>
  <c r="S130" i="183"/>
  <c r="S129" i="183"/>
  <c r="S128" i="183"/>
  <c r="S127" i="183"/>
  <c r="S126" i="183"/>
  <c r="S125" i="183"/>
  <c r="S124" i="183"/>
  <c r="S123" i="183"/>
  <c r="S122" i="183"/>
  <c r="S121" i="183"/>
  <c r="S120" i="183"/>
  <c r="S119" i="183"/>
  <c r="S118" i="183"/>
  <c r="S117" i="183"/>
  <c r="S116" i="183"/>
  <c r="S115" i="183"/>
  <c r="S114" i="183"/>
  <c r="S113" i="183"/>
  <c r="S112" i="183"/>
  <c r="S111" i="183"/>
  <c r="S110" i="183"/>
  <c r="S109" i="183"/>
  <c r="S108" i="183"/>
  <c r="S107" i="183"/>
  <c r="S106" i="183"/>
  <c r="S105" i="183"/>
  <c r="S104" i="183"/>
  <c r="S103" i="183"/>
  <c r="S102" i="183"/>
  <c r="S101" i="183"/>
  <c r="S100" i="183"/>
  <c r="S99" i="183"/>
  <c r="S98" i="183"/>
  <c r="S97" i="183"/>
  <c r="S96" i="183"/>
  <c r="S95" i="183"/>
  <c r="S94" i="183"/>
  <c r="S93" i="183"/>
  <c r="S92" i="183"/>
  <c r="S91" i="183"/>
  <c r="S90" i="183"/>
  <c r="S89" i="183"/>
  <c r="S88" i="183"/>
  <c r="S87" i="183"/>
  <c r="S86" i="183"/>
  <c r="S85" i="183"/>
  <c r="S84" i="183"/>
  <c r="S83" i="183"/>
  <c r="S82" i="183"/>
  <c r="S81" i="183"/>
  <c r="S80" i="183"/>
  <c r="S79" i="183"/>
  <c r="S78" i="183"/>
  <c r="S77" i="183"/>
  <c r="S76" i="183"/>
  <c r="S75" i="183"/>
  <c r="S74" i="183"/>
  <c r="S73" i="183"/>
  <c r="S72" i="183"/>
  <c r="S71" i="183"/>
  <c r="S70" i="183"/>
  <c r="S69" i="183"/>
  <c r="S68" i="183"/>
  <c r="S67" i="183"/>
  <c r="S66" i="183"/>
  <c r="S65" i="183"/>
  <c r="S64" i="183"/>
  <c r="S63" i="183"/>
  <c r="S62" i="183"/>
  <c r="S61" i="183"/>
  <c r="S60" i="183"/>
  <c r="S59" i="183"/>
  <c r="S58" i="183"/>
  <c r="S57" i="183"/>
  <c r="S56" i="183"/>
  <c r="S55" i="183"/>
  <c r="S54" i="183"/>
  <c r="S53" i="183"/>
  <c r="S52" i="183"/>
  <c r="S51" i="183"/>
  <c r="S50" i="183"/>
  <c r="S49" i="183"/>
  <c r="S48" i="183"/>
  <c r="S47" i="183"/>
  <c r="S46" i="183"/>
  <c r="S45" i="183"/>
  <c r="S44" i="183"/>
  <c r="S43" i="183"/>
  <c r="S42" i="183"/>
  <c r="S41" i="183"/>
  <c r="S40" i="183"/>
  <c r="S39" i="183"/>
  <c r="S38" i="183"/>
  <c r="S37" i="183"/>
  <c r="S36" i="183"/>
  <c r="S35" i="183"/>
  <c r="S34" i="183"/>
  <c r="S33" i="183"/>
  <c r="S32" i="183"/>
  <c r="S31" i="183"/>
  <c r="S30" i="183"/>
  <c r="S29" i="183"/>
  <c r="S28" i="183"/>
  <c r="S27" i="183"/>
  <c r="S26" i="183"/>
  <c r="S25" i="183"/>
  <c r="S24" i="183"/>
  <c r="S23" i="183"/>
  <c r="S22" i="183"/>
  <c r="S21" i="183"/>
  <c r="S20" i="183"/>
  <c r="S19" i="183"/>
  <c r="S18" i="183"/>
  <c r="S17" i="183"/>
  <c r="S16" i="183"/>
  <c r="S15" i="183"/>
  <c r="S14" i="183"/>
  <c r="S10" i="183"/>
  <c r="S9" i="183"/>
  <c r="S8" i="183"/>
  <c r="Y9" i="190" l="1"/>
  <c r="Y8" i="190"/>
  <c r="Y171" i="190"/>
  <c r="Y170" i="190"/>
  <c r="Y169" i="190"/>
  <c r="Y168" i="190"/>
  <c r="Y167" i="190"/>
  <c r="Y166" i="190"/>
  <c r="Y165" i="190"/>
  <c r="Y164" i="190"/>
  <c r="Y163" i="190"/>
  <c r="Y162" i="190"/>
  <c r="Y161" i="190"/>
  <c r="Y160" i="190"/>
  <c r="Y159" i="190"/>
  <c r="Y158" i="190"/>
  <c r="Y157" i="190"/>
  <c r="Y156" i="190"/>
  <c r="Y155" i="190"/>
  <c r="Y154" i="190"/>
  <c r="Y153" i="190"/>
  <c r="Y152" i="190"/>
  <c r="Y151" i="190"/>
  <c r="Y150" i="190"/>
  <c r="Y149" i="190"/>
  <c r="Y148" i="190"/>
  <c r="Y147" i="190"/>
  <c r="Y146" i="190"/>
  <c r="Y145" i="190"/>
  <c r="Y144" i="190"/>
  <c r="Y143" i="190"/>
  <c r="Y141" i="190"/>
  <c r="Y140" i="190"/>
  <c r="Y139" i="190"/>
  <c r="Y138" i="190"/>
  <c r="Y137" i="190"/>
  <c r="Y136" i="190"/>
  <c r="Y135" i="190"/>
  <c r="Y134" i="190"/>
  <c r="Y133" i="190"/>
  <c r="Y132" i="190"/>
  <c r="Y131" i="190"/>
  <c r="Y130" i="190"/>
  <c r="Y129" i="190"/>
  <c r="Y128" i="190"/>
  <c r="Y127" i="190"/>
  <c r="Y126" i="190"/>
  <c r="Y125" i="190"/>
  <c r="Y124" i="190"/>
  <c r="Y123" i="190"/>
  <c r="Y122" i="190"/>
  <c r="Y121" i="190"/>
  <c r="Y120" i="190"/>
  <c r="Y119" i="190"/>
  <c r="Y118" i="190"/>
  <c r="Y117" i="190"/>
  <c r="Y116" i="190"/>
  <c r="Y115" i="190"/>
  <c r="Y114" i="190"/>
  <c r="Y113" i="190"/>
  <c r="Y112" i="190"/>
  <c r="Y111" i="190"/>
  <c r="Y110" i="190"/>
  <c r="Y109" i="190"/>
  <c r="Y108" i="190"/>
  <c r="Y107" i="190"/>
  <c r="Y106" i="190"/>
  <c r="Y105" i="190"/>
  <c r="Y104" i="190"/>
  <c r="Y103" i="190"/>
  <c r="Y102" i="190"/>
  <c r="Y101" i="190"/>
  <c r="Y100" i="190"/>
  <c r="Y99" i="190"/>
  <c r="Y98" i="190"/>
  <c r="Y97" i="190"/>
  <c r="Y96" i="190"/>
  <c r="Y95" i="190"/>
  <c r="Y94" i="190"/>
  <c r="Y93" i="190"/>
  <c r="Y92" i="190"/>
  <c r="Y91" i="190"/>
  <c r="Y88" i="190"/>
  <c r="Y87" i="190"/>
  <c r="Y86" i="190"/>
  <c r="Y85" i="190"/>
  <c r="Y84" i="190"/>
  <c r="Y83" i="190"/>
  <c r="Y82" i="190"/>
  <c r="Y81" i="190"/>
  <c r="Y80" i="190"/>
  <c r="Y79" i="190"/>
  <c r="Y78" i="190"/>
  <c r="Y77" i="190"/>
  <c r="Y76" i="190"/>
  <c r="Y75" i="190"/>
  <c r="Y74" i="190"/>
  <c r="Y73" i="190"/>
  <c r="Y72" i="190"/>
  <c r="Y70" i="190"/>
  <c r="Y69" i="190"/>
  <c r="Y68" i="190"/>
  <c r="Y67" i="190"/>
  <c r="Y64" i="190"/>
  <c r="Y63" i="190"/>
  <c r="Y62" i="190"/>
  <c r="Y61" i="190"/>
  <c r="Y60" i="190"/>
  <c r="Y59" i="190"/>
  <c r="Y58" i="190"/>
  <c r="Y57" i="190"/>
  <c r="Y56" i="190"/>
  <c r="Y55" i="190"/>
  <c r="Y54" i="190"/>
  <c r="Y53" i="190"/>
  <c r="Y52" i="190"/>
  <c r="Y51" i="190"/>
  <c r="Y50" i="190"/>
  <c r="Y49" i="190"/>
  <c r="Y48" i="190"/>
  <c r="Y47" i="190"/>
  <c r="Y46" i="190"/>
  <c r="Y45" i="190"/>
  <c r="Y44" i="190"/>
  <c r="Y43" i="190"/>
  <c r="Y42" i="190"/>
  <c r="Y41" i="190"/>
  <c r="Y40" i="190"/>
  <c r="Y39" i="190"/>
  <c r="Y38" i="190"/>
  <c r="Y37" i="190"/>
  <c r="Y36" i="190"/>
  <c r="Y35" i="190"/>
  <c r="Y34" i="190"/>
  <c r="Y33" i="190"/>
  <c r="Y32" i="190"/>
  <c r="Y31" i="190"/>
  <c r="Y30" i="190"/>
  <c r="Y29" i="190"/>
  <c r="Y28" i="190"/>
  <c r="Y27" i="190"/>
  <c r="Y26" i="190"/>
  <c r="Y24" i="190"/>
  <c r="Y21" i="190"/>
  <c r="Y20" i="190"/>
  <c r="Y15" i="190"/>
  <c r="Y14" i="190"/>
  <c r="Y13" i="190"/>
  <c r="Y12" i="190"/>
  <c r="Y11" i="190"/>
  <c r="Y10" i="190"/>
  <c r="F28" i="207"/>
  <c r="G28" i="207"/>
  <c r="H28" i="207"/>
  <c r="I28" i="207"/>
  <c r="J28" i="207"/>
  <c r="AE18" i="149" l="1"/>
  <c r="AE17" i="149"/>
  <c r="O45" i="206" l="1"/>
  <c r="Z48" i="206" s="1"/>
  <c r="O43" i="206"/>
  <c r="O30" i="206"/>
  <c r="O48" i="206" s="1"/>
  <c r="Y189" i="149"/>
  <c r="Y188" i="149"/>
  <c r="Y187" i="149"/>
  <c r="Y186" i="149"/>
  <c r="Y185" i="149"/>
  <c r="Y184" i="149"/>
  <c r="Y183" i="149"/>
  <c r="Y182" i="149"/>
  <c r="D53" i="206" l="1"/>
  <c r="AA140" i="149"/>
  <c r="Y140" i="149"/>
  <c r="Y17" i="149"/>
  <c r="Y18" i="149"/>
  <c r="Y19" i="149"/>
  <c r="Y20" i="149"/>
  <c r="Y21" i="149"/>
  <c r="Y22" i="149"/>
  <c r="Y23" i="149"/>
  <c r="Y24" i="149"/>
  <c r="Y25" i="149"/>
  <c r="Y26" i="149"/>
  <c r="Y27" i="149"/>
  <c r="Y28" i="149"/>
  <c r="Y29" i="149"/>
  <c r="Y30" i="149"/>
  <c r="Y31" i="149"/>
  <c r="Y32" i="149"/>
  <c r="Y33" i="149"/>
  <c r="Y34" i="149"/>
  <c r="Y35" i="149"/>
  <c r="Y36" i="149"/>
  <c r="Y37" i="149"/>
  <c r="Y41" i="149"/>
  <c r="Y42" i="149"/>
  <c r="Y43" i="149"/>
  <c r="Y44" i="149"/>
  <c r="Y50" i="149"/>
  <c r="Y51" i="149"/>
  <c r="Y52" i="149"/>
  <c r="Y53" i="149"/>
  <c r="Y54" i="149"/>
  <c r="Y55" i="149"/>
  <c r="Y56" i="149"/>
  <c r="Y57" i="149"/>
  <c r="Y58" i="149"/>
  <c r="Y59" i="149"/>
  <c r="Y60" i="149"/>
  <c r="Y61" i="149"/>
  <c r="Y62" i="149"/>
  <c r="Y63" i="149"/>
  <c r="Y64" i="149"/>
  <c r="Y65" i="149"/>
  <c r="Y66" i="149"/>
  <c r="Y67" i="149"/>
  <c r="Y68" i="149"/>
  <c r="Y69" i="149"/>
  <c r="Y70" i="149"/>
  <c r="Y71" i="149"/>
  <c r="Y72" i="149"/>
  <c r="Y73" i="149"/>
  <c r="Y74" i="149"/>
  <c r="Y75" i="149"/>
  <c r="Y76" i="149"/>
  <c r="Y77" i="149"/>
  <c r="Y78" i="149"/>
  <c r="Y79" i="149"/>
  <c r="Y80" i="149"/>
  <c r="Y81" i="149"/>
  <c r="Y82" i="149"/>
  <c r="Y83" i="149"/>
  <c r="Y84" i="149"/>
  <c r="Y85" i="149"/>
  <c r="Y86" i="149"/>
  <c r="Y87" i="149"/>
  <c r="Y88" i="149"/>
  <c r="Y89" i="149"/>
  <c r="Y90" i="149"/>
  <c r="Y91" i="149"/>
  <c r="Y92" i="149"/>
  <c r="Y93" i="149"/>
  <c r="Y94" i="149"/>
  <c r="Y95" i="149"/>
  <c r="Y96" i="149"/>
  <c r="Y97" i="149"/>
  <c r="Y98" i="149"/>
  <c r="Y99" i="149"/>
  <c r="Y100" i="149"/>
  <c r="Y101" i="149"/>
  <c r="Y102" i="149"/>
  <c r="Y103" i="149"/>
  <c r="Y104" i="149"/>
  <c r="Y105" i="149"/>
  <c r="Y106" i="149"/>
  <c r="Y107" i="149"/>
  <c r="Y108" i="149"/>
  <c r="Y109" i="149"/>
  <c r="Y110" i="149"/>
  <c r="Y111" i="149"/>
  <c r="Y112" i="149"/>
  <c r="Y113" i="149"/>
  <c r="Y114" i="149"/>
  <c r="Y115" i="149"/>
  <c r="Y116" i="149"/>
  <c r="Y117" i="149"/>
  <c r="Y118" i="149"/>
  <c r="Y119" i="149"/>
  <c r="Y120" i="149"/>
  <c r="Y121" i="149"/>
  <c r="Y122" i="149"/>
  <c r="Y123" i="149"/>
  <c r="Y124" i="149"/>
  <c r="Y125" i="149"/>
  <c r="Y126" i="149"/>
  <c r="Y127" i="149"/>
  <c r="Y128" i="149"/>
  <c r="Y129" i="149"/>
  <c r="Y130" i="149"/>
  <c r="Y131" i="149"/>
  <c r="Y132" i="149"/>
  <c r="Y133" i="149"/>
  <c r="Y134" i="149"/>
  <c r="Y135" i="149"/>
  <c r="Y136" i="149"/>
  <c r="Y137" i="149"/>
  <c r="Y138" i="149"/>
  <c r="Y139" i="149"/>
  <c r="Y141" i="149"/>
  <c r="Y142" i="149"/>
  <c r="Y143" i="149"/>
  <c r="Y144" i="149"/>
  <c r="Y145" i="149"/>
  <c r="Y146" i="149"/>
  <c r="Y147" i="149"/>
  <c r="Y148" i="149"/>
  <c r="Y149" i="149"/>
  <c r="Y150" i="149"/>
  <c r="Y151" i="149"/>
  <c r="Y152" i="149"/>
  <c r="Y153" i="149"/>
  <c r="Y154" i="149"/>
  <c r="Y155" i="149"/>
  <c r="Y156" i="149"/>
  <c r="Y157" i="149"/>
  <c r="Y158" i="149"/>
  <c r="Y159" i="149"/>
  <c r="Y160" i="149"/>
  <c r="Y161" i="149"/>
  <c r="Y162" i="149"/>
  <c r="Y163" i="149"/>
  <c r="Y164" i="149"/>
  <c r="Y165" i="149"/>
  <c r="Y166" i="149"/>
  <c r="Y167" i="149"/>
  <c r="AA17" i="149"/>
  <c r="AA18" i="149"/>
  <c r="AA19" i="149"/>
  <c r="Z19" i="149" s="1"/>
  <c r="AA20" i="149"/>
  <c r="Z20" i="149" s="1"/>
  <c r="AA21" i="149"/>
  <c r="Z21" i="149" s="1"/>
  <c r="AA22" i="149"/>
  <c r="Z22" i="149" s="1"/>
  <c r="AA23" i="149"/>
  <c r="Z23" i="149" s="1"/>
  <c r="AA24" i="149"/>
  <c r="AA25" i="149"/>
  <c r="Z25" i="149" s="1"/>
  <c r="AA26" i="149"/>
  <c r="Z26" i="149" s="1"/>
  <c r="AA27" i="149"/>
  <c r="Z27" i="149" s="1"/>
  <c r="AA28" i="149"/>
  <c r="Z28" i="149" s="1"/>
  <c r="AA29" i="149"/>
  <c r="Z29" i="149" s="1"/>
  <c r="AA30" i="149"/>
  <c r="Z30" i="149" s="1"/>
  <c r="AA31" i="149"/>
  <c r="AA32" i="149"/>
  <c r="AA33" i="149"/>
  <c r="Z33" i="149" s="1"/>
  <c r="AA34" i="149"/>
  <c r="Z34" i="149" s="1"/>
  <c r="AA35" i="149"/>
  <c r="Z35" i="149" s="1"/>
  <c r="AA36" i="149"/>
  <c r="Z36" i="149" s="1"/>
  <c r="AA37" i="149"/>
  <c r="Z37" i="149" s="1"/>
  <c r="AA41" i="149"/>
  <c r="Z41" i="149" s="1"/>
  <c r="AA42" i="149"/>
  <c r="Z42" i="149" s="1"/>
  <c r="AA43" i="149"/>
  <c r="Z43" i="149" s="1"/>
  <c r="AA44" i="149"/>
  <c r="Z44" i="149" s="1"/>
  <c r="AA50" i="149"/>
  <c r="Z50" i="149" s="1"/>
  <c r="AA51" i="149"/>
  <c r="Z51" i="149" s="1"/>
  <c r="AA52" i="149"/>
  <c r="AA53" i="149"/>
  <c r="Z53" i="149" s="1"/>
  <c r="AA54" i="149"/>
  <c r="Z54" i="149" s="1"/>
  <c r="AA55" i="149"/>
  <c r="Z55" i="149" s="1"/>
  <c r="AA56" i="149"/>
  <c r="Z56" i="149" s="1"/>
  <c r="AA57" i="149"/>
  <c r="Z57" i="149" s="1"/>
  <c r="AA58" i="149"/>
  <c r="Z58" i="149" s="1"/>
  <c r="AA59" i="149"/>
  <c r="Z59" i="149" s="1"/>
  <c r="AA60" i="149"/>
  <c r="Z60" i="149" s="1"/>
  <c r="AA61" i="149"/>
  <c r="Z61" i="149" s="1"/>
  <c r="AA62" i="149"/>
  <c r="Z62" i="149" s="1"/>
  <c r="AA63" i="149"/>
  <c r="Z63" i="149" s="1"/>
  <c r="AA64" i="149"/>
  <c r="Z64" i="149" s="1"/>
  <c r="AA65" i="149"/>
  <c r="Z65" i="149" s="1"/>
  <c r="AA66" i="149"/>
  <c r="AA67" i="149"/>
  <c r="Z67" i="149" s="1"/>
  <c r="AA68" i="149"/>
  <c r="Z68" i="149" s="1"/>
  <c r="AA69" i="149"/>
  <c r="Z69" i="149" s="1"/>
  <c r="AA70" i="149"/>
  <c r="Z70" i="149" s="1"/>
  <c r="AA71" i="149"/>
  <c r="Z71" i="149" s="1"/>
  <c r="AA72" i="149"/>
  <c r="Z72" i="149" s="1"/>
  <c r="AA73" i="149"/>
  <c r="AA74" i="149"/>
  <c r="Z74" i="149" s="1"/>
  <c r="AA75" i="149"/>
  <c r="Z75" i="149" s="1"/>
  <c r="AA76" i="149"/>
  <c r="Z76" i="149" s="1"/>
  <c r="AA77" i="149"/>
  <c r="Z77" i="149" s="1"/>
  <c r="AA78" i="149"/>
  <c r="Z78" i="149" s="1"/>
  <c r="AA79" i="149"/>
  <c r="Z79" i="149" s="1"/>
  <c r="AA80" i="149"/>
  <c r="AA81" i="149"/>
  <c r="AA82" i="149"/>
  <c r="Z82" i="149" s="1"/>
  <c r="AA83" i="149"/>
  <c r="Z83" i="149" s="1"/>
  <c r="AA84" i="149"/>
  <c r="Z84" i="149" s="1"/>
  <c r="AA85" i="149"/>
  <c r="Z85" i="149" s="1"/>
  <c r="AA86" i="149"/>
  <c r="Z86" i="149" s="1"/>
  <c r="AA87" i="149"/>
  <c r="Z87" i="149" s="1"/>
  <c r="AA88" i="149"/>
  <c r="Z88" i="149" s="1"/>
  <c r="AA89" i="149"/>
  <c r="Z89" i="149" s="1"/>
  <c r="AA90" i="149"/>
  <c r="Z90" i="149" s="1"/>
  <c r="AA91" i="149"/>
  <c r="Z91" i="149" s="1"/>
  <c r="AA92" i="149"/>
  <c r="Z92" i="149" s="1"/>
  <c r="AA93" i="149"/>
  <c r="Z93" i="149" s="1"/>
  <c r="AA94" i="149"/>
  <c r="Z94" i="149" s="1"/>
  <c r="AA95" i="149"/>
  <c r="Z95" i="149" s="1"/>
  <c r="AA96" i="149"/>
  <c r="Z96" i="149" s="1"/>
  <c r="AA97" i="149"/>
  <c r="Z97" i="149" s="1"/>
  <c r="AA98" i="149"/>
  <c r="Z98" i="149" s="1"/>
  <c r="AA99" i="149"/>
  <c r="Z99" i="149" s="1"/>
  <c r="AA100" i="149"/>
  <c r="AA101" i="149"/>
  <c r="AA102" i="149"/>
  <c r="Z102" i="149" s="1"/>
  <c r="AA103" i="149"/>
  <c r="Z103" i="149" s="1"/>
  <c r="AA104" i="149"/>
  <c r="Z104" i="149" s="1"/>
  <c r="AA105" i="149"/>
  <c r="Z105" i="149" s="1"/>
  <c r="AA106" i="149"/>
  <c r="Z106" i="149" s="1"/>
  <c r="AA107" i="149"/>
  <c r="Z107" i="149" s="1"/>
  <c r="AA108" i="149"/>
  <c r="Z108" i="149" s="1"/>
  <c r="AA109" i="149"/>
  <c r="Z109" i="149" s="1"/>
  <c r="AA110" i="149"/>
  <c r="AA111" i="149"/>
  <c r="Z111" i="149" s="1"/>
  <c r="AA112" i="149"/>
  <c r="Z112" i="149" s="1"/>
  <c r="AA113" i="149"/>
  <c r="Z113" i="149" s="1"/>
  <c r="AA114" i="149"/>
  <c r="Z114" i="149" s="1"/>
  <c r="AA115" i="149"/>
  <c r="Z115" i="149" s="1"/>
  <c r="AA116" i="149"/>
  <c r="Z116" i="149" s="1"/>
  <c r="AA117" i="149"/>
  <c r="Z117" i="149" s="1"/>
  <c r="AA118" i="149"/>
  <c r="Z118" i="149" s="1"/>
  <c r="AA119" i="149"/>
  <c r="Z119" i="149" s="1"/>
  <c r="AA120" i="149"/>
  <c r="AA121" i="149"/>
  <c r="AA122" i="149"/>
  <c r="Z122" i="149" s="1"/>
  <c r="AA123" i="149"/>
  <c r="Z123" i="149" s="1"/>
  <c r="AA124" i="149"/>
  <c r="Z124" i="149" s="1"/>
  <c r="AA125" i="149"/>
  <c r="Z125" i="149" s="1"/>
  <c r="AA126" i="149"/>
  <c r="Z126" i="149" s="1"/>
  <c r="AA127" i="149"/>
  <c r="Z127" i="149" s="1"/>
  <c r="AA128" i="149"/>
  <c r="Z128" i="149" s="1"/>
  <c r="AA129" i="149"/>
  <c r="Z129" i="149" s="1"/>
  <c r="AA130" i="149"/>
  <c r="AA131" i="149"/>
  <c r="Z131" i="149" s="1"/>
  <c r="AA132" i="149"/>
  <c r="Z132" i="149" s="1"/>
  <c r="AA133" i="149"/>
  <c r="Z133" i="149" s="1"/>
  <c r="AA134" i="149"/>
  <c r="Z134" i="149" s="1"/>
  <c r="AA135" i="149"/>
  <c r="Z135" i="149" s="1"/>
  <c r="AA136" i="149"/>
  <c r="Z136" i="149" s="1"/>
  <c r="AA137" i="149"/>
  <c r="Z137" i="149" s="1"/>
  <c r="AA138" i="149"/>
  <c r="Z138" i="149" s="1"/>
  <c r="AA139" i="149"/>
  <c r="Z139" i="149" s="1"/>
  <c r="AA141" i="149"/>
  <c r="Z141" i="149" s="1"/>
  <c r="AA142" i="149"/>
  <c r="Z142" i="149" s="1"/>
  <c r="AA143" i="149"/>
  <c r="Z143" i="149" s="1"/>
  <c r="AA144" i="149"/>
  <c r="Z144" i="149" s="1"/>
  <c r="AA145" i="149"/>
  <c r="Z145" i="149" s="1"/>
  <c r="AA146" i="149"/>
  <c r="Z146" i="149" s="1"/>
  <c r="AA147" i="149"/>
  <c r="AA148" i="149"/>
  <c r="Z148" i="149" s="1"/>
  <c r="AA149" i="149"/>
  <c r="Z149" i="149" s="1"/>
  <c r="AA150" i="149"/>
  <c r="AA151" i="149"/>
  <c r="AA152" i="149"/>
  <c r="Z152" i="149" s="1"/>
  <c r="AA153" i="149"/>
  <c r="Z153" i="149" s="1"/>
  <c r="AA154" i="149"/>
  <c r="Z154" i="149" s="1"/>
  <c r="AA155" i="149"/>
  <c r="Z155" i="149" s="1"/>
  <c r="AA156" i="149"/>
  <c r="Z156" i="149" s="1"/>
  <c r="AA157" i="149"/>
  <c r="Z157" i="149" s="1"/>
  <c r="AA158" i="149"/>
  <c r="Z158" i="149" s="1"/>
  <c r="AA159" i="149"/>
  <c r="Z159" i="149" s="1"/>
  <c r="AA160" i="149"/>
  <c r="Z160" i="149" s="1"/>
  <c r="AA161" i="149"/>
  <c r="AA162" i="149"/>
  <c r="Z162" i="149" s="1"/>
  <c r="AA163" i="149"/>
  <c r="Z163" i="149" s="1"/>
  <c r="AA164" i="149"/>
  <c r="Z164" i="149" s="1"/>
  <c r="AA165" i="149"/>
  <c r="Z165" i="149" s="1"/>
  <c r="AA166" i="149"/>
  <c r="Z166" i="149" s="1"/>
  <c r="AA167" i="149"/>
  <c r="Z167" i="149" s="1"/>
  <c r="AK93" i="149"/>
  <c r="AK94" i="149"/>
  <c r="AK95" i="149"/>
  <c r="AK96" i="149"/>
  <c r="AK97" i="149"/>
  <c r="AK98" i="149"/>
  <c r="AK104" i="149"/>
  <c r="AK105" i="149"/>
  <c r="AK106" i="149"/>
  <c r="AK107" i="149"/>
  <c r="AK108" i="149"/>
  <c r="AK114" i="149"/>
  <c r="AK115" i="149"/>
  <c r="AK116" i="149"/>
  <c r="AK117" i="149"/>
  <c r="AK118" i="149"/>
  <c r="AK124" i="149"/>
  <c r="AK125" i="149"/>
  <c r="AK126" i="149"/>
  <c r="AK127" i="149"/>
  <c r="AK128" i="149"/>
  <c r="AK134" i="149"/>
  <c r="AK135" i="149"/>
  <c r="AK136" i="149"/>
  <c r="AK137" i="149"/>
  <c r="AK138" i="149"/>
  <c r="AK144" i="149"/>
  <c r="AK145" i="149"/>
  <c r="AK146" i="149"/>
  <c r="AK147" i="149"/>
  <c r="AK148" i="149"/>
  <c r="AK154" i="149"/>
  <c r="AK155" i="149"/>
  <c r="AK156" i="149"/>
  <c r="AK157" i="149"/>
  <c r="AK158" i="149"/>
  <c r="AK159" i="149"/>
  <c r="AK165" i="149"/>
  <c r="AK166" i="149"/>
  <c r="AK167" i="149"/>
  <c r="Y9" i="149"/>
  <c r="Y15" i="149"/>
  <c r="Y16" i="149"/>
  <c r="AA16" i="149"/>
  <c r="Z16" i="149" s="1"/>
  <c r="AA15" i="149"/>
  <c r="Z15" i="149" s="1"/>
  <c r="AA9" i="149"/>
  <c r="Z9" i="149" s="1"/>
  <c r="AA8" i="149"/>
  <c r="AK8" i="149"/>
  <c r="AK9" i="149"/>
  <c r="K171" i="190"/>
  <c r="Z38" i="149" l="1"/>
  <c r="Z31" i="149"/>
  <c r="Z32" i="149"/>
  <c r="H17" i="143"/>
  <c r="F17" i="143" s="1"/>
  <c r="S17" i="143"/>
  <c r="F48" i="206"/>
  <c r="G48" i="206"/>
  <c r="K48" i="206"/>
  <c r="J48" i="206"/>
  <c r="M48" i="206"/>
  <c r="I48" i="206"/>
  <c r="L48" i="206"/>
  <c r="H48" i="206"/>
  <c r="Z147" i="149"/>
  <c r="Z130" i="149"/>
  <c r="Z110" i="149"/>
  <c r="Z52" i="149"/>
  <c r="Z150" i="149"/>
  <c r="Z161" i="149"/>
  <c r="Z66" i="149"/>
  <c r="Z11" i="149"/>
  <c r="Z10" i="149"/>
  <c r="Z13" i="149"/>
  <c r="Z14" i="149"/>
  <c r="Z8" i="149"/>
  <c r="Z151" i="149"/>
  <c r="Z140" i="149"/>
  <c r="I177" i="183"/>
  <c r="Z81" i="149"/>
  <c r="Z73" i="149"/>
  <c r="Z17" i="149"/>
  <c r="Z100" i="149"/>
  <c r="Z80" i="149"/>
  <c r="Z24" i="149"/>
  <c r="Z18" i="149"/>
  <c r="Z120" i="149"/>
  <c r="Z101" i="149"/>
  <c r="Z121" i="149"/>
  <c r="I186" i="190"/>
  <c r="U51" i="206" l="1" a="1"/>
  <c r="U51" i="206" s="1"/>
  <c r="D28" i="214" s="1"/>
  <c r="W10" i="190"/>
  <c r="W13" i="190"/>
  <c r="W8" i="190"/>
  <c r="W151" i="190"/>
  <c r="AI151" i="190" s="1"/>
  <c r="W99" i="190"/>
  <c r="AI99" i="190" s="1"/>
  <c r="W125" i="190"/>
  <c r="AI125" i="190" s="1"/>
  <c r="W138" i="190"/>
  <c r="AI138" i="190" s="1"/>
  <c r="W164" i="190"/>
  <c r="AI164" i="190" s="1"/>
  <c r="W86" i="190"/>
  <c r="AI86" i="190" s="1"/>
  <c r="W112" i="190"/>
  <c r="AI112" i="190" s="1"/>
  <c r="AC8" i="149"/>
  <c r="AB8" i="149"/>
  <c r="Q17" i="143"/>
  <c r="AC45" i="149"/>
  <c r="AC46" i="149"/>
  <c r="AC47" i="149"/>
  <c r="AC48" i="149"/>
  <c r="AC49" i="149"/>
  <c r="AB45" i="149"/>
  <c r="AB46" i="149"/>
  <c r="AB47" i="149"/>
  <c r="AB48" i="149"/>
  <c r="AB49" i="149"/>
  <c r="AC38" i="149"/>
  <c r="AC39" i="149"/>
  <c r="AC40" i="149"/>
  <c r="AB39" i="149"/>
  <c r="AB38" i="149"/>
  <c r="AB40" i="149"/>
  <c r="AC21" i="149"/>
  <c r="AC19" i="149"/>
  <c r="AC17" i="149"/>
  <c r="AC15" i="149"/>
  <c r="AB21" i="149"/>
  <c r="AB167" i="149"/>
  <c r="AB165" i="149"/>
  <c r="AB163" i="149"/>
  <c r="AB161" i="149"/>
  <c r="AB159" i="149"/>
  <c r="AB157" i="149"/>
  <c r="AB155" i="149"/>
  <c r="AB153" i="149"/>
  <c r="AB151" i="149"/>
  <c r="AB149" i="149"/>
  <c r="AB147" i="149"/>
  <c r="AB145" i="149"/>
  <c r="AB143" i="149"/>
  <c r="AB141" i="149"/>
  <c r="AB139" i="149"/>
  <c r="AB137" i="149"/>
  <c r="AB135" i="149"/>
  <c r="AB133" i="149"/>
  <c r="AB131" i="149"/>
  <c r="AB129" i="149"/>
  <c r="AB127" i="149"/>
  <c r="AB125" i="149"/>
  <c r="AB123" i="149"/>
  <c r="AB121" i="149"/>
  <c r="AB119" i="149"/>
  <c r="AB117" i="149"/>
  <c r="AB115" i="149"/>
  <c r="AB113" i="149"/>
  <c r="AB111" i="149"/>
  <c r="AB109" i="149"/>
  <c r="AB107" i="149"/>
  <c r="AB105" i="149"/>
  <c r="AB103" i="149"/>
  <c r="AB101" i="149"/>
  <c r="AB99" i="149"/>
  <c r="AB97" i="149"/>
  <c r="AB95" i="149"/>
  <c r="AB93" i="149"/>
  <c r="AB91" i="149"/>
  <c r="AB89" i="149"/>
  <c r="AB87" i="149"/>
  <c r="AC167" i="149"/>
  <c r="AC165" i="149"/>
  <c r="AC163" i="149"/>
  <c r="AC161" i="149"/>
  <c r="AC159" i="149"/>
  <c r="AC157" i="149"/>
  <c r="AC155" i="149"/>
  <c r="AC153" i="149"/>
  <c r="AC151" i="149"/>
  <c r="AC149" i="149"/>
  <c r="AC147" i="149"/>
  <c r="AC145" i="149"/>
  <c r="AC143" i="149"/>
  <c r="AC141" i="149"/>
  <c r="AC139" i="149"/>
  <c r="AC137" i="149"/>
  <c r="AC135" i="149"/>
  <c r="AC133" i="149"/>
  <c r="AC131" i="149"/>
  <c r="AC129" i="149"/>
  <c r="AC127" i="149"/>
  <c r="AC125" i="149"/>
  <c r="AC123" i="149"/>
  <c r="AC121" i="149"/>
  <c r="AC119" i="149"/>
  <c r="AC117" i="149"/>
  <c r="AC20" i="149"/>
  <c r="AC18" i="149"/>
  <c r="AC16" i="149"/>
  <c r="AB20" i="149"/>
  <c r="AB166" i="149"/>
  <c r="AB164" i="149"/>
  <c r="AB162" i="149"/>
  <c r="AB160" i="149"/>
  <c r="AB158" i="149"/>
  <c r="AB156" i="149"/>
  <c r="AB154" i="149"/>
  <c r="AB152" i="149"/>
  <c r="AB150" i="149"/>
  <c r="AB148" i="149"/>
  <c r="AB146" i="149"/>
  <c r="AB144" i="149"/>
  <c r="AB142" i="149"/>
  <c r="AB140" i="149"/>
  <c r="AB138" i="149"/>
  <c r="AB136" i="149"/>
  <c r="AB134" i="149"/>
  <c r="AB132" i="149"/>
  <c r="AB130" i="149"/>
  <c r="AB128" i="149"/>
  <c r="AB126" i="149"/>
  <c r="AB124" i="149"/>
  <c r="AB122" i="149"/>
  <c r="AB120" i="149"/>
  <c r="AB118" i="149"/>
  <c r="AB116" i="149"/>
  <c r="AB114" i="149"/>
  <c r="AB112" i="149"/>
  <c r="AB110" i="149"/>
  <c r="AB106" i="149"/>
  <c r="AB102" i="149"/>
  <c r="AB98" i="149"/>
  <c r="AB94" i="149"/>
  <c r="AB90" i="149"/>
  <c r="AB86" i="149"/>
  <c r="AC164" i="149"/>
  <c r="AC160" i="149"/>
  <c r="AC156" i="149"/>
  <c r="AC152" i="149"/>
  <c r="AC148" i="149"/>
  <c r="AC144" i="149"/>
  <c r="AC138" i="149"/>
  <c r="AC134" i="149"/>
  <c r="AC130" i="149"/>
  <c r="AC126" i="149"/>
  <c r="AC122" i="149"/>
  <c r="AC118" i="149"/>
  <c r="AC115" i="149"/>
  <c r="AC113" i="149"/>
  <c r="AC111" i="149"/>
  <c r="AC109" i="149"/>
  <c r="AC107" i="149"/>
  <c r="AC105" i="149"/>
  <c r="AC103" i="149"/>
  <c r="AC101" i="149"/>
  <c r="AC99" i="149"/>
  <c r="AC97" i="149"/>
  <c r="AC95" i="149"/>
  <c r="AC93" i="149"/>
  <c r="AC91" i="149"/>
  <c r="AC89" i="149"/>
  <c r="AC87" i="149"/>
  <c r="AC85" i="149"/>
  <c r="AB84" i="149"/>
  <c r="AB82" i="149"/>
  <c r="AB80" i="149"/>
  <c r="AB78" i="149"/>
  <c r="AB76" i="149"/>
  <c r="AB74" i="149"/>
  <c r="AB72" i="149"/>
  <c r="AB70" i="149"/>
  <c r="AB68" i="149"/>
  <c r="AB66" i="149"/>
  <c r="AB64" i="149"/>
  <c r="AB62" i="149"/>
  <c r="AB60" i="149"/>
  <c r="AB58" i="149"/>
  <c r="AB56" i="149"/>
  <c r="AB54" i="149"/>
  <c r="AB52" i="149"/>
  <c r="AB50" i="149"/>
  <c r="AB44" i="149"/>
  <c r="AB42" i="149"/>
  <c r="AB36" i="149"/>
  <c r="AB34" i="149"/>
  <c r="AB32" i="149"/>
  <c r="AB30" i="149"/>
  <c r="AB28" i="149"/>
  <c r="AB26" i="149"/>
  <c r="AB24" i="149"/>
  <c r="AB22" i="149"/>
  <c r="AC83" i="149"/>
  <c r="AC81" i="149"/>
  <c r="AC79" i="149"/>
  <c r="AC77" i="149"/>
  <c r="AC75" i="149"/>
  <c r="AC73" i="149"/>
  <c r="AC71" i="149"/>
  <c r="AC69" i="149"/>
  <c r="AC67" i="149"/>
  <c r="AC65" i="149"/>
  <c r="AC63" i="149"/>
  <c r="AC61" i="149"/>
  <c r="AC59" i="149"/>
  <c r="AC57" i="149"/>
  <c r="AB108" i="149"/>
  <c r="AB104" i="149"/>
  <c r="AB100" i="149"/>
  <c r="AB96" i="149"/>
  <c r="AB92" i="149"/>
  <c r="AB88" i="149"/>
  <c r="AC166" i="149"/>
  <c r="AC162" i="149"/>
  <c r="AC158" i="149"/>
  <c r="AC154" i="149"/>
  <c r="AC150" i="149"/>
  <c r="AC146" i="149"/>
  <c r="AC142" i="149"/>
  <c r="AC140" i="149"/>
  <c r="AC136" i="149"/>
  <c r="AC132" i="149"/>
  <c r="AC128" i="149"/>
  <c r="AC124" i="149"/>
  <c r="AC120" i="149"/>
  <c r="AC116" i="149"/>
  <c r="AC114" i="149"/>
  <c r="AC112" i="149"/>
  <c r="AC110" i="149"/>
  <c r="AC108" i="149"/>
  <c r="AC106" i="149"/>
  <c r="AC104" i="149"/>
  <c r="AC102" i="149"/>
  <c r="AC100" i="149"/>
  <c r="AC98" i="149"/>
  <c r="AC96" i="149"/>
  <c r="AC94" i="149"/>
  <c r="AC92" i="149"/>
  <c r="AC90" i="149"/>
  <c r="AC88" i="149"/>
  <c r="AC86" i="149"/>
  <c r="AB85" i="149"/>
  <c r="AB83" i="149"/>
  <c r="AB81" i="149"/>
  <c r="AB79" i="149"/>
  <c r="AB77" i="149"/>
  <c r="AB75" i="149"/>
  <c r="AB73" i="149"/>
  <c r="AB71" i="149"/>
  <c r="AB69" i="149"/>
  <c r="AB67" i="149"/>
  <c r="AB65" i="149"/>
  <c r="AB63" i="149"/>
  <c r="AB61" i="149"/>
  <c r="AB59" i="149"/>
  <c r="AB57" i="149"/>
  <c r="AB55" i="149"/>
  <c r="AB53" i="149"/>
  <c r="AB51" i="149"/>
  <c r="AB43" i="149"/>
  <c r="AB41" i="149"/>
  <c r="AB37" i="149"/>
  <c r="AB35" i="149"/>
  <c r="AB33" i="149"/>
  <c r="AB31" i="149"/>
  <c r="AB29" i="149"/>
  <c r="AB27" i="149"/>
  <c r="AB25" i="149"/>
  <c r="AB23" i="149"/>
  <c r="AC84" i="149"/>
  <c r="AC82" i="149"/>
  <c r="AC80" i="149"/>
  <c r="AC78" i="149"/>
  <c r="AC76" i="149"/>
  <c r="AC74" i="149"/>
  <c r="AC72" i="149"/>
  <c r="AC70" i="149"/>
  <c r="AC68" i="149"/>
  <c r="AC66" i="149"/>
  <c r="AC64" i="149"/>
  <c r="AC62" i="149"/>
  <c r="AC60" i="149"/>
  <c r="AC58" i="149"/>
  <c r="AC56" i="149"/>
  <c r="AC54" i="149"/>
  <c r="AC52" i="149"/>
  <c r="AC50" i="149"/>
  <c r="AC23" i="149"/>
  <c r="AC25" i="149"/>
  <c r="AC27" i="149"/>
  <c r="AC29" i="149"/>
  <c r="AC31" i="149"/>
  <c r="AC33" i="149"/>
  <c r="AC35" i="149"/>
  <c r="AC37" i="149"/>
  <c r="AC41" i="149"/>
  <c r="AC43" i="149"/>
  <c r="AC53" i="149"/>
  <c r="AC22" i="149"/>
  <c r="AC24" i="149"/>
  <c r="AC26" i="149"/>
  <c r="AC28" i="149"/>
  <c r="AC30" i="149"/>
  <c r="AC32" i="149"/>
  <c r="AC34" i="149"/>
  <c r="AC36" i="149"/>
  <c r="AC42" i="149"/>
  <c r="AC44" i="149"/>
  <c r="AC51" i="149"/>
  <c r="AC55" i="149"/>
  <c r="N17" i="143" l="1"/>
  <c r="C17" i="143"/>
  <c r="Y181" i="149" l="1"/>
  <c r="Y180" i="149"/>
  <c r="Y179" i="149"/>
  <c r="Y178" i="149"/>
  <c r="Y177" i="149"/>
  <c r="Y176" i="149"/>
  <c r="Y175" i="149"/>
  <c r="Y174" i="149"/>
  <c r="Y173" i="149"/>
  <c r="Y172" i="149"/>
  <c r="Y171" i="149"/>
  <c r="Z172" i="149" l="1"/>
  <c r="Z188" i="149"/>
  <c r="Z187" i="149"/>
  <c r="Z186" i="149"/>
  <c r="Z185" i="149"/>
  <c r="Z184" i="149"/>
  <c r="Z189" i="149"/>
  <c r="Z183" i="149"/>
  <c r="Z173" i="149"/>
  <c r="Z181" i="149"/>
  <c r="Z179" i="149"/>
  <c r="Z177" i="149"/>
  <c r="Z175" i="149"/>
  <c r="Z182" i="149"/>
  <c r="Z180" i="149"/>
  <c r="Z178" i="149"/>
  <c r="Z176" i="149"/>
  <c r="Z174" i="149"/>
  <c r="W23" i="190" l="1"/>
  <c r="AI23" i="190" s="1"/>
  <c r="AI8" i="190"/>
  <c r="AC9" i="149"/>
  <c r="AB9" i="149"/>
  <c r="AB10" i="149"/>
  <c r="AC10" i="149"/>
  <c r="AC11" i="149"/>
  <c r="AB11" i="149"/>
  <c r="AB12" i="149"/>
  <c r="AC12" i="149"/>
  <c r="AC13" i="149"/>
  <c r="AB13" i="149"/>
  <c r="AB14" i="149"/>
  <c r="AC14" i="149"/>
  <c r="AB16" i="149"/>
  <c r="AB17" i="149"/>
  <c r="AB15" i="149"/>
  <c r="AB18" i="149"/>
  <c r="AB19" i="149"/>
  <c r="AK14" i="149"/>
  <c r="V17" i="149"/>
  <c r="V18" i="149"/>
  <c r="AK18" i="149" s="1"/>
  <c r="V19" i="149"/>
  <c r="AK20" i="149"/>
  <c r="V21" i="149"/>
  <c r="Q8" i="149"/>
  <c r="AK15" i="149"/>
  <c r="AK16" i="149"/>
  <c r="AK22" i="149"/>
  <c r="AK23" i="149"/>
  <c r="V24" i="149"/>
  <c r="V25" i="149"/>
  <c r="V26" i="149"/>
  <c r="V27" i="149"/>
  <c r="V28" i="149"/>
  <c r="AK29" i="149"/>
  <c r="AK30" i="149"/>
  <c r="V31" i="149"/>
  <c r="V32" i="149"/>
  <c r="V33" i="149"/>
  <c r="V34" i="149"/>
  <c r="V35" i="149"/>
  <c r="AK36" i="149"/>
  <c r="AK37" i="149"/>
  <c r="V41" i="149"/>
  <c r="V42" i="149"/>
  <c r="AK43" i="149"/>
  <c r="AK44" i="149"/>
  <c r="AK50" i="149"/>
  <c r="AK51" i="149"/>
  <c r="V52" i="149"/>
  <c r="V53" i="149"/>
  <c r="V54" i="149"/>
  <c r="V55" i="149"/>
  <c r="V56" i="149"/>
  <c r="AK57" i="149"/>
  <c r="AK58" i="149"/>
  <c r="V59" i="149"/>
  <c r="V60" i="149"/>
  <c r="V61" i="149"/>
  <c r="V62" i="149"/>
  <c r="V63" i="149"/>
  <c r="AK64" i="149"/>
  <c r="AK65" i="149"/>
  <c r="V66" i="149"/>
  <c r="V67" i="149"/>
  <c r="V68" i="149"/>
  <c r="V69" i="149"/>
  <c r="V70" i="149"/>
  <c r="AK71" i="149"/>
  <c r="AK72" i="149"/>
  <c r="V73" i="149"/>
  <c r="AK73" i="149" s="1"/>
  <c r="V74" i="149"/>
  <c r="V75" i="149"/>
  <c r="V76" i="149"/>
  <c r="V77" i="149"/>
  <c r="AK78" i="149"/>
  <c r="AK79" i="149"/>
  <c r="V80" i="149"/>
  <c r="AK80" i="149" s="1"/>
  <c r="V81" i="149"/>
  <c r="V82" i="149"/>
  <c r="V83" i="149"/>
  <c r="V84" i="149"/>
  <c r="AK85" i="149"/>
  <c r="AK86" i="149"/>
  <c r="V87" i="149"/>
  <c r="V88" i="149"/>
  <c r="V89" i="149"/>
  <c r="V90" i="149"/>
  <c r="V91" i="149"/>
  <c r="AK92" i="149"/>
  <c r="AK164" i="149"/>
  <c r="AK163" i="149"/>
  <c r="AK162" i="149"/>
  <c r="AK161" i="149"/>
  <c r="AK160" i="149"/>
  <c r="M164" i="149"/>
  <c r="P164" i="149"/>
  <c r="J179" i="149" l="1"/>
  <c r="AK70" i="149"/>
  <c r="AL70" i="149"/>
  <c r="AK54" i="149"/>
  <c r="AL54" i="149"/>
  <c r="AK41" i="149"/>
  <c r="AL41" i="149"/>
  <c r="AK77" i="149"/>
  <c r="AL77" i="149"/>
  <c r="AK69" i="149"/>
  <c r="AL69" i="149"/>
  <c r="AK53" i="149"/>
  <c r="AL53" i="149"/>
  <c r="AK84" i="149"/>
  <c r="AL84" i="149"/>
  <c r="AK76" i="149"/>
  <c r="AL76" i="149"/>
  <c r="AK68" i="149"/>
  <c r="AL68" i="149"/>
  <c r="AK60" i="149"/>
  <c r="AL60" i="149"/>
  <c r="AK28" i="149"/>
  <c r="AK89" i="149"/>
  <c r="AL89" i="149"/>
  <c r="AK88" i="149"/>
  <c r="AL88" i="149"/>
  <c r="AK56" i="149"/>
  <c r="AL56" i="149"/>
  <c r="AK61" i="149"/>
  <c r="AL61" i="149"/>
  <c r="AK91" i="149"/>
  <c r="AL91" i="149"/>
  <c r="AK83" i="149"/>
  <c r="AL83" i="149"/>
  <c r="AK75" i="149"/>
  <c r="AL75" i="149"/>
  <c r="AK67" i="149"/>
  <c r="AL67" i="149"/>
  <c r="AK59" i="149"/>
  <c r="AK35" i="149"/>
  <c r="AL35" i="149"/>
  <c r="AK27" i="149"/>
  <c r="AK74" i="149"/>
  <c r="AL74" i="149"/>
  <c r="AK34" i="149"/>
  <c r="AL34" i="149"/>
  <c r="AK26" i="149"/>
  <c r="AK21" i="149"/>
  <c r="AL21" i="149"/>
  <c r="AK33" i="149"/>
  <c r="AL33" i="149"/>
  <c r="AK90" i="149"/>
  <c r="AL90" i="149"/>
  <c r="AK82" i="149"/>
  <c r="AL82" i="149"/>
  <c r="AK25" i="149"/>
  <c r="AK32" i="149"/>
  <c r="AK19" i="149"/>
  <c r="AL19" i="149"/>
  <c r="AK87" i="149"/>
  <c r="AL87" i="149"/>
  <c r="AK55" i="149"/>
  <c r="AL55" i="149"/>
  <c r="AK42" i="149"/>
  <c r="AL42" i="149"/>
  <c r="AK31" i="149"/>
  <c r="AK62" i="149"/>
  <c r="AL62" i="149"/>
  <c r="AK63" i="149"/>
  <c r="AL63" i="149"/>
  <c r="AG45" i="149" a="1"/>
  <c r="AG45" i="149" s="1"/>
  <c r="AG15" i="149" a="1"/>
  <c r="AG15" i="149" s="1"/>
  <c r="AG33" i="149" a="1"/>
  <c r="AG33" i="149" s="1"/>
  <c r="AG93" i="149" a="1"/>
  <c r="AG93" i="149" s="1"/>
  <c r="AG111" i="149" a="1"/>
  <c r="AG111" i="149" s="1"/>
  <c r="AG129" i="149" a="1"/>
  <c r="AG129" i="149" s="1"/>
  <c r="AG145" i="149" a="1"/>
  <c r="AG145" i="149" s="1"/>
  <c r="AG163" i="149" a="1"/>
  <c r="AG163" i="149" s="1"/>
  <c r="AG54" i="149" a="1"/>
  <c r="AG54" i="149" s="1"/>
  <c r="AG62" i="149" a="1"/>
  <c r="AG62" i="149" s="1"/>
  <c r="AG70" i="149" a="1"/>
  <c r="AG70" i="149" s="1"/>
  <c r="AG79" i="149" a="1"/>
  <c r="AG79" i="149" s="1"/>
  <c r="AG94" i="149" a="1"/>
  <c r="AG94" i="149" s="1"/>
  <c r="AG112" i="149" a="1"/>
  <c r="AG112" i="149" s="1"/>
  <c r="AG130" i="149" a="1"/>
  <c r="AG130" i="149" s="1"/>
  <c r="AG148" i="149" a="1"/>
  <c r="AG148" i="149" s="1"/>
  <c r="AI148" i="149" s="1"/>
  <c r="AG164" i="149" a="1"/>
  <c r="AG164" i="149" s="1"/>
  <c r="AG48" i="149" a="1"/>
  <c r="AG48" i="149" s="1"/>
  <c r="AG22" i="149" a="1"/>
  <c r="AG22" i="149" s="1"/>
  <c r="AG19" i="149" a="1"/>
  <c r="AG19" i="149" s="1"/>
  <c r="AG35" i="149" a="1"/>
  <c r="AG35" i="149" s="1"/>
  <c r="AG95" i="149" a="1"/>
  <c r="AG95" i="149" s="1"/>
  <c r="AG113" i="149" a="1"/>
  <c r="AG113" i="149" s="1"/>
  <c r="AG131" i="149" a="1"/>
  <c r="AG131" i="149" s="1"/>
  <c r="AG165" i="149" a="1"/>
  <c r="AG165" i="149" s="1"/>
  <c r="AG55" i="149" a="1"/>
  <c r="AG55" i="149" s="1"/>
  <c r="AG63" i="149" a="1"/>
  <c r="AG63" i="149" s="1"/>
  <c r="AG71" i="149" a="1"/>
  <c r="AG71" i="149" s="1"/>
  <c r="AG8" i="149" a="1"/>
  <c r="AG8" i="149" s="1"/>
  <c r="AG30" i="149" a="1"/>
  <c r="AG30" i="149" s="1"/>
  <c r="AG85" i="149" a="1"/>
  <c r="AG85" i="149" s="1"/>
  <c r="AG103" i="149" a="1"/>
  <c r="AG103" i="149" s="1"/>
  <c r="AG119" i="149" a="1"/>
  <c r="AG119" i="149" s="1"/>
  <c r="AG137" i="149" a="1"/>
  <c r="AG137" i="149" s="1"/>
  <c r="AG155" i="149" a="1"/>
  <c r="AG155" i="149" s="1"/>
  <c r="AG44" i="149" a="1"/>
  <c r="AG44" i="149" s="1"/>
  <c r="AG58" i="149" a="1"/>
  <c r="AG58" i="149" s="1"/>
  <c r="AG66" i="149" a="1"/>
  <c r="AG66" i="149" s="1"/>
  <c r="AG75" i="149" a="1"/>
  <c r="AG75" i="149" s="1"/>
  <c r="AG86" i="149" a="1"/>
  <c r="AG86" i="149" s="1"/>
  <c r="AG104" i="149" a="1"/>
  <c r="AG104" i="149" s="1"/>
  <c r="AG122" i="149" a="1"/>
  <c r="AG122" i="149" s="1"/>
  <c r="AG138" i="149" a="1"/>
  <c r="AG138" i="149" s="1"/>
  <c r="AI138" i="149" s="1"/>
  <c r="AG156" i="149" a="1"/>
  <c r="AG156" i="149" s="1"/>
  <c r="AG40" i="149" a="1"/>
  <c r="AG40" i="149" s="1"/>
  <c r="AG9" i="149" a="1"/>
  <c r="AG9" i="149" s="1"/>
  <c r="AG32" i="149" a="1"/>
  <c r="AG32" i="149" s="1"/>
  <c r="AG27" i="149" a="1"/>
  <c r="AG27" i="149" s="1"/>
  <c r="AG87" i="149" a="1"/>
  <c r="AG87" i="149" s="1"/>
  <c r="AG105" i="149" a="1"/>
  <c r="AG105" i="149" s="1"/>
  <c r="AG123" i="149" a="1"/>
  <c r="AG123" i="149" s="1"/>
  <c r="AG139" i="149" a="1"/>
  <c r="AG139" i="149" s="1"/>
  <c r="AG157" i="149" a="1"/>
  <c r="AG157" i="149" s="1"/>
  <c r="AG50" i="149" a="1"/>
  <c r="AG50" i="149" s="1"/>
  <c r="AG59" i="149" a="1"/>
  <c r="AG59" i="149" s="1"/>
  <c r="AG67" i="149" a="1"/>
  <c r="AG67" i="149" s="1"/>
  <c r="AG76" i="149" a="1"/>
  <c r="AG76" i="149" s="1"/>
  <c r="AG82" i="149" a="1"/>
  <c r="AG82" i="149" s="1"/>
  <c r="AG88" i="149" a="1"/>
  <c r="AG88" i="149" s="1"/>
  <c r="AG96" i="149" a="1"/>
  <c r="AG96" i="149" s="1"/>
  <c r="AG106" i="149" a="1"/>
  <c r="AG106" i="149" s="1"/>
  <c r="AG114" i="149" a="1"/>
  <c r="AG114" i="149" s="1"/>
  <c r="AG124" i="149" a="1"/>
  <c r="AG124" i="149" s="1"/>
  <c r="AG132" i="149" a="1"/>
  <c r="AG132" i="149" s="1"/>
  <c r="AG142" i="149" a="1"/>
  <c r="AG142" i="149" s="1"/>
  <c r="AG150" i="149" a="1"/>
  <c r="AG150" i="149" s="1"/>
  <c r="AG158" i="149" a="1"/>
  <c r="AG158" i="149" s="1"/>
  <c r="AG166" i="149" a="1"/>
  <c r="AG166" i="149" s="1"/>
  <c r="AG39" i="149" a="1"/>
  <c r="AG39" i="149" s="1"/>
  <c r="AG47" i="149" a="1"/>
  <c r="AG47" i="149" s="1"/>
  <c r="AG16" i="149" a="1"/>
  <c r="AG16" i="149" s="1"/>
  <c r="AG34" i="149" a="1"/>
  <c r="AG34" i="149" s="1"/>
  <c r="AG21" i="149" a="1"/>
  <c r="AG21" i="149" s="1"/>
  <c r="AG29" i="149" a="1"/>
  <c r="AG29" i="149" s="1"/>
  <c r="AG37" i="149" a="1"/>
  <c r="AG37" i="149" s="1"/>
  <c r="AG89" i="149" a="1"/>
  <c r="AG89" i="149" s="1"/>
  <c r="AG97" i="149" a="1"/>
  <c r="AG97" i="149" s="1"/>
  <c r="AG107" i="149" a="1"/>
  <c r="AG107" i="149" s="1"/>
  <c r="AG115" i="149" a="1"/>
  <c r="AG115" i="149" s="1"/>
  <c r="AG125" i="149" a="1"/>
  <c r="AG125" i="149" s="1"/>
  <c r="AG133" i="149" a="1"/>
  <c r="AG133" i="149" s="1"/>
  <c r="AG141" i="149" a="1"/>
  <c r="AG141" i="149" s="1"/>
  <c r="AG149" i="149" a="1"/>
  <c r="AG149" i="149" s="1"/>
  <c r="AG159" i="149" a="1"/>
  <c r="AG159" i="149" s="1"/>
  <c r="AI159" i="149" s="1"/>
  <c r="AG42" i="149" a="1"/>
  <c r="AG42" i="149" s="1"/>
  <c r="AG51" i="149" a="1"/>
  <c r="AG51" i="149" s="1"/>
  <c r="AG56" i="149" a="1"/>
  <c r="AG56" i="149" s="1"/>
  <c r="AG60" i="149" a="1"/>
  <c r="AG60" i="149" s="1"/>
  <c r="AG64" i="149" a="1"/>
  <c r="AG64" i="149" s="1"/>
  <c r="AG68" i="149" a="1"/>
  <c r="AG68" i="149" s="1"/>
  <c r="AG72" i="149" a="1"/>
  <c r="AG72" i="149" s="1"/>
  <c r="AG77" i="149" a="1"/>
  <c r="AG77" i="149" s="1"/>
  <c r="AG83" i="149" a="1"/>
  <c r="AG83" i="149" s="1"/>
  <c r="AG90" i="149" a="1"/>
  <c r="AG90" i="149" s="1"/>
  <c r="AG98" i="149" a="1"/>
  <c r="AG98" i="149" s="1"/>
  <c r="AI98" i="149" s="1"/>
  <c r="AG108" i="149" a="1"/>
  <c r="AG108" i="149" s="1"/>
  <c r="AI108" i="149" s="1"/>
  <c r="AG116" i="149" a="1"/>
  <c r="AG116" i="149" s="1"/>
  <c r="AG126" i="149" a="1"/>
  <c r="AG126" i="149" s="1"/>
  <c r="AG134" i="149" a="1"/>
  <c r="AG134" i="149" s="1"/>
  <c r="AG144" i="149" a="1"/>
  <c r="AG144" i="149" s="1"/>
  <c r="AG152" i="149" a="1"/>
  <c r="AG152" i="149" s="1"/>
  <c r="AG160" i="149" a="1"/>
  <c r="AG160" i="149" s="1"/>
  <c r="AG167" i="149" a="1"/>
  <c r="AG167" i="149" s="1"/>
  <c r="AG38" i="149" a="1"/>
  <c r="AG38" i="149" s="1"/>
  <c r="AG46" i="149" a="1"/>
  <c r="AG46" i="149" s="1"/>
  <c r="AG36" i="149" a="1"/>
  <c r="AG36" i="149" s="1"/>
  <c r="AG23" i="149" a="1"/>
  <c r="AG23" i="149" s="1"/>
  <c r="AG31" i="149" a="1"/>
  <c r="AG31" i="149" s="1"/>
  <c r="AG41" i="149" a="1"/>
  <c r="AG41" i="149" s="1"/>
  <c r="AG91" i="149" a="1"/>
  <c r="AG91" i="149" s="1"/>
  <c r="AG99" i="149" a="1"/>
  <c r="AG99" i="149" s="1"/>
  <c r="AG109" i="149" a="1"/>
  <c r="AG109" i="149" s="1"/>
  <c r="AG117" i="149" a="1"/>
  <c r="AG117" i="149" s="1"/>
  <c r="AG127" i="149" a="1"/>
  <c r="AG127" i="149" s="1"/>
  <c r="AG135" i="149" a="1"/>
  <c r="AG135" i="149" s="1"/>
  <c r="AG143" i="149" a="1"/>
  <c r="AG143" i="149" s="1"/>
  <c r="AG153" i="149" a="1"/>
  <c r="AG153" i="149" s="1"/>
  <c r="AG161" i="149" a="1"/>
  <c r="AG161" i="149" s="1"/>
  <c r="AG43" i="149" a="1"/>
  <c r="AG43" i="149" s="1"/>
  <c r="AG53" i="149" a="1"/>
  <c r="AG53" i="149" s="1"/>
  <c r="AG57" i="149" a="1"/>
  <c r="AG57" i="149" s="1"/>
  <c r="AG61" i="149" a="1"/>
  <c r="AG61" i="149" s="1"/>
  <c r="AG65" i="149" a="1"/>
  <c r="AG65" i="149" s="1"/>
  <c r="AG69" i="149" a="1"/>
  <c r="AG69" i="149" s="1"/>
  <c r="AG74" i="149" a="1"/>
  <c r="AG74" i="149" s="1"/>
  <c r="AG78" i="149" a="1"/>
  <c r="AG78" i="149" s="1"/>
  <c r="AG84" i="149" a="1"/>
  <c r="AG84" i="149" s="1"/>
  <c r="AG92" i="149" a="1"/>
  <c r="AG92" i="149" s="1"/>
  <c r="AG102" i="149" a="1"/>
  <c r="AG102" i="149" s="1"/>
  <c r="AG118" i="149" a="1"/>
  <c r="AG118" i="149" s="1"/>
  <c r="AI118" i="149" s="1"/>
  <c r="AG128" i="149" a="1"/>
  <c r="AG128" i="149" s="1"/>
  <c r="AI128" i="149" s="1"/>
  <c r="AG136" i="149" a="1"/>
  <c r="AG136" i="149" s="1"/>
  <c r="AG146" i="149" a="1"/>
  <c r="AG146" i="149" s="1"/>
  <c r="AG154" i="149" a="1"/>
  <c r="AG154" i="149" s="1"/>
  <c r="AG162" i="149" a="1"/>
  <c r="AG162" i="149" s="1"/>
  <c r="AG49" i="149" a="1"/>
  <c r="AG49" i="149" s="1"/>
  <c r="S66" i="149"/>
  <c r="AL66" i="149" s="1"/>
  <c r="AK52" i="149"/>
  <c r="AK66" i="149"/>
  <c r="AK24" i="149"/>
  <c r="AK81" i="149"/>
  <c r="AK17" i="149"/>
  <c r="AI59" i="149" l="1"/>
  <c r="S59" i="149"/>
  <c r="S130" i="149"/>
  <c r="AI130" i="149"/>
  <c r="S161" i="149"/>
  <c r="AI161" i="149"/>
  <c r="AI48" i="149"/>
  <c r="S48" i="149"/>
  <c r="AI47" i="149"/>
  <c r="S47" i="149"/>
  <c r="AI142" i="149"/>
  <c r="S142" i="149"/>
  <c r="AI141" i="149"/>
  <c r="S141" i="149"/>
  <c r="AI27" i="149"/>
  <c r="S150" i="149"/>
  <c r="AI150" i="149"/>
  <c r="S102" i="149"/>
  <c r="AI102" i="149"/>
  <c r="AI38" i="149"/>
  <c r="S38" i="149"/>
  <c r="AI32" i="149"/>
  <c r="S32" i="149"/>
  <c r="AI31" i="149"/>
  <c r="S31" i="149"/>
  <c r="X186" i="190"/>
  <c r="S177" i="183"/>
  <c r="AK153" i="149"/>
  <c r="AK152" i="149"/>
  <c r="AK150" i="149"/>
  <c r="AK149" i="149"/>
  <c r="P153" i="149"/>
  <c r="M153" i="149"/>
  <c r="AL59" i="149" l="1"/>
  <c r="AL130" i="149"/>
  <c r="AL48" i="149"/>
  <c r="AL161" i="149"/>
  <c r="AL47" i="149"/>
  <c r="AL142" i="149"/>
  <c r="AL141" i="149"/>
  <c r="AL27" i="149"/>
  <c r="AL150" i="149"/>
  <c r="AL102" i="149"/>
  <c r="AL38" i="149"/>
  <c r="AL32" i="149"/>
  <c r="AL31" i="149"/>
  <c r="J177" i="149"/>
  <c r="I17" i="141" l="1"/>
  <c r="R17" i="123" l="1"/>
  <c r="R15" i="123"/>
  <c r="P7" i="123"/>
  <c r="H15" i="123"/>
  <c r="F7" i="123"/>
  <c r="H8" i="143" s="1"/>
  <c r="F8" i="143" s="1"/>
  <c r="S8" i="143" l="1"/>
  <c r="C7" i="177"/>
  <c r="C8" i="143" l="1"/>
  <c r="Q8" i="143"/>
  <c r="N8" i="143" l="1"/>
  <c r="N23" i="143" s="1" a="1"/>
  <c r="N23" i="143" s="1"/>
  <c r="D24" i="214" s="1"/>
  <c r="AK143" i="149"/>
  <c r="AK142" i="149"/>
  <c r="AK141" i="149"/>
  <c r="AK133" i="149"/>
  <c r="AK132" i="149"/>
  <c r="AK131" i="149"/>
  <c r="AK123" i="149"/>
  <c r="AK122" i="149"/>
  <c r="AK120" i="149"/>
  <c r="AK113" i="149"/>
  <c r="AK112" i="149"/>
  <c r="AK111" i="149"/>
  <c r="AK102" i="149"/>
  <c r="AK103" i="149"/>
  <c r="AK110" i="149" l="1"/>
  <c r="AK130" i="149"/>
  <c r="AK100" i="149"/>
  <c r="AK140" i="149"/>
  <c r="AK151" i="149"/>
  <c r="H7" i="123" l="1"/>
  <c r="R7" i="123" l="1"/>
  <c r="N50" i="149" l="1"/>
  <c r="N43" i="149"/>
  <c r="O14" i="117" l="1"/>
  <c r="W149" i="183"/>
  <c r="W113" i="183"/>
  <c r="AD120" i="149" s="1"/>
  <c r="W101" i="183"/>
  <c r="AD110" i="149" s="1"/>
  <c r="W89" i="183"/>
  <c r="AD100" i="149" l="1"/>
  <c r="AD140" i="149"/>
  <c r="AD151" i="149"/>
  <c r="M103" i="149"/>
  <c r="O63" i="117" l="1"/>
  <c r="W71" i="183"/>
  <c r="AD81" i="149" s="1"/>
  <c r="W70" i="183"/>
  <c r="W64" i="183"/>
  <c r="W10" i="183"/>
  <c r="AD10" i="149" s="1"/>
  <c r="W17" i="183"/>
  <c r="AD18" i="149" s="1"/>
  <c r="AF18" i="149" s="1"/>
  <c r="AG18" i="149" s="1" a="1"/>
  <c r="AG18" i="149" s="1"/>
  <c r="AI18" i="149" l="1"/>
  <c r="S18" i="149"/>
  <c r="AD73" i="149"/>
  <c r="AD80" i="149"/>
  <c r="AL18" i="149" l="1"/>
  <c r="Q43" i="149"/>
  <c r="Q36" i="149"/>
  <c r="N36" i="149"/>
  <c r="Q29" i="149"/>
  <c r="N85" i="149" l="1"/>
  <c r="N15" i="149"/>
  <c r="Q15" i="149"/>
  <c r="N22" i="149"/>
  <c r="Q22" i="149"/>
  <c r="O34" i="117"/>
  <c r="O33" i="117"/>
  <c r="O29" i="117"/>
  <c r="O28" i="117"/>
  <c r="O27" i="117"/>
  <c r="O26" i="117"/>
  <c r="O23" i="117"/>
  <c r="O22" i="117"/>
  <c r="O21" i="117"/>
  <c r="O16" i="117"/>
  <c r="O15" i="117"/>
  <c r="N143" i="149"/>
  <c r="J21" i="166" l="1"/>
  <c r="P21" i="166" l="1"/>
  <c r="AK139" i="149"/>
  <c r="M143" i="149"/>
  <c r="K158" i="190"/>
  <c r="P143" i="149"/>
  <c r="J176" i="149" l="1"/>
  <c r="I175" i="183"/>
  <c r="I184" i="190"/>
  <c r="X184" i="190" s="1"/>
  <c r="S175" i="183" l="1"/>
  <c r="K106" i="190"/>
  <c r="K93" i="190"/>
  <c r="K132" i="190"/>
  <c r="K145" i="190"/>
  <c r="K119" i="190"/>
  <c r="I179" i="190" l="1"/>
  <c r="K80" i="190"/>
  <c r="I178" i="190" s="1"/>
  <c r="I183" i="190"/>
  <c r="X183" i="190" s="1"/>
  <c r="I182" i="190"/>
  <c r="I181" i="190"/>
  <c r="I180" i="190"/>
  <c r="W11" i="190" l="1"/>
  <c r="AH26" i="149"/>
  <c r="AH25" i="149"/>
  <c r="AH14" i="149"/>
  <c r="AH121" i="149"/>
  <c r="AH120" i="149"/>
  <c r="I185" i="190"/>
  <c r="W47" i="183"/>
  <c r="AD52" i="149" s="1"/>
  <c r="W23" i="183"/>
  <c r="W22" i="183"/>
  <c r="W16" i="183"/>
  <c r="AI11" i="190" l="1"/>
  <c r="AE26" i="149"/>
  <c r="AF26" i="149" s="1"/>
  <c r="AG26" i="149" s="1" a="1"/>
  <c r="AG26" i="149" s="1"/>
  <c r="AE25" i="149"/>
  <c r="AF25" i="149" s="1"/>
  <c r="AG25" i="149" s="1" a="1"/>
  <c r="AG25" i="149" s="1"/>
  <c r="AE120" i="149"/>
  <c r="AF120" i="149" s="1"/>
  <c r="AG120" i="149" s="1" a="1"/>
  <c r="AG120" i="149" s="1"/>
  <c r="AE121" i="149"/>
  <c r="AD24" i="149"/>
  <c r="AD17" i="149"/>
  <c r="AK129" i="149"/>
  <c r="AK119" i="149"/>
  <c r="AK109" i="149"/>
  <c r="AI26" i="149" l="1"/>
  <c r="S25" i="149"/>
  <c r="AI25" i="149"/>
  <c r="AI100" i="149"/>
  <c r="AI20" i="149"/>
  <c r="S20" i="149"/>
  <c r="AE14" i="149"/>
  <c r="AF17" i="149"/>
  <c r="AG17" i="149" s="1" a="1"/>
  <c r="AG17" i="149" s="1"/>
  <c r="AI17" i="149" s="1"/>
  <c r="AK99" i="149"/>
  <c r="AK101" i="149"/>
  <c r="AK121" i="149"/>
  <c r="W114" i="183"/>
  <c r="AD121" i="149" s="1"/>
  <c r="AF121" i="149" s="1"/>
  <c r="AG121" i="149" s="1" a="1"/>
  <c r="AG121" i="149" s="1"/>
  <c r="AL26" i="149" l="1"/>
  <c r="AL25" i="149"/>
  <c r="C4" i="185"/>
  <c r="S110" i="149"/>
  <c r="AI110" i="149"/>
  <c r="S24" i="149"/>
  <c r="AI24" i="149"/>
  <c r="AL20" i="149"/>
  <c r="S52" i="149"/>
  <c r="AL52" i="149" s="1"/>
  <c r="C2" i="185"/>
  <c r="S81" i="149"/>
  <c r="AL81" i="149" s="1"/>
  <c r="S73" i="149"/>
  <c r="AL73" i="149" s="1"/>
  <c r="S80" i="149"/>
  <c r="AL80" i="149" s="1"/>
  <c r="S17" i="149"/>
  <c r="I174" i="183"/>
  <c r="S174" i="183" s="1"/>
  <c r="I173" i="183"/>
  <c r="I171" i="183"/>
  <c r="W90" i="183"/>
  <c r="AD101" i="149" s="1"/>
  <c r="N78" i="149"/>
  <c r="N71" i="149"/>
  <c r="N64" i="149"/>
  <c r="N57" i="149"/>
  <c r="N29" i="149"/>
  <c r="Q85" i="149"/>
  <c r="Q78" i="149"/>
  <c r="Q71" i="149"/>
  <c r="Q64" i="149"/>
  <c r="Q57" i="149"/>
  <c r="Q50" i="149"/>
  <c r="E4" i="185" l="1"/>
  <c r="D4" i="185"/>
  <c r="Q92" i="149"/>
  <c r="J171" i="149" s="1"/>
  <c r="B7" i="185"/>
  <c r="G4" i="185"/>
  <c r="I4" i="185"/>
  <c r="G7" i="185"/>
  <c r="I7" i="185"/>
  <c r="H7" i="185" s="1" a="1"/>
  <c r="H7" i="185" s="1"/>
  <c r="B4" i="185"/>
  <c r="F4" i="185"/>
  <c r="C7" i="185"/>
  <c r="E7" i="185"/>
  <c r="H4" i="185"/>
  <c r="F7" i="185"/>
  <c r="AL17" i="149"/>
  <c r="AL110" i="149"/>
  <c r="S101" i="149"/>
  <c r="AI101" i="149"/>
  <c r="AL24" i="149"/>
  <c r="AD14" i="149"/>
  <c r="AF14" i="149" s="1"/>
  <c r="AG14" i="149" s="1" a="1"/>
  <c r="AG14" i="149" s="1"/>
  <c r="AI14" i="149" s="1"/>
  <c r="N92" i="149"/>
  <c r="I170" i="183"/>
  <c r="X178" i="190" l="1"/>
  <c r="D7" i="185"/>
  <c r="AL101" i="149"/>
  <c r="S14" i="149"/>
  <c r="AL14" i="149" s="1"/>
  <c r="S169" i="183"/>
  <c r="I176" i="183"/>
  <c r="P133" i="149"/>
  <c r="M113" i="149"/>
  <c r="M133" i="149"/>
  <c r="P103" i="149"/>
  <c r="P113" i="149"/>
  <c r="J175" i="149" l="1"/>
  <c r="X182" i="190" s="1"/>
  <c r="J174" i="149"/>
  <c r="X181" i="190" s="1"/>
  <c r="J173" i="149"/>
  <c r="X180" i="190" s="1"/>
  <c r="J172" i="149"/>
  <c r="X179" i="190" l="1"/>
  <c r="J178" i="149"/>
  <c r="F13" i="123" s="1"/>
  <c r="S170" i="183"/>
  <c r="S172" i="183"/>
  <c r="S171" i="183"/>
  <c r="S173" i="183"/>
  <c r="P13" i="123" l="1"/>
  <c r="X185" i="190"/>
  <c r="X187" i="190" s="1"/>
  <c r="D13" i="214" s="1"/>
  <c r="S176" i="183"/>
  <c r="S178" i="183" s="1"/>
  <c r="D12" i="214" s="1"/>
  <c r="J20" i="166" l="1"/>
  <c r="P20" i="166" l="1"/>
  <c r="O22" i="166"/>
  <c r="J22" i="166"/>
  <c r="P22" i="166" l="1"/>
  <c r="P6" i="166" s="1"/>
  <c r="D10" i="214" s="1"/>
  <c r="P15" i="123"/>
  <c r="F17" i="123" l="1"/>
  <c r="P17" i="123" l="1"/>
  <c r="H17" i="141" l="1"/>
  <c r="K49" i="139"/>
  <c r="M18" i="141" l="1"/>
  <c r="Y18" i="141"/>
  <c r="U18" i="141"/>
  <c r="C7" i="123"/>
  <c r="M7" i="123"/>
  <c r="I18" i="141"/>
  <c r="O65" i="117"/>
  <c r="O64" i="117"/>
  <c r="O61" i="117"/>
  <c r="O58" i="117"/>
  <c r="O57" i="117"/>
  <c r="O56" i="117"/>
  <c r="O54" i="117"/>
  <c r="O51" i="117"/>
  <c r="O50" i="117"/>
  <c r="O49" i="117"/>
  <c r="O48" i="117"/>
  <c r="O47" i="117"/>
  <c r="O44" i="117"/>
  <c r="O43" i="117"/>
  <c r="O42" i="117"/>
  <c r="O41" i="117"/>
  <c r="O40" i="117"/>
  <c r="O37" i="117"/>
  <c r="O36" i="117"/>
  <c r="O35" i="117"/>
  <c r="O66" i="117" s="1"/>
  <c r="O67" i="117" l="1"/>
  <c r="P6" i="123"/>
  <c r="R6" i="123"/>
  <c r="Q5" i="139"/>
  <c r="W67" i="117" l="1"/>
  <c r="B10" i="185"/>
  <c r="W8" i="117" l="1" a="1"/>
  <c r="W8" i="117" s="1"/>
  <c r="D23" i="214" s="1"/>
  <c r="C23" i="185"/>
  <c r="I26" i="185" s="1"/>
  <c r="H26" i="185" s="1" a="1"/>
  <c r="H26" i="185" s="1"/>
  <c r="C21" i="185"/>
  <c r="D23" i="185" l="1"/>
  <c r="G26" i="185"/>
  <c r="D26" i="185"/>
  <c r="H23" i="185"/>
  <c r="F26" i="185"/>
  <c r="C26" i="185"/>
  <c r="I23" i="185"/>
  <c r="E23" i="185"/>
  <c r="B23" i="185"/>
  <c r="B29" i="185" s="1"/>
  <c r="E26" i="185"/>
  <c r="B26" i="185"/>
  <c r="G23" i="185"/>
  <c r="F23" i="185"/>
  <c r="C42" i="185" l="1"/>
  <c r="I45" i="185" s="1"/>
  <c r="H45" i="185" s="1" a="1"/>
  <c r="H45" i="185" s="1"/>
  <c r="C40" i="185"/>
  <c r="I42" i="185" l="1"/>
  <c r="F45" i="185"/>
  <c r="G45" i="185"/>
  <c r="B42" i="185"/>
  <c r="B48" i="185" s="1"/>
  <c r="G42" i="185"/>
  <c r="D45" i="185"/>
  <c r="E45" i="185"/>
  <c r="B45" i="185"/>
  <c r="D42" i="185"/>
  <c r="H42" i="185"/>
  <c r="C45" i="185"/>
  <c r="E42" i="185"/>
  <c r="F42" i="185"/>
  <c r="C61" i="185" l="1"/>
  <c r="I64" i="185" s="1"/>
  <c r="H64" i="185" s="1" a="1"/>
  <c r="H64" i="185" s="1"/>
  <c r="C59" i="185"/>
  <c r="G61" i="185" l="1"/>
  <c r="G64" i="185"/>
  <c r="I61" i="185"/>
  <c r="H61" i="185"/>
  <c r="E64" i="185"/>
  <c r="B61" i="185"/>
  <c r="B67" i="185" s="1"/>
  <c r="C64" i="185"/>
  <c r="E61" i="185"/>
  <c r="B64" i="185"/>
  <c r="F64" i="185"/>
  <c r="D64" i="185"/>
  <c r="D61" i="185"/>
  <c r="F61" i="185"/>
  <c r="C80" i="185" l="1"/>
  <c r="G83" i="185" s="1"/>
  <c r="C78" i="185"/>
  <c r="I83" i="185" l="1"/>
  <c r="H83" i="185" s="1" a="1"/>
  <c r="H83" i="185" s="1"/>
  <c r="B83" i="185"/>
  <c r="E83" i="185"/>
  <c r="E80" i="185"/>
  <c r="F83" i="185"/>
  <c r="D80" i="185"/>
  <c r="D83" i="185"/>
  <c r="G80" i="185"/>
  <c r="B80" i="185"/>
  <c r="B86" i="185" s="1"/>
  <c r="C99" i="185" s="1"/>
  <c r="F80" i="185"/>
  <c r="I80" i="185"/>
  <c r="H80" i="185"/>
  <c r="C83" i="185"/>
  <c r="I102" i="185" l="1"/>
  <c r="H102" i="185" s="1" a="1"/>
  <c r="H102" i="185" s="1"/>
  <c r="B102" i="185"/>
  <c r="B99" i="185"/>
  <c r="I99" i="185"/>
  <c r="H99" i="185"/>
  <c r="D99" i="185"/>
  <c r="G102" i="185"/>
  <c r="G99" i="185"/>
  <c r="C102" i="185"/>
  <c r="F102" i="185"/>
  <c r="F99" i="185"/>
  <c r="E102" i="185"/>
  <c r="E99" i="185"/>
  <c r="D102" i="185"/>
  <c r="C97" i="185"/>
  <c r="B105" i="185" l="1"/>
  <c r="C116" i="185" l="1"/>
  <c r="C118" i="185"/>
  <c r="I121" i="185" l="1"/>
  <c r="H121" i="185" s="1" a="1"/>
  <c r="H121" i="185" s="1"/>
  <c r="B121" i="185"/>
  <c r="B118" i="185"/>
  <c r="B124" i="185" s="1"/>
  <c r="I118" i="185"/>
  <c r="H118" i="185"/>
  <c r="D118" i="185"/>
  <c r="G121" i="185"/>
  <c r="G118" i="185"/>
  <c r="F121" i="185"/>
  <c r="F118" i="185"/>
  <c r="D121" i="185"/>
  <c r="E121" i="185"/>
  <c r="E118" i="185"/>
  <c r="C121" i="185"/>
  <c r="C137" i="185" l="1"/>
  <c r="I140" i="185" s="1"/>
  <c r="H140" i="185" s="1" a="1"/>
  <c r="H140" i="185" s="1"/>
  <c r="C135" i="185"/>
  <c r="G140" i="185" l="1"/>
  <c r="G137" i="185"/>
  <c r="H137" i="185"/>
  <c r="C140" i="185"/>
  <c r="F137" i="185"/>
  <c r="F140" i="185"/>
  <c r="B140" i="185"/>
  <c r="D137" i="185"/>
  <c r="E140" i="185"/>
  <c r="I137" i="185"/>
  <c r="B137" i="185"/>
  <c r="B143" i="185" s="1"/>
  <c r="D140" i="185"/>
  <c r="E137" i="185"/>
  <c r="M67" i="117"/>
  <c r="H67" i="117"/>
  <c r="F67" i="117"/>
  <c r="G67" i="117"/>
  <c r="K67" i="117"/>
  <c r="L67" i="117"/>
  <c r="J67" i="117"/>
  <c r="K17" i="141" l="1"/>
  <c r="L17" i="141"/>
  <c r="C156" i="185"/>
  <c r="I159" i="185" s="1"/>
  <c r="H159" i="185" s="1" a="1"/>
  <c r="H159" i="185" s="1"/>
  <c r="C154" i="185"/>
  <c r="H17" i="123"/>
  <c r="I67" i="117"/>
  <c r="L18" i="141" l="1"/>
  <c r="X18" i="141"/>
  <c r="K18" i="141"/>
  <c r="W18" i="141"/>
  <c r="J17" i="141"/>
  <c r="G156" i="185"/>
  <c r="G159" i="185"/>
  <c r="D159" i="185"/>
  <c r="C159" i="185"/>
  <c r="E156" i="185"/>
  <c r="H156" i="185"/>
  <c r="E159" i="185"/>
  <c r="I156" i="185"/>
  <c r="D156" i="185"/>
  <c r="B156" i="185"/>
  <c r="B162" i="185" s="1"/>
  <c r="F156" i="185"/>
  <c r="B159" i="185"/>
  <c r="F159" i="185"/>
  <c r="H6" i="123"/>
  <c r="F6" i="123"/>
  <c r="C175" i="185" l="1"/>
  <c r="B175" i="185" s="1"/>
  <c r="V18" i="141"/>
  <c r="T18" i="141"/>
  <c r="J18" i="141"/>
  <c r="H18" i="141"/>
  <c r="C173" i="185"/>
  <c r="C6" i="123"/>
  <c r="M6" i="123"/>
  <c r="B181" i="185" l="1"/>
  <c r="I175" i="185"/>
  <c r="D178" i="185"/>
  <c r="E175" i="185"/>
  <c r="G178" i="185"/>
  <c r="I178" i="185"/>
  <c r="H178" i="185" s="1" a="1"/>
  <c r="H178" i="185" s="1"/>
  <c r="F178" i="185"/>
  <c r="D175" i="185"/>
  <c r="G175" i="185"/>
  <c r="B178" i="185"/>
  <c r="C192" i="185" s="1"/>
  <c r="H175" i="185"/>
  <c r="C178" i="185"/>
  <c r="E178" i="185"/>
  <c r="F175" i="185"/>
  <c r="R3" i="123" a="1"/>
  <c r="R3" i="123" s="1"/>
  <c r="D16" i="214" s="1"/>
  <c r="P6" i="141" a="1"/>
  <c r="P6" i="141" s="1"/>
  <c r="D18" i="214" s="1"/>
  <c r="C194" i="185" l="1"/>
  <c r="I197" i="185" s="1"/>
  <c r="H197" i="185" s="1" a="1"/>
  <c r="H197" i="185" s="1"/>
  <c r="F197" i="185" l="1"/>
  <c r="B197" i="185"/>
  <c r="G197" i="185"/>
  <c r="G194" i="185"/>
  <c r="H194" i="185"/>
  <c r="F194" i="185"/>
  <c r="D194" i="185"/>
  <c r="C197" i="185"/>
  <c r="B194" i="185"/>
  <c r="B200" i="185" s="1"/>
  <c r="E197" i="185"/>
  <c r="E194" i="185"/>
  <c r="I194" i="185"/>
  <c r="D197" i="185"/>
  <c r="C211" i="185"/>
  <c r="C213" i="185" l="1"/>
  <c r="H213" i="185" s="1"/>
  <c r="I216" i="185" l="1"/>
  <c r="H216" i="185" s="1" a="1"/>
  <c r="H216" i="185" s="1"/>
  <c r="F213" i="185"/>
  <c r="B213" i="185"/>
  <c r="B219" i="185" s="1"/>
  <c r="C232" i="185" s="1"/>
  <c r="H232" i="185" s="1"/>
  <c r="E213" i="185"/>
  <c r="D216" i="185"/>
  <c r="D213" i="185"/>
  <c r="G213" i="185"/>
  <c r="G216" i="185"/>
  <c r="I213" i="185"/>
  <c r="C216" i="185"/>
  <c r="F216" i="185"/>
  <c r="B216" i="185"/>
  <c r="E216" i="185"/>
  <c r="C230" i="185"/>
  <c r="B235" i="185" l="1"/>
  <c r="I235" i="185"/>
  <c r="H235" i="185" s="1" a="1"/>
  <c r="H235" i="185" s="1"/>
  <c r="E235" i="185"/>
  <c r="E232" i="185"/>
  <c r="I232" i="185"/>
  <c r="F232" i="185"/>
  <c r="B232" i="185"/>
  <c r="B238" i="185" s="1"/>
  <c r="C251" i="185" s="1"/>
  <c r="F235" i="185"/>
  <c r="D235" i="185"/>
  <c r="G232" i="185"/>
  <c r="C235" i="185"/>
  <c r="G235" i="185"/>
  <c r="D232" i="185"/>
  <c r="I254" i="185" l="1"/>
  <c r="H254" i="185" s="1" a="1"/>
  <c r="H254" i="185" s="1"/>
  <c r="B254" i="185"/>
  <c r="B251" i="185"/>
  <c r="I251" i="185"/>
  <c r="H251" i="185"/>
  <c r="G254" i="185"/>
  <c r="G251" i="185"/>
  <c r="F254" i="185"/>
  <c r="F251" i="185"/>
  <c r="E254" i="185"/>
  <c r="E251" i="185"/>
  <c r="D254" i="185"/>
  <c r="D251" i="185"/>
  <c r="C254" i="185"/>
  <c r="C249" i="185"/>
  <c r="B257" i="185" l="1"/>
  <c r="C270" i="185" s="1"/>
  <c r="I273" i="185" l="1"/>
  <c r="H273" i="185" s="1" a="1"/>
  <c r="H273" i="185" s="1"/>
  <c r="B273" i="185"/>
  <c r="B270" i="185"/>
  <c r="I270" i="185"/>
  <c r="H270" i="185"/>
  <c r="F273" i="185"/>
  <c r="G273" i="185"/>
  <c r="G270" i="185"/>
  <c r="F270" i="185"/>
  <c r="E273" i="185"/>
  <c r="E270" i="185"/>
  <c r="D273" i="185"/>
  <c r="D270" i="185"/>
  <c r="C273" i="185"/>
  <c r="C268" i="185"/>
  <c r="B276" i="185" l="1"/>
  <c r="C289" i="185" s="1"/>
  <c r="I292" i="185" l="1"/>
  <c r="H292" i="185" s="1" a="1"/>
  <c r="H292" i="185" s="1"/>
  <c r="B292" i="185"/>
  <c r="B289" i="185"/>
  <c r="I289" i="185"/>
  <c r="H289" i="185"/>
  <c r="G292" i="185"/>
  <c r="G289" i="185"/>
  <c r="F292" i="185"/>
  <c r="F289" i="185"/>
  <c r="D289" i="185"/>
  <c r="E292" i="185"/>
  <c r="E289" i="185"/>
  <c r="D292" i="185"/>
  <c r="C292" i="185"/>
  <c r="C287" i="185"/>
  <c r="B295" i="185" l="1"/>
  <c r="C308" i="185" s="1"/>
  <c r="I311" i="185" l="1"/>
  <c r="H311" i="185" s="1" a="1"/>
  <c r="H311" i="185" s="1"/>
  <c r="B311" i="185"/>
  <c r="B308" i="185"/>
  <c r="I308" i="185"/>
  <c r="H308" i="185"/>
  <c r="G311" i="185"/>
  <c r="G308" i="185"/>
  <c r="F311" i="185"/>
  <c r="F308" i="185"/>
  <c r="E311" i="185"/>
  <c r="E308" i="185"/>
  <c r="D311" i="185"/>
  <c r="D308" i="185"/>
  <c r="C311" i="185"/>
  <c r="C306" i="185"/>
  <c r="B314" i="185" l="1"/>
  <c r="C327" i="185" s="1"/>
  <c r="I330" i="185" l="1"/>
  <c r="H330" i="185" s="1" a="1"/>
  <c r="H330" i="185" s="1"/>
  <c r="B330" i="185"/>
  <c r="B327" i="185"/>
  <c r="I327" i="185"/>
  <c r="H327" i="185"/>
  <c r="G330" i="185"/>
  <c r="G327" i="185"/>
  <c r="F330" i="185"/>
  <c r="F327" i="185"/>
  <c r="E330" i="185"/>
  <c r="E327" i="185"/>
  <c r="D330" i="185"/>
  <c r="D327" i="185"/>
  <c r="C330" i="185"/>
  <c r="C325" i="185"/>
  <c r="B333" i="185" l="1"/>
  <c r="C346" i="185" s="1"/>
  <c r="I349" i="185" l="1"/>
  <c r="H349" i="185" s="1" a="1"/>
  <c r="H349" i="185" s="1"/>
  <c r="B349" i="185"/>
  <c r="B346" i="185"/>
  <c r="I346" i="185"/>
  <c r="H346" i="185"/>
  <c r="G349" i="185"/>
  <c r="G346" i="185"/>
  <c r="F349" i="185"/>
  <c r="F346" i="185"/>
  <c r="D346" i="185"/>
  <c r="E349" i="185"/>
  <c r="E346" i="185"/>
  <c r="D349" i="185"/>
  <c r="C349" i="185"/>
  <c r="C344" i="185"/>
  <c r="B352" i="185" l="1"/>
  <c r="C365" i="185" s="1"/>
  <c r="I368" i="185" l="1"/>
  <c r="H368" i="185" s="1" a="1"/>
  <c r="H368" i="185" s="1"/>
  <c r="B368" i="185"/>
  <c r="B365" i="185"/>
  <c r="I365" i="185"/>
  <c r="H365" i="185"/>
  <c r="G368" i="185"/>
  <c r="G365" i="185"/>
  <c r="F368" i="185"/>
  <c r="F365" i="185"/>
  <c r="D368" i="185"/>
  <c r="E368" i="185"/>
  <c r="E365" i="185"/>
  <c r="D365" i="185"/>
  <c r="C368" i="185"/>
  <c r="C363" i="185"/>
  <c r="B371" i="185" l="1"/>
  <c r="C384" i="185" s="1"/>
  <c r="I387" i="185" l="1"/>
  <c r="H387" i="185" s="1" a="1"/>
  <c r="H387" i="185" s="1"/>
  <c r="B387" i="185"/>
  <c r="B384" i="185"/>
  <c r="I384" i="185"/>
  <c r="H384" i="185"/>
  <c r="C387" i="185"/>
  <c r="G387" i="185"/>
  <c r="G384" i="185"/>
  <c r="F387" i="185"/>
  <c r="F384" i="185"/>
  <c r="D384" i="185"/>
  <c r="E387" i="185"/>
  <c r="E384" i="185"/>
  <c r="D387" i="185"/>
  <c r="C382" i="185"/>
  <c r="B390" i="185" l="1"/>
  <c r="C403" i="185" s="1"/>
  <c r="I406" i="185" l="1"/>
  <c r="H406" i="185" s="1" a="1"/>
  <c r="H406" i="185" s="1"/>
  <c r="B406" i="185"/>
  <c r="B403" i="185"/>
  <c r="I403" i="185"/>
  <c r="H403" i="185"/>
  <c r="F403" i="185"/>
  <c r="G406" i="185"/>
  <c r="G403" i="185"/>
  <c r="F406" i="185"/>
  <c r="E406" i="185"/>
  <c r="E403" i="185"/>
  <c r="D406" i="185"/>
  <c r="D403" i="185"/>
  <c r="C406" i="185"/>
  <c r="C401" i="185"/>
  <c r="B409" i="185" l="1"/>
  <c r="C422" i="185" s="1"/>
  <c r="I425" i="185" l="1"/>
  <c r="H425" i="185" s="1" a="1"/>
  <c r="H425" i="185" s="1"/>
  <c r="B425" i="185"/>
  <c r="B422" i="185"/>
  <c r="H422" i="185"/>
  <c r="D425" i="185"/>
  <c r="D422" i="185"/>
  <c r="C425" i="185"/>
  <c r="I422" i="185"/>
  <c r="G425" i="185"/>
  <c r="G422" i="185"/>
  <c r="F425" i="185"/>
  <c r="F422" i="185"/>
  <c r="E425" i="185"/>
  <c r="E422" i="185"/>
  <c r="C420" i="185"/>
  <c r="B428" i="185" l="1"/>
  <c r="C441" i="185" s="1"/>
  <c r="I444" i="185" l="1"/>
  <c r="H444" i="185" s="1" a="1"/>
  <c r="H444" i="185" s="1"/>
  <c r="B444" i="185"/>
  <c r="B441" i="185"/>
  <c r="I441" i="185"/>
  <c r="H441" i="185"/>
  <c r="G444" i="185"/>
  <c r="G441" i="185"/>
  <c r="F444" i="185"/>
  <c r="F441" i="185"/>
  <c r="D441" i="185"/>
  <c r="E444" i="185"/>
  <c r="E441" i="185"/>
  <c r="D444" i="185"/>
  <c r="C444" i="185"/>
  <c r="C439" i="185"/>
  <c r="B447" i="185" l="1"/>
  <c r="C458" i="185" l="1"/>
  <c r="C460" i="185"/>
  <c r="I463" i="185" l="1"/>
  <c r="H463" i="185" s="1" a="1"/>
  <c r="H463" i="185" s="1"/>
  <c r="B463" i="185"/>
  <c r="B460" i="185"/>
  <c r="B466" i="185" s="1"/>
  <c r="I460" i="185"/>
  <c r="H460" i="185"/>
  <c r="G463" i="185"/>
  <c r="G460" i="185"/>
  <c r="F463" i="185"/>
  <c r="F460" i="185"/>
  <c r="E463" i="185"/>
  <c r="E460" i="185"/>
  <c r="D463" i="185"/>
  <c r="D460" i="185"/>
  <c r="C463" i="185"/>
  <c r="C479" i="185" l="1"/>
  <c r="I482" i="185" s="1"/>
  <c r="H482" i="185" s="1" a="1"/>
  <c r="H482" i="185" s="1"/>
  <c r="C477" i="185"/>
  <c r="G479" i="185" l="1"/>
  <c r="I479" i="185"/>
  <c r="G482" i="185"/>
  <c r="E479" i="185"/>
  <c r="B479" i="185"/>
  <c r="B485" i="185" s="1"/>
  <c r="C498" i="185" s="1"/>
  <c r="D479" i="185"/>
  <c r="D482" i="185"/>
  <c r="F479" i="185"/>
  <c r="B482" i="185"/>
  <c r="C482" i="185"/>
  <c r="H479" i="185"/>
  <c r="E482" i="185"/>
  <c r="F482" i="185"/>
  <c r="C496" i="185" l="1"/>
  <c r="I501" i="185"/>
  <c r="H501" i="185" s="1" a="1"/>
  <c r="H501" i="185" s="1"/>
  <c r="B501" i="185"/>
  <c r="B498" i="185"/>
  <c r="I498" i="185"/>
  <c r="H498" i="185"/>
  <c r="F501" i="185"/>
  <c r="F498" i="185"/>
  <c r="G501" i="185"/>
  <c r="G498" i="185"/>
  <c r="E501" i="185"/>
  <c r="E498" i="185"/>
  <c r="D501" i="185"/>
  <c r="D498" i="185"/>
  <c r="C501" i="185"/>
  <c r="B504" i="185" l="1"/>
  <c r="C517" i="185" s="1"/>
  <c r="I520" i="185" s="1"/>
  <c r="H520" i="185" s="1" a="1"/>
  <c r="H520" i="185" s="1"/>
  <c r="C515" i="185" l="1"/>
  <c r="C520" i="185"/>
  <c r="D517" i="185"/>
  <c r="B517" i="185"/>
  <c r="F520" i="185"/>
  <c r="G520" i="185"/>
  <c r="D520" i="185"/>
  <c r="E520" i="185"/>
  <c r="B520" i="185"/>
  <c r="G517" i="185"/>
  <c r="H517" i="185"/>
  <c r="I517" i="185"/>
  <c r="E517" i="185"/>
  <c r="F517" i="185"/>
  <c r="B523" i="185" l="1"/>
  <c r="C536" i="185" s="1"/>
  <c r="I539" i="185" s="1"/>
  <c r="H539" i="185" s="1" a="1"/>
  <c r="H539" i="185" s="1"/>
  <c r="C534" i="185" l="1"/>
  <c r="G536" i="185"/>
  <c r="G539" i="185"/>
  <c r="H536" i="185"/>
  <c r="I536" i="185"/>
  <c r="F539" i="185"/>
  <c r="B536" i="185"/>
  <c r="D536" i="185"/>
  <c r="D539" i="185"/>
  <c r="C539" i="185"/>
  <c r="E536" i="185"/>
  <c r="E539" i="185"/>
  <c r="B539" i="185"/>
  <c r="F536" i="185"/>
  <c r="B542" i="185" l="1"/>
  <c r="C555" i="185" s="1"/>
  <c r="I558" i="185" s="1"/>
  <c r="H558" i="185" s="1" a="1"/>
  <c r="H558" i="185" s="1"/>
  <c r="C553" i="185"/>
  <c r="H555" i="185" l="1"/>
  <c r="I555" i="185"/>
  <c r="E555" i="185"/>
  <c r="B555" i="185"/>
  <c r="B561" i="185" s="1"/>
  <c r="G555" i="185"/>
  <c r="C558" i="185"/>
  <c r="B558" i="185"/>
  <c r="G558" i="185"/>
  <c r="D558" i="185"/>
  <c r="E558" i="185"/>
  <c r="D555" i="185"/>
  <c r="F555" i="185"/>
  <c r="F558" i="185"/>
  <c r="S6" i="122"/>
  <c r="S12" i="122"/>
  <c r="S13" i="122"/>
  <c r="S25" i="122"/>
  <c r="S18" i="122"/>
  <c r="S17" i="122"/>
  <c r="S23" i="122"/>
  <c r="S26" i="122"/>
  <c r="S19" i="122"/>
  <c r="S33" i="122"/>
  <c r="S32" i="122"/>
  <c r="S24" i="122"/>
  <c r="S31" i="122"/>
  <c r="S35" i="122"/>
  <c r="S14" i="122"/>
  <c r="S11" i="122"/>
  <c r="S15" i="122"/>
  <c r="S29" i="122"/>
  <c r="S21" i="122"/>
  <c r="S34" i="122"/>
  <c r="S28" i="122"/>
  <c r="S20" i="122"/>
  <c r="S36" i="122"/>
  <c r="S27" i="122"/>
  <c r="S16" i="122"/>
  <c r="S30" i="122"/>
  <c r="S22" i="122"/>
  <c r="S3" i="122"/>
  <c r="S7" i="122"/>
  <c r="U6" i="122" l="1" a="1"/>
  <c r="U6" i="122" s="1"/>
  <c r="U3" i="122"/>
  <c r="AE101" i="149"/>
  <c r="AF101" i="149" s="1"/>
  <c r="AG101" i="149" s="1" a="1"/>
  <c r="AG101" i="149" s="1"/>
  <c r="AE81" i="149"/>
  <c r="AF81" i="149" s="1"/>
  <c r="AG81" i="149" s="1" a="1"/>
  <c r="AG81" i="149" s="1"/>
  <c r="AH81" i="149"/>
  <c r="AE80" i="149"/>
  <c r="AF80" i="149" s="1"/>
  <c r="AG80" i="149" s="1" a="1"/>
  <c r="AG80" i="149" s="1"/>
  <c r="AH80" i="149"/>
  <c r="AE24" i="149"/>
  <c r="AF24" i="149" s="1"/>
  <c r="AG24" i="149" s="1" a="1"/>
  <c r="AG24" i="149" s="1"/>
  <c r="AH24" i="149"/>
  <c r="AE13" i="149"/>
  <c r="AF13" i="149" s="1"/>
  <c r="AG13" i="149" s="1" a="1"/>
  <c r="AG13" i="149" s="1"/>
  <c r="S13" i="149" s="1"/>
  <c r="AH13" i="149"/>
  <c r="AE151" i="149"/>
  <c r="AF151" i="149" s="1"/>
  <c r="AG151" i="149" s="1" a="1"/>
  <c r="AG151" i="149" s="1"/>
  <c r="AH151" i="149"/>
  <c r="AH101" i="149"/>
  <c r="AE12" i="149"/>
  <c r="AF12" i="149" s="1"/>
  <c r="AG12" i="149" s="1" a="1"/>
  <c r="AG12" i="149" s="1"/>
  <c r="AH12" i="149"/>
  <c r="AE100" i="149"/>
  <c r="AF100" i="149" s="1"/>
  <c r="AG100" i="149" s="1" a="1"/>
  <c r="AG100" i="149" s="1"/>
  <c r="S100" i="149"/>
  <c r="AL100" i="149" s="1"/>
  <c r="AH100" i="149"/>
  <c r="AE52" i="149"/>
  <c r="AF52" i="149" s="1"/>
  <c r="AG52" i="149" s="1" a="1"/>
  <c r="AG52" i="149" s="1"/>
  <c r="AH52" i="149"/>
  <c r="AE73" i="149"/>
  <c r="AF73" i="149" s="1"/>
  <c r="AG73" i="149" s="1" a="1"/>
  <c r="AG73" i="149" s="1"/>
  <c r="AH73" i="149"/>
  <c r="AE110" i="149"/>
  <c r="AF110" i="149" s="1"/>
  <c r="AG110" i="149" s="1" a="1"/>
  <c r="AG110" i="149" s="1"/>
  <c r="AH110" i="149"/>
  <c r="AE147" i="149"/>
  <c r="AF147" i="149" s="1"/>
  <c r="AG147" i="149" s="1" a="1"/>
  <c r="AG147" i="149" s="1"/>
  <c r="AI147" i="149"/>
  <c r="AL147" i="149" s="1"/>
  <c r="AH147" i="149"/>
  <c r="AE20" i="149"/>
  <c r="AF20" i="149" s="1"/>
  <c r="AG20" i="149" s="1" a="1"/>
  <c r="AG20" i="149" s="1"/>
  <c r="AH20" i="149"/>
  <c r="AI10" i="190"/>
  <c r="AJ10" i="190" s="1"/>
  <c r="AE10" i="149" s="1"/>
  <c r="AF10" i="149" s="1"/>
  <c r="AG10" i="149" s="1" a="1"/>
  <c r="AG10" i="149" s="1"/>
  <c r="W9" i="190"/>
  <c r="AI9" i="190" s="1"/>
  <c r="W12" i="190"/>
  <c r="AI12" i="190" s="1"/>
  <c r="AJ11" i="190"/>
  <c r="AI13" i="149" l="1"/>
  <c r="AL13" i="149" s="1"/>
  <c r="S12" i="149"/>
  <c r="AI12" i="149"/>
  <c r="AJ13" i="190"/>
  <c r="AI10" i="149"/>
  <c r="S10" i="149"/>
  <c r="AJ12" i="190"/>
  <c r="AE11" i="149" s="1"/>
  <c r="AF11" i="149" s="1"/>
  <c r="AG11" i="149" s="1" a="1"/>
  <c r="AG11" i="149" s="1"/>
  <c r="AI13" i="190"/>
  <c r="AJ9" i="190"/>
  <c r="AL12" i="149" l="1"/>
  <c r="AL10" i="149"/>
  <c r="AI11" i="149"/>
  <c r="S11" i="149"/>
  <c r="W14" i="190"/>
  <c r="AI14" i="190" s="1"/>
  <c r="AJ14" i="190"/>
  <c r="AL11" i="149" l="1"/>
  <c r="W16" i="190"/>
  <c r="AI16" i="190" s="1"/>
  <c r="AJ16" i="190"/>
  <c r="W15" i="190"/>
  <c r="AI15" i="190" s="1"/>
  <c r="AJ15" i="190"/>
  <c r="AJ18" i="190" l="1"/>
  <c r="W18" i="190"/>
  <c r="AI18" i="190" s="1"/>
  <c r="W17" i="190"/>
  <c r="AI17" i="190" s="1"/>
  <c r="AJ17" i="190"/>
  <c r="AJ20" i="190" l="1"/>
  <c r="W20" i="190"/>
  <c r="AI20" i="190" s="1"/>
  <c r="W19" i="190"/>
  <c r="AI19" i="190" s="1"/>
  <c r="AJ19" i="190"/>
  <c r="W21" i="190" l="1"/>
  <c r="AI21" i="190" s="1"/>
  <c r="AJ21" i="190"/>
  <c r="AJ22" i="190" l="1"/>
  <c r="W22" i="190"/>
  <c r="AI22" i="190" s="1"/>
  <c r="AJ23" i="190"/>
  <c r="AE28" i="149" s="1"/>
  <c r="AF28" i="149" s="1"/>
  <c r="AG28" i="149" s="1" a="1"/>
  <c r="AG28" i="149" s="1"/>
  <c r="S28" i="149" l="1"/>
  <c r="AI28" i="149"/>
  <c r="AJ24" i="190"/>
  <c r="W24" i="190"/>
  <c r="AI24" i="190" s="1"/>
  <c r="AL28" i="149" l="1"/>
  <c r="AJ25" i="190"/>
  <c r="W25" i="190"/>
  <c r="AI25" i="190" s="1"/>
  <c r="W26" i="190" l="1"/>
  <c r="AI26" i="190" s="1"/>
  <c r="AJ26" i="190"/>
  <c r="W27" i="190" l="1"/>
  <c r="AI27" i="190" s="1"/>
  <c r="AJ27" i="190"/>
  <c r="AJ28" i="190" l="1"/>
  <c r="W28" i="190"/>
  <c r="AI28" i="190" s="1"/>
  <c r="AJ29" i="190" l="1"/>
  <c r="W29" i="190"/>
  <c r="AI29" i="190" s="1"/>
  <c r="W30" i="190" l="1"/>
  <c r="AI30" i="190" s="1"/>
  <c r="AJ30" i="190"/>
  <c r="AJ31" i="190" l="1"/>
  <c r="W31" i="190"/>
  <c r="AI31" i="190" s="1"/>
  <c r="W32" i="190" l="1"/>
  <c r="AI32" i="190" s="1"/>
  <c r="AJ32" i="190"/>
  <c r="W33" i="190" l="1"/>
  <c r="AI33" i="190" s="1"/>
  <c r="AJ33" i="190"/>
  <c r="AJ34" i="190" l="1"/>
  <c r="W34" i="190"/>
  <c r="AI34" i="190" s="1"/>
  <c r="AJ35" i="190" l="1"/>
  <c r="W35" i="190"/>
  <c r="AI35" i="190" s="1"/>
  <c r="AJ36" i="190" l="1"/>
  <c r="W36" i="190"/>
  <c r="AI36" i="190" s="1"/>
  <c r="W37" i="190" l="1"/>
  <c r="AI37" i="190" s="1"/>
  <c r="AJ37" i="190"/>
  <c r="W38" i="190" l="1"/>
  <c r="AI38" i="190" s="1"/>
  <c r="AJ38" i="190"/>
  <c r="AJ39" i="190" l="1"/>
  <c r="W39" i="190"/>
  <c r="AI39" i="190" s="1"/>
  <c r="AJ40" i="190" l="1"/>
  <c r="W40" i="190"/>
  <c r="AI40" i="190" s="1"/>
  <c r="AJ41" i="190" l="1"/>
  <c r="W41" i="190"/>
  <c r="AI41" i="190" s="1"/>
  <c r="AJ42" i="190" l="1"/>
  <c r="W42" i="190"/>
  <c r="AI42" i="190" s="1"/>
  <c r="AJ43" i="190" l="1"/>
  <c r="W43" i="190"/>
  <c r="AI43" i="190" s="1"/>
  <c r="W44" i="190" l="1"/>
  <c r="AI44" i="190" s="1"/>
  <c r="AJ44" i="190"/>
  <c r="W45" i="190" l="1"/>
  <c r="AI45" i="190" s="1"/>
  <c r="AJ45" i="190"/>
  <c r="AJ46" i="190" l="1"/>
  <c r="W46" i="190"/>
  <c r="AI46" i="190" s="1"/>
  <c r="AJ47" i="190" l="1"/>
  <c r="W47" i="190"/>
  <c r="AI47" i="190" s="1"/>
  <c r="AJ48" i="190" l="1"/>
  <c r="W48" i="190"/>
  <c r="AI48" i="190" s="1"/>
  <c r="AJ49" i="190" l="1"/>
  <c r="W49" i="190"/>
  <c r="AI49" i="190" s="1"/>
  <c r="AJ50" i="190" l="1"/>
  <c r="W50" i="190"/>
  <c r="AI50" i="190" s="1"/>
  <c r="AJ51" i="190" l="1"/>
  <c r="W51" i="190"/>
  <c r="AI51" i="190" s="1"/>
  <c r="AJ52" i="190" l="1"/>
  <c r="W52" i="190"/>
  <c r="AI52" i="190" s="1"/>
  <c r="W53" i="190" l="1"/>
  <c r="AI53" i="190" s="1"/>
  <c r="AJ53" i="190"/>
  <c r="W54" i="190" l="1"/>
  <c r="AI54" i="190" s="1"/>
  <c r="AJ54" i="190"/>
  <c r="AJ55" i="190" l="1"/>
  <c r="W55" i="190"/>
  <c r="AI55" i="190" s="1"/>
  <c r="AJ56" i="190" l="1"/>
  <c r="W56" i="190"/>
  <c r="AI56" i="190" s="1"/>
  <c r="AJ57" i="190" l="1"/>
  <c r="W57" i="190"/>
  <c r="AI57" i="190" s="1"/>
  <c r="AJ58" i="190" l="1"/>
  <c r="W58" i="190"/>
  <c r="AI58" i="190" s="1"/>
  <c r="AJ59" i="190" l="1"/>
  <c r="W59" i="190"/>
  <c r="AI59" i="190" s="1"/>
  <c r="W60" i="190" l="1"/>
  <c r="AI60" i="190" s="1"/>
  <c r="AJ60" i="190"/>
  <c r="AJ61" i="190" l="1"/>
  <c r="W61" i="190"/>
  <c r="AI61" i="190" s="1"/>
  <c r="AJ62" i="190" l="1"/>
  <c r="W62" i="190"/>
  <c r="AI62" i="190" s="1"/>
  <c r="AJ63" i="190" l="1"/>
  <c r="W63" i="190"/>
  <c r="AI63" i="190" s="1"/>
  <c r="AJ64" i="190" l="1"/>
  <c r="W64" i="190"/>
  <c r="AI64" i="190" s="1"/>
  <c r="W65" i="190" l="1"/>
  <c r="AI65" i="190" s="1"/>
  <c r="AJ65" i="190"/>
  <c r="W66" i="190" l="1"/>
  <c r="AI66" i="190" s="1"/>
  <c r="AJ66" i="190"/>
  <c r="AJ67" i="190" l="1"/>
  <c r="W67" i="190"/>
  <c r="AI67" i="190" s="1"/>
  <c r="AJ68" i="190" l="1"/>
  <c r="W68" i="190"/>
  <c r="AI68" i="190" s="1"/>
  <c r="AJ69" i="190" l="1"/>
  <c r="W69" i="190"/>
  <c r="AI69" i="190" s="1"/>
  <c r="AJ70" i="190" l="1"/>
  <c r="W70" i="190"/>
  <c r="AI70" i="190" s="1"/>
  <c r="W71" i="190" l="1"/>
  <c r="AI71" i="190" s="1"/>
  <c r="AJ71" i="190"/>
  <c r="AJ72" i="190" l="1"/>
  <c r="W72" i="190"/>
  <c r="AI72" i="190" s="1"/>
  <c r="W73" i="190" l="1"/>
  <c r="AI73" i="190" s="1"/>
  <c r="AJ73" i="190"/>
  <c r="W74" i="190" l="1"/>
  <c r="AI74" i="190" s="1"/>
  <c r="AJ74" i="190"/>
  <c r="AJ75" i="190" l="1"/>
  <c r="W75" i="190"/>
  <c r="AI75" i="190" s="1"/>
  <c r="AJ76" i="190" l="1"/>
  <c r="W76" i="190"/>
  <c r="AI76" i="190" s="1"/>
  <c r="W77" i="190" l="1"/>
  <c r="AI77" i="190" s="1"/>
  <c r="AJ77" i="190"/>
  <c r="W78" i="190" l="1"/>
  <c r="AI78" i="190" s="1"/>
  <c r="AJ78" i="190"/>
  <c r="AJ79" i="190" l="1"/>
  <c r="W79" i="190"/>
  <c r="AI79" i="190" s="1"/>
  <c r="W80" i="190" l="1"/>
  <c r="AI80" i="190" s="1"/>
  <c r="AJ80" i="190"/>
  <c r="W81" i="190" l="1"/>
  <c r="AI81" i="190" s="1"/>
  <c r="AJ81" i="190"/>
  <c r="AJ82" i="190" l="1"/>
  <c r="W82" i="190"/>
  <c r="AI82" i="190" s="1"/>
  <c r="AJ83" i="190" l="1"/>
  <c r="W83" i="190"/>
  <c r="AI83" i="190" s="1"/>
  <c r="AJ84" i="190" l="1"/>
  <c r="W84" i="190"/>
  <c r="AI84" i="190" s="1"/>
  <c r="W85" i="190" l="1"/>
  <c r="AI85" i="190" s="1"/>
  <c r="AJ85" i="190"/>
  <c r="W87" i="190" l="1"/>
  <c r="AJ87" i="190"/>
  <c r="W88" i="190" l="1"/>
  <c r="AI88" i="190" s="1"/>
  <c r="AJ88" i="190"/>
  <c r="AG87" i="190"/>
  <c r="AJ89" i="190" l="1"/>
  <c r="W89" i="190"/>
  <c r="AI89" i="190" s="1"/>
  <c r="AJ90" i="190" l="1"/>
  <c r="W90" i="190"/>
  <c r="AI90" i="190" s="1"/>
  <c r="W91" i="190" l="1"/>
  <c r="AI91" i="190" s="1"/>
  <c r="AJ91" i="190"/>
  <c r="AJ92" i="190" l="1"/>
  <c r="W92" i="190"/>
  <c r="AI92" i="190" s="1"/>
  <c r="W93" i="190" l="1"/>
  <c r="AI93" i="190" s="1"/>
  <c r="AJ93" i="190"/>
  <c r="AJ94" i="190" l="1"/>
  <c r="W94" i="190"/>
  <c r="AI94" i="190" s="1"/>
  <c r="W95" i="190" l="1"/>
  <c r="AI95" i="190" s="1"/>
  <c r="AJ95" i="190"/>
  <c r="W96" i="190" l="1"/>
  <c r="AI96" i="190" s="1"/>
  <c r="AJ96" i="190"/>
  <c r="AJ97" i="190" l="1"/>
  <c r="W97" i="190"/>
  <c r="AI97" i="190" s="1"/>
  <c r="W98" i="190" l="1"/>
  <c r="AI98" i="190" s="1"/>
  <c r="AJ98" i="190"/>
  <c r="W100" i="190" l="1"/>
  <c r="AJ100" i="190"/>
  <c r="W101" i="190" l="1"/>
  <c r="AI101" i="190" s="1"/>
  <c r="AJ101" i="190"/>
  <c r="AG100" i="190"/>
  <c r="W102" i="190" l="1"/>
  <c r="AI102" i="190" s="1"/>
  <c r="AJ102" i="190"/>
  <c r="W103" i="190" l="1"/>
  <c r="AI103" i="190" s="1"/>
  <c r="AJ103" i="190"/>
  <c r="AJ104" i="190" l="1"/>
  <c r="W104" i="190"/>
  <c r="AI104" i="190" s="1"/>
  <c r="AJ105" i="190" l="1"/>
  <c r="W105" i="190"/>
  <c r="AI105" i="190" s="1"/>
  <c r="AJ106" i="190" l="1"/>
  <c r="W106" i="190"/>
  <c r="AI106" i="190" s="1"/>
  <c r="AJ107" i="190" l="1"/>
  <c r="W107" i="190"/>
  <c r="AI107" i="190" s="1"/>
  <c r="W108" i="190" l="1"/>
  <c r="AI108" i="190" s="1"/>
  <c r="AJ108" i="190"/>
  <c r="W109" i="190" l="1"/>
  <c r="AI109" i="190" s="1"/>
  <c r="AJ109" i="190"/>
  <c r="AJ110" i="190" l="1"/>
  <c r="W110" i="190"/>
  <c r="AI110" i="190" s="1"/>
  <c r="AJ111" i="190" l="1"/>
  <c r="W111" i="190"/>
  <c r="AI111" i="190" s="1"/>
  <c r="AJ113" i="190" l="1"/>
  <c r="W113" i="190"/>
  <c r="AJ114" i="190" l="1"/>
  <c r="W114" i="190"/>
  <c r="AI114" i="190" s="1"/>
  <c r="AG113" i="190"/>
  <c r="AJ115" i="190" l="1"/>
  <c r="W115" i="190"/>
  <c r="AI115" i="190" s="1"/>
  <c r="AJ116" i="190" l="1"/>
  <c r="W116" i="190"/>
  <c r="AI116" i="190" s="1"/>
  <c r="W117" i="190" l="1"/>
  <c r="AI117" i="190" s="1"/>
  <c r="AJ117" i="190"/>
  <c r="W118" i="190" l="1"/>
  <c r="AI118" i="190" s="1"/>
  <c r="AJ118" i="190"/>
  <c r="AJ119" i="190" l="1"/>
  <c r="W119" i="190"/>
  <c r="AI119" i="190" s="1"/>
  <c r="AJ120" i="190" l="1"/>
  <c r="W120" i="190"/>
  <c r="AI120" i="190" s="1"/>
  <c r="W121" i="190" l="1"/>
  <c r="AI121" i="190" s="1"/>
  <c r="AJ121" i="190"/>
  <c r="W122" i="190" l="1"/>
  <c r="AI122" i="190" s="1"/>
  <c r="AJ122" i="190"/>
  <c r="W123" i="190" l="1"/>
  <c r="AI123" i="190" s="1"/>
  <c r="AJ123" i="190"/>
  <c r="W124" i="190" l="1"/>
  <c r="AI124" i="190" s="1"/>
  <c r="AJ124" i="190"/>
  <c r="W126" i="190" l="1"/>
  <c r="AJ126" i="190"/>
  <c r="AJ127" i="190" l="1"/>
  <c r="W127" i="190"/>
  <c r="AI127" i="190" s="1"/>
  <c r="AG126" i="190"/>
  <c r="AJ128" i="190" l="1"/>
  <c r="W128" i="190"/>
  <c r="AI128" i="190" s="1"/>
  <c r="AJ129" i="190" l="1"/>
  <c r="W129" i="190"/>
  <c r="AI129" i="190" s="1"/>
  <c r="AJ130" i="190" l="1"/>
  <c r="W130" i="190"/>
  <c r="AI130" i="190" s="1"/>
  <c r="AJ131" i="190" l="1"/>
  <c r="W131" i="190"/>
  <c r="AI131" i="190" s="1"/>
  <c r="W132" i="190" l="1"/>
  <c r="AI132" i="190" s="1"/>
  <c r="AJ132" i="190"/>
  <c r="AJ133" i="190" l="1"/>
  <c r="W133" i="190"/>
  <c r="AI133" i="190" s="1"/>
  <c r="W134" i="190" l="1"/>
  <c r="AI134" i="190" s="1"/>
  <c r="AJ134" i="190"/>
  <c r="AJ135" i="190" l="1"/>
  <c r="W135" i="190"/>
  <c r="AI135" i="190" s="1"/>
  <c r="AJ136" i="190" l="1"/>
  <c r="W136" i="190"/>
  <c r="AI136" i="190" s="1"/>
  <c r="AJ137" i="190" l="1"/>
  <c r="W137" i="190"/>
  <c r="AI137" i="190" s="1"/>
  <c r="W139" i="190" l="1"/>
  <c r="AJ139" i="190"/>
  <c r="W140" i="190" l="1"/>
  <c r="AI140" i="190" s="1"/>
  <c r="AJ140" i="190"/>
  <c r="AG139" i="190"/>
  <c r="AJ141" i="190" l="1"/>
  <c r="AE140" i="149" s="1"/>
  <c r="AF140" i="149" s="1"/>
  <c r="AG140" i="149" s="1" a="1"/>
  <c r="AG140" i="149" s="1"/>
  <c r="W141" i="190"/>
  <c r="AI141" i="190" s="1"/>
  <c r="AI140" i="149" l="1"/>
  <c r="S140" i="149"/>
  <c r="AL140" i="149" s="1"/>
  <c r="W142" i="190"/>
  <c r="AI142" i="190" s="1"/>
  <c r="AJ142" i="190"/>
  <c r="Y191" i="149" l="1"/>
  <c r="D11" i="214" s="1"/>
  <c r="D30" i="214" s="1"/>
  <c r="W143" i="190"/>
  <c r="AI143" i="190" s="1"/>
  <c r="AJ143" i="190"/>
  <c r="AJ144" i="190" l="1"/>
  <c r="W144" i="190"/>
  <c r="AI144" i="190" s="1"/>
  <c r="AJ145" i="190" l="1"/>
  <c r="W145" i="190"/>
  <c r="AI145" i="190" s="1"/>
  <c r="AJ146" i="190" l="1"/>
  <c r="W146" i="190"/>
  <c r="AI146" i="190" s="1"/>
  <c r="AJ147" i="190" l="1"/>
  <c r="W147" i="190"/>
  <c r="AI147" i="190" s="1"/>
  <c r="W148" i="190" l="1"/>
  <c r="AI148" i="190" s="1"/>
  <c r="AJ148" i="190"/>
  <c r="AJ149" i="190" l="1"/>
  <c r="W149" i="190"/>
  <c r="AI149" i="190" s="1"/>
  <c r="AJ150" i="190" l="1"/>
  <c r="W150" i="190"/>
  <c r="AI150" i="190" s="1"/>
  <c r="W152" i="190" l="1"/>
  <c r="AJ152" i="190"/>
  <c r="AJ153" i="190" l="1"/>
  <c r="W153" i="190"/>
  <c r="AI153" i="190" s="1"/>
  <c r="AG152" i="190"/>
  <c r="AJ154" i="190" l="1"/>
  <c r="W154" i="190"/>
  <c r="AI154" i="190" s="1"/>
  <c r="AJ155" i="190" l="1"/>
  <c r="W155" i="190"/>
  <c r="AI155" i="190" s="1"/>
  <c r="W156" i="190" l="1"/>
  <c r="AI156" i="190" s="1"/>
  <c r="AJ156" i="190"/>
  <c r="W157" i="190" l="1"/>
  <c r="AI157" i="190" s="1"/>
  <c r="AJ157" i="190"/>
  <c r="AJ158" i="190" l="1"/>
  <c r="W158" i="190"/>
  <c r="AI158" i="190" s="1"/>
  <c r="W159" i="190" l="1"/>
  <c r="AI159" i="190" s="1"/>
  <c r="AJ159" i="190"/>
  <c r="AJ160" i="190" l="1"/>
  <c r="W160" i="190"/>
  <c r="AI160" i="190" s="1"/>
  <c r="AJ161" i="190" l="1"/>
  <c r="W161" i="190"/>
  <c r="AI161" i="190" s="1"/>
  <c r="AJ162" i="190" l="1"/>
  <c r="W162" i="190"/>
  <c r="AI162" i="190" s="1"/>
  <c r="W163" i="190" l="1"/>
  <c r="AI163" i="190" s="1"/>
  <c r="AJ163" i="190"/>
  <c r="W165" i="190" l="1"/>
  <c r="AJ165" i="190"/>
  <c r="W166" i="190" l="1"/>
  <c r="AI166" i="190" s="1"/>
  <c r="AJ166" i="190"/>
  <c r="AG165" i="190"/>
  <c r="W167" i="190" l="1"/>
  <c r="AI167" i="190" s="1"/>
  <c r="AJ167" i="190"/>
  <c r="W168" i="190" l="1"/>
  <c r="AI168" i="190" s="1"/>
  <c r="AJ168" i="190"/>
  <c r="AJ169" i="190" l="1"/>
  <c r="W169" i="190"/>
  <c r="AI169" i="190" s="1"/>
  <c r="Z170" i="190" l="1"/>
  <c r="AB170" i="190"/>
  <c r="AJ170" i="190"/>
  <c r="W170" i="190"/>
  <c r="AI170" i="190" s="1"/>
  <c r="AJ8" i="190"/>
  <c r="Z168" i="190"/>
  <c r="AB161" i="190"/>
  <c r="AB168" i="190"/>
  <c r="Z163" i="190"/>
  <c r="Z161" i="190"/>
  <c r="AB163" i="190"/>
  <c r="AB166" i="190"/>
  <c r="Z166" i="190"/>
  <c r="AJ171" i="190" l="1"/>
  <c r="Z171" i="190"/>
  <c r="W171" i="190"/>
  <c r="AI171" i="190" s="1"/>
  <c r="AB171" i="190"/>
  <c r="AB12" i="190"/>
  <c r="AB10" i="190"/>
  <c r="Z9" i="190"/>
  <c r="AB9" i="190"/>
  <c r="AB151" i="190"/>
  <c r="Z10" i="190"/>
  <c r="AH10" i="149" s="1"/>
  <c r="AB11" i="190"/>
  <c r="Z99" i="190"/>
  <c r="AB164" i="190"/>
  <c r="AJ99" i="190"/>
  <c r="Z86" i="190"/>
  <c r="AJ86" i="190"/>
  <c r="Z13" i="190"/>
  <c r="Z151" i="190"/>
  <c r="Z8" i="190"/>
  <c r="AB23" i="190"/>
  <c r="Z12" i="190"/>
  <c r="AB138" i="190"/>
  <c r="AJ112" i="190"/>
  <c r="AB112" i="190"/>
  <c r="AB86" i="190"/>
  <c r="Z138" i="190"/>
  <c r="AJ164" i="190"/>
  <c r="AJ151" i="190"/>
  <c r="AB125" i="190"/>
  <c r="AB13" i="190"/>
  <c r="AJ125" i="190"/>
  <c r="Z112" i="190"/>
  <c r="AJ138" i="190"/>
  <c r="Z23" i="190"/>
  <c r="AH28" i="149" s="1"/>
  <c r="Z11" i="190"/>
  <c r="Z15" i="190"/>
  <c r="AB99" i="190"/>
  <c r="Z164" i="190"/>
  <c r="Z16" i="190"/>
  <c r="AB14" i="190"/>
  <c r="Z125" i="190"/>
  <c r="Z18" i="190"/>
  <c r="AB8" i="190"/>
  <c r="AB16" i="190"/>
  <c r="Z14" i="190"/>
  <c r="Z17" i="190"/>
  <c r="AB15" i="190"/>
  <c r="AB17" i="190"/>
  <c r="AB18" i="190"/>
  <c r="Z19" i="190"/>
  <c r="Z22" i="190"/>
  <c r="AB20" i="190"/>
  <c r="AB19" i="190"/>
  <c r="Z20" i="190"/>
  <c r="Z21" i="190"/>
  <c r="AB21" i="190"/>
  <c r="AB22" i="190"/>
  <c r="Z25" i="190"/>
  <c r="Z24" i="190"/>
  <c r="AB24" i="190"/>
  <c r="AB25" i="190"/>
  <c r="Z26" i="190"/>
  <c r="Z27" i="190"/>
  <c r="AB26" i="190"/>
  <c r="AB27" i="190"/>
  <c r="Z28" i="190"/>
  <c r="AB29" i="190"/>
  <c r="Z29" i="190"/>
  <c r="AB28" i="190"/>
  <c r="Z30" i="190"/>
  <c r="AB30" i="190"/>
  <c r="AB31" i="190"/>
  <c r="Z31" i="190"/>
  <c r="Z32" i="190"/>
  <c r="AB32" i="190"/>
  <c r="AB33" i="190"/>
  <c r="Z34" i="190"/>
  <c r="Z33" i="190"/>
  <c r="Z35" i="190"/>
  <c r="AB34" i="190"/>
  <c r="AB35" i="190"/>
  <c r="AB36" i="190"/>
  <c r="AB37" i="190"/>
  <c r="Z36" i="190"/>
  <c r="AB38" i="190"/>
  <c r="AB39" i="190"/>
  <c r="Z37" i="190"/>
  <c r="Z38" i="190"/>
  <c r="Z39" i="190"/>
  <c r="AB40" i="190"/>
  <c r="Z40" i="190"/>
  <c r="Z41" i="190"/>
  <c r="AB41" i="190"/>
  <c r="AB42" i="190"/>
  <c r="Z42" i="190"/>
  <c r="AB43" i="190"/>
  <c r="AB44" i="190"/>
  <c r="Z43" i="190"/>
  <c r="Z45" i="190"/>
  <c r="AB45" i="190"/>
  <c r="Z44" i="190"/>
  <c r="Z46" i="190"/>
  <c r="Z47" i="190"/>
  <c r="AB46" i="190"/>
  <c r="AB47" i="190"/>
  <c r="AB48" i="190"/>
  <c r="AB49" i="190"/>
  <c r="Z49" i="190"/>
  <c r="Z48" i="190"/>
  <c r="AB50" i="190"/>
  <c r="Z50" i="190"/>
  <c r="Z51" i="190"/>
  <c r="AB52" i="190"/>
  <c r="AB51" i="190"/>
  <c r="Z52" i="190"/>
  <c r="AB53" i="190"/>
  <c r="Z53" i="190"/>
  <c r="Z55" i="190"/>
  <c r="Z54" i="190"/>
  <c r="AB54" i="190"/>
  <c r="AB56" i="190"/>
  <c r="AB55" i="190"/>
  <c r="Z56" i="190"/>
  <c r="Z57" i="190"/>
  <c r="AB57" i="190"/>
  <c r="Z58" i="190"/>
  <c r="AB59" i="190"/>
  <c r="Z59" i="190"/>
  <c r="AB58" i="190"/>
  <c r="Z60" i="190"/>
  <c r="Z61" i="190"/>
  <c r="AB60" i="190"/>
  <c r="AB61" i="190"/>
  <c r="Z63" i="190"/>
  <c r="Z62" i="190"/>
  <c r="AB62" i="190"/>
  <c r="AB63" i="190"/>
  <c r="Z64" i="190"/>
  <c r="AB64" i="190"/>
  <c r="Z65" i="190"/>
  <c r="Z66" i="190"/>
  <c r="AB65" i="190"/>
  <c r="AB66" i="190"/>
  <c r="AB67" i="190"/>
  <c r="Z68" i="190"/>
  <c r="Z67" i="190"/>
  <c r="AB68" i="190"/>
  <c r="Z69" i="190"/>
  <c r="AB69" i="190"/>
  <c r="Z70" i="190"/>
  <c r="AB70" i="190"/>
  <c r="AB71" i="190"/>
  <c r="Z71" i="190"/>
  <c r="AB72" i="190"/>
  <c r="Z72" i="190"/>
  <c r="Z74" i="190"/>
  <c r="AB73" i="190"/>
  <c r="Z73" i="190"/>
  <c r="Z75" i="190"/>
  <c r="AB74" i="190"/>
  <c r="AB75" i="190"/>
  <c r="AB76" i="190"/>
  <c r="Z77" i="190"/>
  <c r="Z76" i="190"/>
  <c r="AB78" i="190"/>
  <c r="AB77" i="190"/>
  <c r="Z78" i="190"/>
  <c r="AB79" i="190"/>
  <c r="Z79" i="190"/>
  <c r="Z80" i="190"/>
  <c r="AB80" i="190"/>
  <c r="AB81" i="190"/>
  <c r="Z81" i="190"/>
  <c r="Z82" i="190"/>
  <c r="AB82" i="190"/>
  <c r="AB83" i="190"/>
  <c r="Z84" i="190"/>
  <c r="Z83" i="190"/>
  <c r="AB84" i="190"/>
  <c r="AB85" i="190"/>
  <c r="Z85" i="190"/>
  <c r="Z87" i="190"/>
  <c r="AB87" i="190"/>
  <c r="AI87" i="190" s="1"/>
  <c r="AB88" i="190"/>
  <c r="Z88" i="190"/>
  <c r="AB89" i="190"/>
  <c r="Z89" i="190"/>
  <c r="Z90" i="190"/>
  <c r="AB90" i="190"/>
  <c r="AB91" i="190"/>
  <c r="Z91" i="190"/>
  <c r="AB92" i="190"/>
  <c r="Z92" i="190"/>
  <c r="Z93" i="190"/>
  <c r="AB93" i="190"/>
  <c r="AB94" i="190"/>
  <c r="Z94" i="190"/>
  <c r="Z95" i="190"/>
  <c r="AB95" i="190"/>
  <c r="AB96" i="190"/>
  <c r="Z96" i="190"/>
  <c r="AB97" i="190"/>
  <c r="Z97" i="190"/>
  <c r="AB98" i="190"/>
  <c r="Z98" i="190"/>
  <c r="AB100" i="190"/>
  <c r="AI100" i="190" s="1"/>
  <c r="Z100" i="190"/>
  <c r="AB101" i="190"/>
  <c r="Z101" i="190"/>
  <c r="AB102" i="190"/>
  <c r="Z102" i="190"/>
  <c r="Z103" i="190"/>
  <c r="AB103" i="190"/>
  <c r="Z104" i="190"/>
  <c r="AB104" i="190"/>
  <c r="AB105" i="190"/>
  <c r="Z105" i="190"/>
  <c r="Z106" i="190"/>
  <c r="AB106" i="190"/>
  <c r="Z107" i="190"/>
  <c r="AB107" i="190"/>
  <c r="Z108" i="190"/>
  <c r="AB108" i="190"/>
  <c r="AB109" i="190"/>
  <c r="Z109" i="190"/>
  <c r="Z110" i="190"/>
  <c r="AB110" i="190"/>
  <c r="AB111" i="190"/>
  <c r="Z111" i="190"/>
  <c r="AB113" i="190"/>
  <c r="AI113" i="190" s="1"/>
  <c r="Z113" i="190"/>
  <c r="AB114" i="190"/>
  <c r="Z114" i="190"/>
  <c r="AB115" i="190"/>
  <c r="Z115" i="190"/>
  <c r="AB116" i="190"/>
  <c r="Z116" i="190"/>
  <c r="Z117" i="190"/>
  <c r="AB117" i="190"/>
  <c r="Z118" i="190"/>
  <c r="AB118" i="190"/>
  <c r="AB119" i="190"/>
  <c r="Z119" i="190"/>
  <c r="AB120" i="190"/>
  <c r="Z120" i="190"/>
  <c r="Z121" i="190"/>
  <c r="AB121" i="190"/>
  <c r="Z122" i="190"/>
  <c r="AB122" i="190"/>
  <c r="Z123" i="190"/>
  <c r="AB123" i="190"/>
  <c r="Z124" i="190"/>
  <c r="AB124" i="190"/>
  <c r="AB126" i="190"/>
  <c r="AI126" i="190" s="1"/>
  <c r="Z126" i="190"/>
  <c r="Z127" i="190"/>
  <c r="AB127" i="190"/>
  <c r="AB128" i="190"/>
  <c r="Z128" i="190"/>
  <c r="Z129" i="190"/>
  <c r="AB129" i="190"/>
  <c r="Z130" i="190"/>
  <c r="AB130" i="190"/>
  <c r="Z131" i="190"/>
  <c r="AB131" i="190"/>
  <c r="Z132" i="190"/>
  <c r="AB132" i="190"/>
  <c r="Z133" i="190"/>
  <c r="AB133" i="190"/>
  <c r="Z134" i="190"/>
  <c r="AB134" i="190"/>
  <c r="AB135" i="190"/>
  <c r="Z135" i="190"/>
  <c r="AB136" i="190"/>
  <c r="Z136" i="190"/>
  <c r="AB137" i="190"/>
  <c r="Z137" i="190"/>
  <c r="AB139" i="190"/>
  <c r="AI139" i="190" s="1"/>
  <c r="Z139" i="190"/>
  <c r="AB140" i="190"/>
  <c r="Z140" i="190"/>
  <c r="AB141" i="190"/>
  <c r="Z141" i="190"/>
  <c r="AH140" i="149" s="1"/>
  <c r="AB142" i="190"/>
  <c r="Z142" i="190"/>
  <c r="Z143" i="190"/>
  <c r="AB143" i="190"/>
  <c r="Z144" i="190"/>
  <c r="AB144" i="190"/>
  <c r="Z145" i="190"/>
  <c r="AB145" i="190"/>
  <c r="AB146" i="190"/>
  <c r="Z146" i="190"/>
  <c r="AB147" i="190"/>
  <c r="Z147" i="190"/>
  <c r="Z148" i="190"/>
  <c r="AB148" i="190"/>
  <c r="AB149" i="190"/>
  <c r="Z149" i="190"/>
  <c r="Z150" i="190"/>
  <c r="AB150" i="190"/>
  <c r="Z152" i="190"/>
  <c r="AB152" i="190"/>
  <c r="AI152" i="190" s="1"/>
  <c r="Z153" i="190"/>
  <c r="AB153" i="190"/>
  <c r="Z154" i="190"/>
  <c r="AB154" i="190"/>
  <c r="AB155" i="190"/>
  <c r="Z155" i="190"/>
  <c r="Z156" i="190"/>
  <c r="AB156" i="190"/>
  <c r="Z157" i="190"/>
  <c r="AB157" i="190"/>
  <c r="Z158" i="190"/>
  <c r="AB158" i="190"/>
  <c r="AB159" i="190"/>
  <c r="Z159" i="190"/>
  <c r="AB162" i="190"/>
  <c r="Z165" i="190"/>
  <c r="Z169" i="190"/>
  <c r="AB160" i="190"/>
  <c r="AB169" i="190"/>
  <c r="AB165" i="190"/>
  <c r="AI165" i="190" s="1"/>
  <c r="AB167" i="190"/>
  <c r="Z167" i="190"/>
  <c r="Z162" i="190"/>
  <c r="Z160" i="190"/>
  <c r="AH11" i="149"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<sst xmlns="http://schemas.openxmlformats.org/spreadsheetml/2006/main" count="5384" uniqueCount="619">
  <si>
    <t>No</t>
    <phoneticPr fontId="1"/>
  </si>
  <si>
    <t>作成日：令和〇〇年〇〇月〇〇日</t>
    <rPh sb="0" eb="3">
      <t>サクセイビ</t>
    </rPh>
    <rPh sb="4" eb="6">
      <t>レイワ</t>
    </rPh>
    <rPh sb="8" eb="9">
      <t>ネン</t>
    </rPh>
    <rPh sb="11" eb="12">
      <t>ガツ</t>
    </rPh>
    <rPh sb="14" eb="15">
      <t>ニチ</t>
    </rPh>
    <phoneticPr fontId="1"/>
  </si>
  <si>
    <t>脱炭素先行地域の対象となる地域の規模、範囲をあらわす下表を埋めてください。</t>
    <rPh sb="16" eb="18">
      <t>キボ</t>
    </rPh>
    <rPh sb="26" eb="28">
      <t>カヒョウ</t>
    </rPh>
    <rPh sb="29" eb="30">
      <t>ウ</t>
    </rPh>
    <phoneticPr fontId="1"/>
  </si>
  <si>
    <t>提案地方公共団体内
全域に対する
割合(%)</t>
    <rPh sb="0" eb="2">
      <t>テイアン</t>
    </rPh>
    <rPh sb="2" eb="4">
      <t>チホウ</t>
    </rPh>
    <rPh sb="4" eb="8">
      <t>コウキョウダンタイ</t>
    </rPh>
    <rPh sb="8" eb="9">
      <t>ナイ</t>
    </rPh>
    <rPh sb="10" eb="12">
      <t>ゼンイキ</t>
    </rPh>
    <rPh sb="13" eb="14">
      <t>タイ</t>
    </rPh>
    <rPh sb="17" eb="19">
      <t>ワリアイ</t>
    </rPh>
    <phoneticPr fontId="1"/>
  </si>
  <si>
    <t>提案地方公共団体内
全域の数値</t>
    <rPh sb="0" eb="9">
      <t>テイアンチホウコウキョウダンタイナイ</t>
    </rPh>
    <rPh sb="10" eb="12">
      <t>ゼンイキ</t>
    </rPh>
    <rPh sb="13" eb="15">
      <t>スウチ</t>
    </rPh>
    <phoneticPr fontId="1"/>
  </si>
  <si>
    <t>民
生
需
要
家
数</t>
    <rPh sb="0" eb="1">
      <t>タミ</t>
    </rPh>
    <rPh sb="2" eb="3">
      <t>ナマ</t>
    </rPh>
    <rPh sb="4" eb="5">
      <t>ジュ</t>
    </rPh>
    <rPh sb="6" eb="7">
      <t>カナメ</t>
    </rPh>
    <rPh sb="8" eb="9">
      <t>ケ</t>
    </rPh>
    <rPh sb="10" eb="11">
      <t>スウ</t>
    </rPh>
    <phoneticPr fontId="1"/>
  </si>
  <si>
    <t>取組の規模</t>
    <rPh sb="0" eb="2">
      <t>トリクミ</t>
    </rPh>
    <rPh sb="3" eb="5">
      <t>キボ</t>
    </rPh>
    <phoneticPr fontId="1"/>
  </si>
  <si>
    <t>【太陽光発電】</t>
    <rPh sb="1" eb="6">
      <t>タイヨウコウハツデン</t>
    </rPh>
    <phoneticPr fontId="1"/>
  </si>
  <si>
    <t>設置場所</t>
    <rPh sb="0" eb="4">
      <t>セッチバショ</t>
    </rPh>
    <phoneticPr fontId="1"/>
  </si>
  <si>
    <t>設置者</t>
    <rPh sb="0" eb="3">
      <t>セッチシャ</t>
    </rPh>
    <phoneticPr fontId="1"/>
  </si>
  <si>
    <t>オンサイト・
オフサイト</t>
    <phoneticPr fontId="1"/>
  </si>
  <si>
    <t>設置方法</t>
    <rPh sb="0" eb="4">
      <t>セッチホウホウ</t>
    </rPh>
    <phoneticPr fontId="1"/>
  </si>
  <si>
    <t>数量</t>
    <rPh sb="0" eb="2">
      <t>スウリョウ</t>
    </rPh>
    <phoneticPr fontId="1"/>
  </si>
  <si>
    <t>設備能力(kW)</t>
    <rPh sb="0" eb="4">
      <t>セツビノウリョク</t>
    </rPh>
    <phoneticPr fontId="1"/>
  </si>
  <si>
    <t>導入時期</t>
    <rPh sb="0" eb="4">
      <t>ドウニュウジキ</t>
    </rPh>
    <phoneticPr fontId="1"/>
  </si>
  <si>
    <t>戸建住宅</t>
  </si>
  <si>
    <t>家庭(その他)</t>
  </si>
  <si>
    <t>オフィスビル</t>
  </si>
  <si>
    <t>商業施設</t>
  </si>
  <si>
    <t>宿泊施設</t>
  </si>
  <si>
    <t>公共施設</t>
  </si>
  <si>
    <t>公共(その他)</t>
  </si>
  <si>
    <t>遊休地</t>
  </si>
  <si>
    <t>遊休農地</t>
  </si>
  <si>
    <t>ため池</t>
  </si>
  <si>
    <t>その他</t>
  </si>
  <si>
    <t>合計</t>
    <rPh sb="0" eb="2">
      <t>ゴウケイ</t>
    </rPh>
    <phoneticPr fontId="1"/>
  </si>
  <si>
    <t>発電方式</t>
    <rPh sb="0" eb="4">
      <t>ハツデンホウシキ</t>
    </rPh>
    <phoneticPr fontId="1"/>
  </si>
  <si>
    <t>調達方法(kWh/年)</t>
    <rPh sb="0" eb="4">
      <t>チョウタツホウホウ</t>
    </rPh>
    <rPh sb="9" eb="10">
      <t>ネン</t>
    </rPh>
    <phoneticPr fontId="1"/>
  </si>
  <si>
    <t>対象</t>
    <rPh sb="0" eb="2">
      <t>タイショウ</t>
    </rPh>
    <phoneticPr fontId="1"/>
  </si>
  <si>
    <t>施設名</t>
    <rPh sb="0" eb="3">
      <t>シセツメイ</t>
    </rPh>
    <phoneticPr fontId="1"/>
  </si>
  <si>
    <t>施設数</t>
    <rPh sb="0" eb="3">
      <t>シセツスウ</t>
    </rPh>
    <phoneticPr fontId="1"/>
  </si>
  <si>
    <t>自家消費等</t>
    <rPh sb="0" eb="4">
      <t>ジカショウヒ</t>
    </rPh>
    <rPh sb="4" eb="5">
      <t>ナド</t>
    </rPh>
    <phoneticPr fontId="1"/>
  </si>
  <si>
    <t>相対契約</t>
    <rPh sb="0" eb="4">
      <t>アイタイケイヤク</t>
    </rPh>
    <phoneticPr fontId="1"/>
  </si>
  <si>
    <t>電力メニュー</t>
    <rPh sb="0" eb="2">
      <t>デンリョク</t>
    </rPh>
    <phoneticPr fontId="1"/>
  </si>
  <si>
    <t>証書</t>
    <rPh sb="0" eb="2">
      <t>ショウショ</t>
    </rPh>
    <phoneticPr fontId="1"/>
  </si>
  <si>
    <t>(kWh/年)</t>
    <phoneticPr fontId="1"/>
  </si>
  <si>
    <t>民生・家庭(戸建住宅)</t>
  </si>
  <si>
    <t>民生・家庭(その他)</t>
  </si>
  <si>
    <t>民生・業務その他(オフィスビル)</t>
  </si>
  <si>
    <t>民生・業務その他(商業施設)</t>
  </si>
  <si>
    <t>民生・業務その他(宿泊施設)</t>
  </si>
  <si>
    <t>民生・業務その他(その他)</t>
  </si>
  <si>
    <t>公共(公共施設)</t>
  </si>
  <si>
    <t>区分</t>
    <rPh sb="0" eb="2">
      <t>クブン</t>
    </rPh>
    <phoneticPr fontId="1"/>
  </si>
  <si>
    <t>試算方法</t>
    <rPh sb="0" eb="4">
      <t>シサンホウホウ</t>
    </rPh>
    <phoneticPr fontId="1"/>
  </si>
  <si>
    <t>直近電力
需要量
(kWh/年)</t>
    <rPh sb="0" eb="2">
      <t>チョッキン</t>
    </rPh>
    <rPh sb="2" eb="4">
      <t>デンリョク</t>
    </rPh>
    <rPh sb="5" eb="7">
      <t>ジュヨウ</t>
    </rPh>
    <rPh sb="7" eb="8">
      <t>リョウ</t>
    </rPh>
    <rPh sb="14" eb="15">
      <t>ネン</t>
    </rPh>
    <phoneticPr fontId="1"/>
  </si>
  <si>
    <t>取組内容</t>
    <rPh sb="0" eb="1">
      <t>ト</t>
    </rPh>
    <rPh sb="1" eb="2">
      <t>ク</t>
    </rPh>
    <rPh sb="2" eb="4">
      <t>ナイヨウ</t>
    </rPh>
    <phoneticPr fontId="1"/>
  </si>
  <si>
    <t>各電力需要家における電力削減の取組状況を下表に記載してください。</t>
    <phoneticPr fontId="1"/>
  </si>
  <si>
    <t>なお、施設数が多く下表に収まらない場合など、必要に応じ、参考資料を添付してください。</t>
    <phoneticPr fontId="1"/>
  </si>
  <si>
    <t>省エネによる</t>
    <rPh sb="0" eb="1">
      <t>ショウ</t>
    </rPh>
    <phoneticPr fontId="1"/>
  </si>
  <si>
    <t>電力削減量</t>
    <rPh sb="0" eb="5">
      <t>デンリョクサクゲンリョウ</t>
    </rPh>
    <phoneticPr fontId="1"/>
  </si>
  <si>
    <t>(1) 実施する取組の具体的内容</t>
    <rPh sb="4" eb="6">
      <t>ジッシ</t>
    </rPh>
    <rPh sb="8" eb="10">
      <t>トリクミ</t>
    </rPh>
    <rPh sb="11" eb="16">
      <t>グタイテキナイヨウ</t>
    </rPh>
    <phoneticPr fontId="1"/>
  </si>
  <si>
    <t>電力需要量に係る実質ゼロを達成するための取組内容</t>
    <rPh sb="0" eb="5">
      <t>デンリョクジュヨウリョウ</t>
    </rPh>
    <rPh sb="6" eb="7">
      <t>カカ</t>
    </rPh>
    <rPh sb="8" eb="10">
      <t>ジッシツ</t>
    </rPh>
    <rPh sb="13" eb="15">
      <t>タッセイ</t>
    </rPh>
    <rPh sb="20" eb="24">
      <t>トリクミナイヨウ</t>
    </rPh>
    <phoneticPr fontId="1"/>
  </si>
  <si>
    <t>種類</t>
    <rPh sb="0" eb="2">
      <t>シュルイ</t>
    </rPh>
    <phoneticPr fontId="1"/>
  </si>
  <si>
    <t>電力需要量
(kWh/年)</t>
    <rPh sb="0" eb="5">
      <t>デンリョクジュヨウリョウ</t>
    </rPh>
    <rPh sb="11" eb="12">
      <t>ネン</t>
    </rPh>
    <phoneticPr fontId="1"/>
  </si>
  <si>
    <t>再エネ等の供給量(kWh/年)</t>
    <rPh sb="0" eb="1">
      <t>サイ</t>
    </rPh>
    <rPh sb="3" eb="4">
      <t>ナド</t>
    </rPh>
    <rPh sb="5" eb="7">
      <t>キョウキュウ</t>
    </rPh>
    <rPh sb="7" eb="8">
      <t>リョウ</t>
    </rPh>
    <rPh sb="13" eb="14">
      <t>ネン</t>
    </rPh>
    <phoneticPr fontId="1"/>
  </si>
  <si>
    <t>省エネによる電力削減量
(kWh/年)</t>
    <rPh sb="0" eb="1">
      <t>ショウ</t>
    </rPh>
    <rPh sb="6" eb="11">
      <t>デンリョクサクゲンリョウ</t>
    </rPh>
    <rPh sb="17" eb="18">
      <t>ネン</t>
    </rPh>
    <phoneticPr fontId="1"/>
  </si>
  <si>
    <t>①</t>
    <phoneticPr fontId="1"/>
  </si>
  <si>
    <t>民生・家庭</t>
    <rPh sb="0" eb="2">
      <t>ミンセイ</t>
    </rPh>
    <rPh sb="3" eb="5">
      <t>カテイ</t>
    </rPh>
    <phoneticPr fontId="1"/>
  </si>
  <si>
    <t>②</t>
    <phoneticPr fontId="1"/>
  </si>
  <si>
    <t>民生・業務その他</t>
    <rPh sb="0" eb="2">
      <t>ミンセイ</t>
    </rPh>
    <rPh sb="3" eb="5">
      <t>ギョウム</t>
    </rPh>
    <rPh sb="7" eb="8">
      <t>タ</t>
    </rPh>
    <phoneticPr fontId="1"/>
  </si>
  <si>
    <t>③</t>
    <phoneticPr fontId="1"/>
  </si>
  <si>
    <t>公共</t>
    <rPh sb="0" eb="2">
      <t>コウキョウ</t>
    </rPh>
    <phoneticPr fontId="1"/>
  </si>
  <si>
    <t>【「実質ゼロ」の計算結果】</t>
    <rPh sb="2" eb="4">
      <t>ジッシツ</t>
    </rPh>
    <rPh sb="8" eb="12">
      <t>ケイサンケッカ</t>
    </rPh>
    <phoneticPr fontId="1"/>
  </si>
  <si>
    <t>＝</t>
    <phoneticPr fontId="1"/>
  </si>
  <si>
    <t>＋</t>
    <phoneticPr fontId="1"/>
  </si>
  <si>
    <t>÷</t>
    <phoneticPr fontId="1"/>
  </si>
  <si>
    <t>×100</t>
    <phoneticPr fontId="1"/>
  </si>
  <si>
    <t xml:space="preserve">(※２) </t>
    <phoneticPr fontId="1"/>
  </si>
  <si>
    <t>事業内容</t>
    <rPh sb="0" eb="2">
      <t>ジギョウ</t>
    </rPh>
    <rPh sb="2" eb="4">
      <t>ナイヨウ</t>
    </rPh>
    <phoneticPr fontId="1"/>
  </si>
  <si>
    <t>温室効果ガス
排出削減量
(t-CO2/年)</t>
    <rPh sb="0" eb="2">
      <t>オンシツ</t>
    </rPh>
    <rPh sb="2" eb="4">
      <t>コウカ</t>
    </rPh>
    <rPh sb="7" eb="9">
      <t>ハイシュツ</t>
    </rPh>
    <rPh sb="9" eb="12">
      <t>サクゲンリョウ</t>
    </rPh>
    <rPh sb="20" eb="21">
      <t>ネン</t>
    </rPh>
    <phoneticPr fontId="1"/>
  </si>
  <si>
    <t>(小計)
温室効果ガス
排出削減量
(t-CO2/年)</t>
    <rPh sb="1" eb="3">
      <t>ショウケイ</t>
    </rPh>
    <rPh sb="5" eb="7">
      <t>オンシツ</t>
    </rPh>
    <rPh sb="7" eb="9">
      <t>コウカ</t>
    </rPh>
    <rPh sb="12" eb="14">
      <t>ハイシュツ</t>
    </rPh>
    <rPh sb="14" eb="16">
      <t>サクゲン</t>
    </rPh>
    <rPh sb="16" eb="17">
      <t>リョウ</t>
    </rPh>
    <phoneticPr fontId="1"/>
  </si>
  <si>
    <t>④非エネルギー起源（廃棄物・下水処理）</t>
  </si>
  <si>
    <t>⑤CO2 貯留（森林吸収源等）</t>
  </si>
  <si>
    <t>年度</t>
    <rPh sb="0" eb="2">
      <t>ネンド</t>
    </rPh>
    <phoneticPr fontId="1"/>
  </si>
  <si>
    <t>取組No</t>
    <rPh sb="0" eb="2">
      <t>トリクミ</t>
    </rPh>
    <phoneticPr fontId="1"/>
  </si>
  <si>
    <t>必要額
（千円）</t>
    <rPh sb="0" eb="3">
      <t>ヒツヨウガク</t>
    </rPh>
    <rPh sb="5" eb="7">
      <t>センエン</t>
    </rPh>
    <phoneticPr fontId="1"/>
  </si>
  <si>
    <t>再エネ等の電力供給量のうち脱炭素先行地域がある地方公共団体で発電して消費する再エネ電力量の割合（※１）</t>
    <rPh sb="0" eb="1">
      <t>サイ</t>
    </rPh>
    <rPh sb="3" eb="4">
      <t>ナド</t>
    </rPh>
    <rPh sb="5" eb="7">
      <t>デンリョク</t>
    </rPh>
    <rPh sb="7" eb="9">
      <t>キョウキュウ</t>
    </rPh>
    <rPh sb="9" eb="10">
      <t>リョウ</t>
    </rPh>
    <rPh sb="13" eb="14">
      <t>ダツ</t>
    </rPh>
    <rPh sb="14" eb="16">
      <t>タンソ</t>
    </rPh>
    <rPh sb="16" eb="18">
      <t>センコウ</t>
    </rPh>
    <rPh sb="18" eb="20">
      <t>チイキ</t>
    </rPh>
    <rPh sb="23" eb="25">
      <t>チホウ</t>
    </rPh>
    <rPh sb="25" eb="27">
      <t>コウキョウ</t>
    </rPh>
    <rPh sb="27" eb="29">
      <t>ダンタイ</t>
    </rPh>
    <rPh sb="30" eb="32">
      <t>ハツデン</t>
    </rPh>
    <rPh sb="34" eb="36">
      <t>ショウヒ</t>
    </rPh>
    <rPh sb="38" eb="39">
      <t>サイ</t>
    </rPh>
    <rPh sb="41" eb="43">
      <t>デンリョク</t>
    </rPh>
    <rPh sb="43" eb="44">
      <t>リョウ</t>
    </rPh>
    <rPh sb="45" eb="47">
      <t>ワリアイ</t>
    </rPh>
    <phoneticPr fontId="1"/>
  </si>
  <si>
    <t>脱炭素先行地域がある地方公共団体内に設置された再エネ発電設備で発電した再エネ電力であって、自家消費、相対契約、トラッキング付き証書・FIT特定卸等により再エネ電源が特定されているもののうち、先行地域内の電力需要家が消費するもの</t>
    <phoneticPr fontId="1"/>
  </si>
  <si>
    <t>再エネ等の電力供給量（先行地域の需要家に供給されるものに限る。）のうち、脱炭素先行地域がある地方公共団体内に設置された再エネ発電設備で発電される再エネ電力量の割合が算出されます。</t>
    <rPh sb="82" eb="84">
      <t>サンシュツ</t>
    </rPh>
    <phoneticPr fontId="1"/>
  </si>
  <si>
    <t>発電量
(kWh/年)</t>
    <rPh sb="0" eb="2">
      <t>ハツデン</t>
    </rPh>
    <rPh sb="2" eb="3">
      <t>リョウ</t>
    </rPh>
    <rPh sb="9" eb="10">
      <t>ネン</t>
    </rPh>
    <phoneticPr fontId="1"/>
  </si>
  <si>
    <t>(小計)
設備能力
(kW)</t>
    <rPh sb="1" eb="3">
      <t>ショウケイ</t>
    </rPh>
    <rPh sb="5" eb="9">
      <t>セツビノウリョク</t>
    </rPh>
    <phoneticPr fontId="1"/>
  </si>
  <si>
    <t>(小計)
発電量
(kWh/年)</t>
    <rPh sb="1" eb="3">
      <t>ショウケイ</t>
    </rPh>
    <rPh sb="5" eb="7">
      <t>ハツデン</t>
    </rPh>
    <rPh sb="7" eb="8">
      <t>リョウ</t>
    </rPh>
    <rPh sb="14" eb="15">
      <t>ネン</t>
    </rPh>
    <phoneticPr fontId="1"/>
  </si>
  <si>
    <t>(小計)
直近電力需要量
(kWh/年)</t>
    <rPh sb="1" eb="3">
      <t>ショウケイ</t>
    </rPh>
    <rPh sb="5" eb="7">
      <t>チョッキン</t>
    </rPh>
    <rPh sb="7" eb="9">
      <t>デンリョク</t>
    </rPh>
    <rPh sb="9" eb="11">
      <t>ジュヨウ</t>
    </rPh>
    <rPh sb="11" eb="12">
      <t>リョウ</t>
    </rPh>
    <phoneticPr fontId="1"/>
  </si>
  <si>
    <t>所管府省庁</t>
    <rPh sb="0" eb="2">
      <t>ショカン</t>
    </rPh>
    <rPh sb="2" eb="5">
      <t>フショウチョウ</t>
    </rPh>
    <phoneticPr fontId="1"/>
  </si>
  <si>
    <t>再エネメニュー</t>
    <rPh sb="0" eb="1">
      <t>サイ</t>
    </rPh>
    <phoneticPr fontId="1"/>
  </si>
  <si>
    <t>(※１) 上限100%</t>
    <phoneticPr fontId="1"/>
  </si>
  <si>
    <t>状況</t>
    <rPh sb="0" eb="2">
      <t>ジョウキョウ</t>
    </rPh>
    <phoneticPr fontId="1"/>
  </si>
  <si>
    <t>その手法</t>
    <rPh sb="2" eb="4">
      <t>シュホウ</t>
    </rPh>
    <phoneticPr fontId="1"/>
  </si>
  <si>
    <t>－</t>
  </si>
  <si>
    <t>風力発電</t>
    <rPh sb="0" eb="2">
      <t>フウリョク</t>
    </rPh>
    <rPh sb="2" eb="4">
      <t>ハツデン</t>
    </rPh>
    <phoneticPr fontId="1"/>
  </si>
  <si>
    <t>【廃棄物発電】</t>
    <rPh sb="1" eb="4">
      <t>ハイキブツ</t>
    </rPh>
    <rPh sb="4" eb="6">
      <t>ハツデン</t>
    </rPh>
    <phoneticPr fontId="1"/>
  </si>
  <si>
    <t>共同提案者(民間事業者、団体等)</t>
    <rPh sb="0" eb="2">
      <t>キョウドウ</t>
    </rPh>
    <rPh sb="2" eb="5">
      <t>テイアンシャ</t>
    </rPh>
    <rPh sb="6" eb="8">
      <t>ミンカン</t>
    </rPh>
    <rPh sb="8" eb="11">
      <t>ジギョウシャ</t>
    </rPh>
    <rPh sb="12" eb="14">
      <t>ダンタイ</t>
    </rPh>
    <rPh sb="14" eb="15">
      <t>トウ</t>
    </rPh>
    <phoneticPr fontId="1"/>
  </si>
  <si>
    <t>除外理由</t>
    <rPh sb="0" eb="4">
      <t>ジョガイリユウ</t>
    </rPh>
    <phoneticPr fontId="1"/>
  </si>
  <si>
    <t>除外量(kW)</t>
    <rPh sb="0" eb="3">
      <t>ジョガイリョウ</t>
    </rPh>
    <phoneticPr fontId="1"/>
  </si>
  <si>
    <t>再エネ種別</t>
    <rPh sb="0" eb="1">
      <t>サイ</t>
    </rPh>
    <rPh sb="3" eb="5">
      <t>シュベツ</t>
    </rPh>
    <phoneticPr fontId="1"/>
  </si>
  <si>
    <t>電源</t>
    <rPh sb="0" eb="2">
      <t>デンゲン</t>
    </rPh>
    <phoneticPr fontId="1"/>
  </si>
  <si>
    <t>供給方法（供給主体）等</t>
    <rPh sb="0" eb="2">
      <t>キョウキュウ</t>
    </rPh>
    <rPh sb="2" eb="4">
      <t>ホウホウ</t>
    </rPh>
    <rPh sb="5" eb="7">
      <t>キョウキュウ</t>
    </rPh>
    <rPh sb="7" eb="9">
      <t>シュタイ</t>
    </rPh>
    <rPh sb="10" eb="11">
      <t>ナド</t>
    </rPh>
    <phoneticPr fontId="1"/>
  </si>
  <si>
    <t>調査状況</t>
    <rPh sb="0" eb="4">
      <t>チョウサジョウキョウ</t>
    </rPh>
    <phoneticPr fontId="1"/>
  </si>
  <si>
    <t>導入コスト</t>
    <rPh sb="0" eb="2">
      <t>ドウニュウ</t>
    </rPh>
    <phoneticPr fontId="1"/>
  </si>
  <si>
    <t>電源の詳細仕様</t>
    <rPh sb="0" eb="2">
      <t>デンゲン</t>
    </rPh>
    <rPh sb="3" eb="5">
      <t>ショウサイ</t>
    </rPh>
    <rPh sb="5" eb="7">
      <t>シヨウ</t>
    </rPh>
    <phoneticPr fontId="1"/>
  </si>
  <si>
    <t>発電方式</t>
    <rPh sb="0" eb="2">
      <t>ハツデン</t>
    </rPh>
    <rPh sb="2" eb="4">
      <t>ホウシキ</t>
    </rPh>
    <phoneticPr fontId="1"/>
  </si>
  <si>
    <t>廃棄物発電</t>
    <rPh sb="0" eb="5">
      <t>ハイキブツハツデン</t>
    </rPh>
    <phoneticPr fontId="1"/>
  </si>
  <si>
    <t>設備全体の能力(kW)</t>
    <rPh sb="0" eb="4">
      <t>セツビゼンタイ</t>
    </rPh>
    <rPh sb="5" eb="7">
      <t>ノウリョク</t>
    </rPh>
    <phoneticPr fontId="1"/>
  </si>
  <si>
    <t>設備全体の
発電量(kWh/年)</t>
    <rPh sb="0" eb="4">
      <t>セツビゼンタイ</t>
    </rPh>
    <rPh sb="6" eb="9">
      <t>ハツデンリョウ</t>
    </rPh>
    <rPh sb="14" eb="15">
      <t>ネン</t>
    </rPh>
    <phoneticPr fontId="1"/>
  </si>
  <si>
    <t>バイオマス
比率</t>
    <rPh sb="6" eb="8">
      <t>ヒリツ</t>
    </rPh>
    <phoneticPr fontId="1"/>
  </si>
  <si>
    <t>設備のバイオマス発電量
(kWh/年)</t>
    <rPh sb="0" eb="2">
      <t>セツビ</t>
    </rPh>
    <rPh sb="8" eb="11">
      <t>ハツデンリョウ</t>
    </rPh>
    <rPh sb="17" eb="18">
      <t>ネン</t>
    </rPh>
    <phoneticPr fontId="1"/>
  </si>
  <si>
    <t>系統接続検討状況</t>
    <rPh sb="0" eb="2">
      <t>ケイトウ</t>
    </rPh>
    <rPh sb="2" eb="4">
      <t>セツゾク</t>
    </rPh>
    <rPh sb="4" eb="6">
      <t>ケントウ</t>
    </rPh>
    <rPh sb="6" eb="8">
      <t>ジョウキョウ</t>
    </rPh>
    <phoneticPr fontId="1"/>
  </si>
  <si>
    <t>資料調査</t>
    <rPh sb="0" eb="2">
      <t>シリョウ</t>
    </rPh>
    <rPh sb="2" eb="4">
      <t>チョウサ</t>
    </rPh>
    <phoneticPr fontId="1"/>
  </si>
  <si>
    <t>実地調査</t>
    <rPh sb="0" eb="2">
      <t>ジッチ</t>
    </rPh>
    <rPh sb="2" eb="4">
      <t>チョウサ</t>
    </rPh>
    <phoneticPr fontId="1"/>
  </si>
  <si>
    <t>民生電力以外</t>
    <rPh sb="0" eb="2">
      <t>ミンセイ</t>
    </rPh>
    <rPh sb="2" eb="4">
      <t>デンリョク</t>
    </rPh>
    <rPh sb="4" eb="6">
      <t>イガイ</t>
    </rPh>
    <phoneticPr fontId="1"/>
  </si>
  <si>
    <t>民生電力</t>
    <rPh sb="0" eb="2">
      <t>ミンセイ</t>
    </rPh>
    <rPh sb="2" eb="4">
      <t>デンリョク</t>
    </rPh>
    <phoneticPr fontId="1"/>
  </si>
  <si>
    <t>事業費（年度合計）（千円）</t>
    <rPh sb="0" eb="2">
      <t>ジギョウ</t>
    </rPh>
    <rPh sb="2" eb="3">
      <t>ヒ</t>
    </rPh>
    <rPh sb="4" eb="6">
      <t>ネンド</t>
    </rPh>
    <rPh sb="6" eb="8">
      <t>ゴウケイ</t>
    </rPh>
    <rPh sb="10" eb="12">
      <t>センエン</t>
    </rPh>
    <phoneticPr fontId="1"/>
  </si>
  <si>
    <t>部門別事業費
（千円）</t>
    <rPh sb="0" eb="3">
      <t>ブモンベツ</t>
    </rPh>
    <rPh sb="3" eb="6">
      <t>ジギョウヒ</t>
    </rPh>
    <rPh sb="8" eb="10">
      <t>センエン</t>
    </rPh>
    <phoneticPr fontId="1"/>
  </si>
  <si>
    <t>活用を予定している国の事業
（交付金、補助金等）の名称</t>
    <rPh sb="0" eb="2">
      <t>カツヨウ</t>
    </rPh>
    <rPh sb="3" eb="5">
      <t>ヨテイ</t>
    </rPh>
    <rPh sb="9" eb="10">
      <t>クニ</t>
    </rPh>
    <rPh sb="11" eb="13">
      <t>ジギョウ</t>
    </rPh>
    <rPh sb="15" eb="17">
      <t>コウフ</t>
    </rPh>
    <rPh sb="17" eb="18">
      <t>キン</t>
    </rPh>
    <rPh sb="19" eb="22">
      <t>ホジョキン</t>
    </rPh>
    <rPh sb="22" eb="23">
      <t>トウ</t>
    </rPh>
    <rPh sb="25" eb="27">
      <t>メイショウ</t>
    </rPh>
    <phoneticPr fontId="1"/>
  </si>
  <si>
    <t>住民</t>
    <rPh sb="0" eb="2">
      <t>ジュウミン</t>
    </rPh>
    <phoneticPr fontId="1"/>
  </si>
  <si>
    <t>※可能な限り上記表におさまるように入力してください。</t>
    <rPh sb="1" eb="3">
      <t>カノウ</t>
    </rPh>
    <rPh sb="4" eb="5">
      <t>カギ</t>
    </rPh>
    <rPh sb="6" eb="8">
      <t>ジョウキ</t>
    </rPh>
    <rPh sb="8" eb="9">
      <t>ヒョウ</t>
    </rPh>
    <rPh sb="17" eb="19">
      <t>ニュウリョク</t>
    </rPh>
    <phoneticPr fontId="1"/>
  </si>
  <si>
    <t>不要な(余った)行は削除したうえで、Wordの該当箇所に図で貼り付けてください。</t>
    <phoneticPr fontId="1"/>
  </si>
  <si>
    <t>民生電力</t>
    <rPh sb="0" eb="4">
      <t>ミンセイデンリョク</t>
    </rPh>
    <phoneticPr fontId="1"/>
  </si>
  <si>
    <t>年度合計</t>
    <rPh sb="0" eb="4">
      <t>ネンドゴウケイ</t>
    </rPh>
    <phoneticPr fontId="1"/>
  </si>
  <si>
    <t>部門別</t>
    <rPh sb="0" eb="3">
      <t>ブモンベツ</t>
    </rPh>
    <phoneticPr fontId="1"/>
  </si>
  <si>
    <t>民生電力以外</t>
    <rPh sb="0" eb="6">
      <t>ミンセイデンリョクイガイ</t>
    </rPh>
    <phoneticPr fontId="1"/>
  </si>
  <si>
    <t>その他企業等（ペレット製造事業者（○○○株式会社）、林業組合）</t>
    <rPh sb="2" eb="3">
      <t>タ</t>
    </rPh>
    <rPh sb="3" eb="5">
      <t>キギョウ</t>
    </rPh>
    <rPh sb="5" eb="6">
      <t>トウ</t>
    </rPh>
    <rPh sb="11" eb="13">
      <t>セイゾウ</t>
    </rPh>
    <rPh sb="13" eb="15">
      <t>ジギョウ</t>
    </rPh>
    <rPh sb="15" eb="16">
      <t>シャ</t>
    </rPh>
    <rPh sb="20" eb="24">
      <t>カブシキガイシャ</t>
    </rPh>
    <rPh sb="26" eb="28">
      <t>リンギョウ</t>
    </rPh>
    <rPh sb="28" eb="30">
      <t>クミアイ</t>
    </rPh>
    <phoneticPr fontId="1"/>
  </si>
  <si>
    <t>送配電事業者（○○○株式会社）</t>
    <rPh sb="0" eb="1">
      <t>ソウ</t>
    </rPh>
    <rPh sb="1" eb="3">
      <t>ハイデン</t>
    </rPh>
    <rPh sb="3" eb="5">
      <t>ジギョウ</t>
    </rPh>
    <rPh sb="5" eb="6">
      <t>シャ</t>
    </rPh>
    <rPh sb="10" eb="14">
      <t>カブシキガイシャ</t>
    </rPh>
    <phoneticPr fontId="1"/>
  </si>
  <si>
    <t>金融機関（○○○銀行）</t>
    <rPh sb="0" eb="2">
      <t>キンユウ</t>
    </rPh>
    <rPh sb="2" eb="4">
      <t>キカン</t>
    </rPh>
    <rPh sb="8" eb="10">
      <t>ギンコウ</t>
    </rPh>
    <phoneticPr fontId="1"/>
  </si>
  <si>
    <t>地域新電力（○○○株式会社）</t>
    <rPh sb="0" eb="2">
      <t>チイキ</t>
    </rPh>
    <rPh sb="2" eb="3">
      <t>シン</t>
    </rPh>
    <rPh sb="3" eb="5">
      <t>デンリョク</t>
    </rPh>
    <rPh sb="9" eb="13">
      <t>カブシキガイシャ</t>
    </rPh>
    <phoneticPr fontId="1"/>
  </si>
  <si>
    <t>再エネ発電事業者（○○○株式会社）</t>
    <rPh sb="0" eb="1">
      <t>サイ</t>
    </rPh>
    <rPh sb="3" eb="5">
      <t>ハツデン</t>
    </rPh>
    <rPh sb="5" eb="8">
      <t>ジギョウシャ</t>
    </rPh>
    <phoneticPr fontId="1"/>
  </si>
  <si>
    <t>ＰＰＡ事業者</t>
    <rPh sb="3" eb="6">
      <t>ジギョウシャ</t>
    </rPh>
    <phoneticPr fontId="1"/>
  </si>
  <si>
    <t>〇〇(合意形成対象者名に書き換え)</t>
    <rPh sb="3" eb="10">
      <t>ゴウイケイセイタイショウシャ</t>
    </rPh>
    <rPh sb="10" eb="11">
      <t>メイ</t>
    </rPh>
    <rPh sb="12" eb="13">
      <t>カ</t>
    </rPh>
    <rPh sb="14" eb="15">
      <t>カ</t>
    </rPh>
    <phoneticPr fontId="1"/>
  </si>
  <si>
    <t>(選択してください)</t>
    <rPh sb="1" eb="3">
      <t>センタク</t>
    </rPh>
    <phoneticPr fontId="1"/>
  </si>
  <si>
    <t>対象施設数</t>
    <rPh sb="0" eb="2">
      <t>タイショウ</t>
    </rPh>
    <rPh sb="2" eb="4">
      <t>シセツ</t>
    </rPh>
    <rPh sb="4" eb="5">
      <t>スウ</t>
    </rPh>
    <phoneticPr fontId="1"/>
  </si>
  <si>
    <t>↑Wordへの貼付時はここまでをコピーしてください</t>
    <phoneticPr fontId="1"/>
  </si>
  <si>
    <t>【その他発電設備（廃棄物発電は本表下の表に記載ください）】</t>
    <rPh sb="3" eb="4">
      <t>タ</t>
    </rPh>
    <rPh sb="4" eb="8">
      <t>ハツデンセツビ</t>
    </rPh>
    <rPh sb="9" eb="12">
      <t>ハイキブツ</t>
    </rPh>
    <rPh sb="12" eb="14">
      <t>ハツデン</t>
    </rPh>
    <rPh sb="15" eb="17">
      <t>ホンピョウ</t>
    </rPh>
    <rPh sb="17" eb="18">
      <t>シタ</t>
    </rPh>
    <rPh sb="19" eb="20">
      <t>ヒョウ</t>
    </rPh>
    <rPh sb="21" eb="23">
      <t>キサイ</t>
    </rPh>
    <phoneticPr fontId="1"/>
  </si>
  <si>
    <t>地方公共団体
導入可能量①
（kW）</t>
    <rPh sb="0" eb="6">
      <t>チホウコウキョウダンタイ</t>
    </rPh>
    <rPh sb="7" eb="12">
      <t>ドウニュウカノウリョウ</t>
    </rPh>
    <phoneticPr fontId="1"/>
  </si>
  <si>
    <t>考慮すべき事項②
（経済合理性・支障の有無等）</t>
    <rPh sb="0" eb="2">
      <t>コウリョ</t>
    </rPh>
    <rPh sb="5" eb="7">
      <t>ジコウ</t>
    </rPh>
    <rPh sb="10" eb="12">
      <t>ケイザイ</t>
    </rPh>
    <rPh sb="12" eb="14">
      <t>ゴウリ</t>
    </rPh>
    <rPh sb="14" eb="15">
      <t>セイ</t>
    </rPh>
    <rPh sb="16" eb="18">
      <t>シショウ</t>
    </rPh>
    <rPh sb="19" eb="21">
      <t>ウム</t>
    </rPh>
    <rPh sb="21" eb="22">
      <t>ナド</t>
    </rPh>
    <phoneticPr fontId="1"/>
  </si>
  <si>
    <t>除外後の導入可能量
（①－②）
(kW)</t>
    <rPh sb="0" eb="3">
      <t>ジョガイゴ</t>
    </rPh>
    <rPh sb="4" eb="9">
      <t>ドウニュウカノウリョウ</t>
    </rPh>
    <phoneticPr fontId="1"/>
  </si>
  <si>
    <t>地熱発電</t>
    <rPh sb="0" eb="4">
      <t>チネツハツデン</t>
    </rPh>
    <phoneticPr fontId="1"/>
  </si>
  <si>
    <t>活用可能な既存の再エネ発電量（kWh/年）</t>
    <rPh sb="5" eb="7">
      <t>キゾン</t>
    </rPh>
    <rPh sb="8" eb="9">
      <t>サイ</t>
    </rPh>
    <rPh sb="11" eb="13">
      <t>ハツデン</t>
    </rPh>
    <rPh sb="13" eb="14">
      <t>リョウ</t>
    </rPh>
    <rPh sb="19" eb="20">
      <t>ネン</t>
    </rPh>
    <phoneticPr fontId="1"/>
  </si>
  <si>
    <t>上記のうち先行地域へ供給する電力量（kWh/年）</t>
    <rPh sb="0" eb="2">
      <t>ジョウキ</t>
    </rPh>
    <rPh sb="5" eb="9">
      <t>センコウチイキ</t>
    </rPh>
    <rPh sb="10" eb="12">
      <t>キョウキュウ</t>
    </rPh>
    <rPh sb="14" eb="17">
      <t>デンリョクリョウ</t>
    </rPh>
    <phoneticPr fontId="1"/>
  </si>
  <si>
    <t>発電量のうち先行地域へ供給する電力量(kWh/年)</t>
    <rPh sb="0" eb="3">
      <t>ハツデンリョウ</t>
    </rPh>
    <rPh sb="6" eb="10">
      <t>センコウチイキ</t>
    </rPh>
    <rPh sb="11" eb="13">
      <t>キョウキュウ</t>
    </rPh>
    <rPh sb="15" eb="17">
      <t>デンリョク</t>
    </rPh>
    <rPh sb="17" eb="18">
      <t>リョウ</t>
    </rPh>
    <phoneticPr fontId="1"/>
  </si>
  <si>
    <t>バイオマス発電量のうち先行地域へ供給する電力量(kWh/年)</t>
    <rPh sb="5" eb="8">
      <t>ハツデンリョウ</t>
    </rPh>
    <rPh sb="11" eb="15">
      <t>センコウチイキ</t>
    </rPh>
    <rPh sb="16" eb="18">
      <t>キョウキュウ</t>
    </rPh>
    <rPh sb="20" eb="22">
      <t>デンリョク</t>
    </rPh>
    <rPh sb="22" eb="23">
      <t>リョウ</t>
    </rPh>
    <phoneticPr fontId="1"/>
  </si>
  <si>
    <t>【合計値】</t>
    <rPh sb="1" eb="3">
      <t>ゴウケイ</t>
    </rPh>
    <rPh sb="3" eb="4">
      <t>アタイ</t>
    </rPh>
    <phoneticPr fontId="1"/>
  </si>
  <si>
    <t>先行地域のある地方公共団体内</t>
    <rPh sb="0" eb="2">
      <t>センコウ</t>
    </rPh>
    <rPh sb="2" eb="4">
      <t>チイキ</t>
    </rPh>
    <rPh sb="7" eb="9">
      <t>チホウ</t>
    </rPh>
    <rPh sb="9" eb="11">
      <t>コウキョウ</t>
    </rPh>
    <rPh sb="11" eb="13">
      <t>ダンタイ</t>
    </rPh>
    <rPh sb="13" eb="14">
      <t>ナイ</t>
    </rPh>
    <phoneticPr fontId="1"/>
  </si>
  <si>
    <t>当該地方公共団体の域外</t>
    <rPh sb="0" eb="2">
      <t>トウガイ</t>
    </rPh>
    <phoneticPr fontId="1"/>
  </si>
  <si>
    <t>【参考情報】</t>
    <rPh sb="1" eb="3">
      <t>サンコウ</t>
    </rPh>
    <rPh sb="3" eb="5">
      <t>ジョウホウ</t>
    </rPh>
    <phoneticPr fontId="1"/>
  </si>
  <si>
    <t>自家消費、相対契約、再エネ電力メニュー、証書の電力供給量の合計</t>
    <rPh sb="0" eb="4">
      <t>ジカショウヒ</t>
    </rPh>
    <rPh sb="5" eb="7">
      <t>アイタイ</t>
    </rPh>
    <rPh sb="7" eb="9">
      <t>ケイヤク</t>
    </rPh>
    <rPh sb="10" eb="11">
      <t>サイ</t>
    </rPh>
    <rPh sb="13" eb="15">
      <t>デンリョク</t>
    </rPh>
    <rPh sb="20" eb="22">
      <t>ショウショ</t>
    </rPh>
    <rPh sb="23" eb="25">
      <t>デンリョク</t>
    </rPh>
    <rPh sb="25" eb="28">
      <t>キョウキュウリョウ</t>
    </rPh>
    <rPh sb="29" eb="31">
      <t>ゴウケイ</t>
    </rPh>
    <phoneticPr fontId="1"/>
  </si>
  <si>
    <t>【省エネによる電力削減に関する状況】</t>
    <rPh sb="1" eb="2">
      <t>ショウ</t>
    </rPh>
    <rPh sb="7" eb="9">
      <t>デンリョク</t>
    </rPh>
    <rPh sb="9" eb="11">
      <t>サクゲン</t>
    </rPh>
    <rPh sb="12" eb="13">
      <t>カン</t>
    </rPh>
    <rPh sb="15" eb="17">
      <t>ジョウキョウ</t>
    </rPh>
    <phoneticPr fontId="1"/>
  </si>
  <si>
    <t>【再エネ等の電力調達に関する状況】</t>
    <rPh sb="1" eb="2">
      <t>サイ</t>
    </rPh>
    <rPh sb="4" eb="5">
      <t>ナド</t>
    </rPh>
    <rPh sb="6" eb="8">
      <t>デンリョク</t>
    </rPh>
    <rPh sb="8" eb="10">
      <t>チョウタツ</t>
    </rPh>
    <rPh sb="11" eb="12">
      <t>カン</t>
    </rPh>
    <rPh sb="14" eb="16">
      <t>ジョウキョウ</t>
    </rPh>
    <phoneticPr fontId="1"/>
  </si>
  <si>
    <t>【民生部門の電力需要家の状況】</t>
    <phoneticPr fontId="1"/>
  </si>
  <si>
    <t>再エネ等の電力供給量のうち当該地方公共団体の域外から調達する量（kWh/年）</t>
    <rPh sb="0" eb="1">
      <t>サイ</t>
    </rPh>
    <rPh sb="3" eb="4">
      <t>ナド</t>
    </rPh>
    <rPh sb="5" eb="7">
      <t>デンリョク</t>
    </rPh>
    <rPh sb="7" eb="10">
      <t>キョウキュウリョウ</t>
    </rPh>
    <rPh sb="13" eb="15">
      <t>トウガイ</t>
    </rPh>
    <rPh sb="15" eb="21">
      <t>チホウコウキョウダンタイ</t>
    </rPh>
    <rPh sb="22" eb="24">
      <t>イキガイ</t>
    </rPh>
    <rPh sb="26" eb="28">
      <t>チョウタツ</t>
    </rPh>
    <rPh sb="30" eb="31">
      <t>リョウ</t>
    </rPh>
    <phoneticPr fontId="1"/>
  </si>
  <si>
    <t>割合（％）
（電力供給量に対する割合）</t>
    <rPh sb="0" eb="2">
      <t>ワリアイ</t>
    </rPh>
    <rPh sb="7" eb="9">
      <t>デンリョク</t>
    </rPh>
    <rPh sb="9" eb="11">
      <t>キョウキュウ</t>
    </rPh>
    <rPh sb="11" eb="12">
      <t>リョウ</t>
    </rPh>
    <rPh sb="13" eb="14">
      <t>タイ</t>
    </rPh>
    <rPh sb="16" eb="18">
      <t>ワリアイ</t>
    </rPh>
    <phoneticPr fontId="1"/>
  </si>
  <si>
    <t>先行地域のある地方公共団体内で調達する再エネ等電力証書
（kWh/年）</t>
    <rPh sb="19" eb="20">
      <t>サイ</t>
    </rPh>
    <rPh sb="22" eb="23">
      <t>ナド</t>
    </rPh>
    <rPh sb="23" eb="25">
      <t>デンリョク</t>
    </rPh>
    <rPh sb="24" eb="25">
      <t>ハツデン</t>
    </rPh>
    <rPh sb="25" eb="27">
      <t>ショウショ</t>
    </rPh>
    <phoneticPr fontId="1"/>
  </si>
  <si>
    <t>上記のうち証書以外の当該地方公共団体の域外から調達する再エネ電力量（kWh/年）</t>
    <rPh sb="0" eb="2">
      <t>ジョウキ</t>
    </rPh>
    <rPh sb="5" eb="7">
      <t>ショウショ</t>
    </rPh>
    <rPh sb="7" eb="9">
      <t>イガイ</t>
    </rPh>
    <rPh sb="27" eb="28">
      <t>サイ</t>
    </rPh>
    <rPh sb="30" eb="32">
      <t>デンリョク</t>
    </rPh>
    <phoneticPr fontId="1"/>
  </si>
  <si>
    <t>直近電力需要量の合計</t>
    <rPh sb="8" eb="10">
      <t>ゴウケイ</t>
    </rPh>
    <phoneticPr fontId="1"/>
  </si>
  <si>
    <t>省エネによる電力削減量の合計</t>
    <rPh sb="0" eb="1">
      <t>ショウ</t>
    </rPh>
    <rPh sb="6" eb="8">
      <t>デンリョク</t>
    </rPh>
    <rPh sb="8" eb="10">
      <t>サクゲン</t>
    </rPh>
    <rPh sb="10" eb="11">
      <t>リョウ</t>
    </rPh>
    <rPh sb="12" eb="14">
      <t>ゴウケイ</t>
    </rPh>
    <phoneticPr fontId="1"/>
  </si>
  <si>
    <t>（上記の合計）先行地域に供給される新規再エネ導入量及び既存の再エネ発電量合計（kWh/年）</t>
    <rPh sb="1" eb="3">
      <t>ジョウキ</t>
    </rPh>
    <rPh sb="4" eb="6">
      <t>ゴウケイ</t>
    </rPh>
    <rPh sb="7" eb="9">
      <t>センコウ</t>
    </rPh>
    <rPh sb="9" eb="11">
      <t>チイキ</t>
    </rPh>
    <rPh sb="12" eb="14">
      <t>キョウキュウ</t>
    </rPh>
    <rPh sb="17" eb="19">
      <t>シンキ</t>
    </rPh>
    <rPh sb="19" eb="20">
      <t>サイ</t>
    </rPh>
    <rPh sb="22" eb="24">
      <t>ドウニュウ</t>
    </rPh>
    <rPh sb="24" eb="25">
      <t>リョウ</t>
    </rPh>
    <rPh sb="25" eb="26">
      <t>オヨ</t>
    </rPh>
    <rPh sb="36" eb="38">
      <t>ゴウケイ</t>
    </rPh>
    <phoneticPr fontId="1"/>
  </si>
  <si>
    <t>先行地域の上記に占める
割合(%)</t>
    <phoneticPr fontId="1"/>
  </si>
  <si>
    <t>提案地方公共団体全体の民生電力需要量（kWh/年）</t>
    <rPh sb="0" eb="2">
      <t>テイアン</t>
    </rPh>
    <rPh sb="2" eb="4">
      <t>チホウ</t>
    </rPh>
    <rPh sb="4" eb="6">
      <t>コウキョウ</t>
    </rPh>
    <rPh sb="6" eb="8">
      <t>ダンタイ</t>
    </rPh>
    <rPh sb="8" eb="10">
      <t>ゼンタイ</t>
    </rPh>
    <rPh sb="11" eb="13">
      <t>ミンセイ</t>
    </rPh>
    <rPh sb="13" eb="15">
      <t>デンリョク</t>
    </rPh>
    <rPh sb="15" eb="17">
      <t>ジュヨウ</t>
    </rPh>
    <rPh sb="17" eb="18">
      <t>リョウ</t>
    </rPh>
    <phoneticPr fontId="1"/>
  </si>
  <si>
    <t>現在の
合意形成
進捗度</t>
    <rPh sb="0" eb="2">
      <t>ゲンザイ</t>
    </rPh>
    <rPh sb="9" eb="12">
      <t>シンチョクド</t>
    </rPh>
    <phoneticPr fontId="1"/>
  </si>
  <si>
    <t>⑥その他</t>
    <rPh sb="3" eb="4">
      <t>タ</t>
    </rPh>
    <phoneticPr fontId="1"/>
  </si>
  <si>
    <t>現在の
合意形成
進捗度</t>
    <rPh sb="0" eb="2">
      <t>ゲンザイ</t>
    </rPh>
    <rPh sb="4" eb="6">
      <t>ゴウイ</t>
    </rPh>
    <rPh sb="6" eb="8">
      <t>ケイセイ</t>
    </rPh>
    <rPh sb="9" eb="11">
      <t>シンチョク</t>
    </rPh>
    <rPh sb="11" eb="12">
      <t>ド</t>
    </rPh>
    <phoneticPr fontId="1"/>
  </si>
  <si>
    <t>太陽光発電</t>
    <rPh sb="0" eb="3">
      <t>タイヨウコウ</t>
    </rPh>
    <rPh sb="3" eb="5">
      <t>ハツデン</t>
    </rPh>
    <phoneticPr fontId="1"/>
  </si>
  <si>
    <t>地熱発電</t>
    <rPh sb="0" eb="2">
      <t>チネツ</t>
    </rPh>
    <rPh sb="2" eb="4">
      <t>ハツデン</t>
    </rPh>
    <phoneticPr fontId="1"/>
  </si>
  <si>
    <t>バイオマス発電</t>
    <rPh sb="5" eb="7">
      <t>ハツデン</t>
    </rPh>
    <phoneticPr fontId="1"/>
  </si>
  <si>
    <t>廃棄物発電（バイオマス発電量）</t>
    <rPh sb="0" eb="3">
      <t>ハイキブツ</t>
    </rPh>
    <rPh sb="3" eb="5">
      <t>ハツデン</t>
    </rPh>
    <rPh sb="11" eb="14">
      <t>ハツデンリョウ</t>
    </rPh>
    <phoneticPr fontId="1"/>
  </si>
  <si>
    <t>【電源別新規再エネ導入量合計（kWh/年）】</t>
    <rPh sb="1" eb="3">
      <t>デンゲン</t>
    </rPh>
    <rPh sb="3" eb="4">
      <t>ベツ</t>
    </rPh>
    <rPh sb="4" eb="6">
      <t>シンキ</t>
    </rPh>
    <rPh sb="6" eb="7">
      <t>サイ</t>
    </rPh>
    <rPh sb="9" eb="12">
      <t>ドウニュウリョウ</t>
    </rPh>
    <rPh sb="12" eb="14">
      <t>ゴウケイ</t>
    </rPh>
    <rPh sb="19" eb="20">
      <t>ネン</t>
    </rPh>
    <phoneticPr fontId="1"/>
  </si>
  <si>
    <t>住宅（戸）</t>
    <rPh sb="0" eb="2">
      <t>ジュウタク</t>
    </rPh>
    <rPh sb="3" eb="4">
      <t>コ</t>
    </rPh>
    <phoneticPr fontId="1"/>
  </si>
  <si>
    <t>公共施設（箇所）</t>
    <rPh sb="0" eb="4">
      <t>コウキョウシセツ</t>
    </rPh>
    <rPh sb="5" eb="7">
      <t>カショ</t>
    </rPh>
    <phoneticPr fontId="1"/>
  </si>
  <si>
    <t>民間施設（箇所）</t>
    <rPh sb="0" eb="4">
      <t>ミンカンシセツ</t>
    </rPh>
    <rPh sb="5" eb="7">
      <t>カショ</t>
    </rPh>
    <phoneticPr fontId="1"/>
  </si>
  <si>
    <t>その他（箇所）</t>
    <rPh sb="2" eb="3">
      <t>タ</t>
    </rPh>
    <rPh sb="4" eb="6">
      <t>カショ</t>
    </rPh>
    <phoneticPr fontId="1"/>
  </si>
  <si>
    <t>エリア面積(㎢)</t>
    <rPh sb="3" eb="5">
      <t>メンセキ</t>
    </rPh>
    <phoneticPr fontId="1"/>
  </si>
  <si>
    <t>民生部門の電力需要量
(kWh/年)</t>
    <rPh sb="0" eb="4">
      <t>ミンセイブモン</t>
    </rPh>
    <rPh sb="5" eb="10">
      <t>デンリョクジュヨウリョウ</t>
    </rPh>
    <rPh sb="16" eb="17">
      <t>ネン</t>
    </rPh>
    <phoneticPr fontId="1"/>
  </si>
  <si>
    <t>再エネなどの電力供給量
(kWh/年)</t>
    <rPh sb="0" eb="1">
      <t>サイ</t>
    </rPh>
    <rPh sb="6" eb="11">
      <t>デンリョクキョウキュウリョウ</t>
    </rPh>
    <phoneticPr fontId="1"/>
  </si>
  <si>
    <t>省エネによる電力削減量
(kWh/年)</t>
    <rPh sb="0" eb="1">
      <t>ショウ</t>
    </rPh>
    <rPh sb="6" eb="11">
      <t>デンリョクサクゲンリョウ</t>
    </rPh>
    <phoneticPr fontId="1"/>
  </si>
  <si>
    <t>現在の合意形成進捗度</t>
  </si>
  <si>
    <t>現在の合意形成進捗度</t>
    <phoneticPr fontId="1"/>
  </si>
  <si>
    <t>設備導入の実現可能性</t>
    <rPh sb="0" eb="2">
      <t>セツビ</t>
    </rPh>
    <rPh sb="2" eb="4">
      <t>ドウニュウ</t>
    </rPh>
    <rPh sb="5" eb="7">
      <t>ジツゲン</t>
    </rPh>
    <rPh sb="7" eb="10">
      <t>カノウセイ</t>
    </rPh>
    <phoneticPr fontId="1"/>
  </si>
  <si>
    <t>契約電力区分</t>
    <rPh sb="0" eb="2">
      <t>ケイヤク</t>
    </rPh>
    <rPh sb="2" eb="4">
      <t>デンリョク</t>
    </rPh>
    <rPh sb="4" eb="6">
      <t>クブン</t>
    </rPh>
    <phoneticPr fontId="1"/>
  </si>
  <si>
    <t>バイオマス
比率（％）</t>
    <rPh sb="6" eb="8">
      <t>ヒリツ</t>
    </rPh>
    <phoneticPr fontId="1"/>
  </si>
  <si>
    <t>設備全体の発電量
(kWh/年)</t>
    <rPh sb="0" eb="2">
      <t>セツビ</t>
    </rPh>
    <rPh sb="2" eb="4">
      <t>ゼンタイ</t>
    </rPh>
    <rPh sb="5" eb="7">
      <t>ハツデン</t>
    </rPh>
    <rPh sb="7" eb="8">
      <t>リョウ</t>
    </rPh>
    <rPh sb="14" eb="15">
      <t>ネン</t>
    </rPh>
    <phoneticPr fontId="1"/>
  </si>
  <si>
    <t>基幹設備</t>
    <rPh sb="0" eb="2">
      <t>キカン</t>
    </rPh>
    <rPh sb="2" eb="4">
      <t>セツビ</t>
    </rPh>
    <phoneticPr fontId="1"/>
  </si>
  <si>
    <t>施設番号</t>
    <rPh sb="0" eb="2">
      <t>シセツ</t>
    </rPh>
    <rPh sb="2" eb="4">
      <t>バンゴウ</t>
    </rPh>
    <phoneticPr fontId="1"/>
  </si>
  <si>
    <t>REPOSや衛星写真確認</t>
    <rPh sb="6" eb="8">
      <t>エイセイ</t>
    </rPh>
    <rPh sb="8" eb="10">
      <t>シャシン</t>
    </rPh>
    <rPh sb="10" eb="12">
      <t>カクニン</t>
    </rPh>
    <phoneticPr fontId="1"/>
  </si>
  <si>
    <t>合意形成対象者</t>
    <rPh sb="0" eb="2">
      <t>ゴウイ</t>
    </rPh>
    <rPh sb="2" eb="4">
      <t>ケイセイ</t>
    </rPh>
    <rPh sb="4" eb="7">
      <t>タイショウシャ</t>
    </rPh>
    <phoneticPr fontId="1"/>
  </si>
  <si>
    <t>合意形成に向けた主な説明項目</t>
    <rPh sb="0" eb="2">
      <t>ゴウイ</t>
    </rPh>
    <rPh sb="2" eb="4">
      <t>ケイセイ</t>
    </rPh>
    <rPh sb="5" eb="6">
      <t>ム</t>
    </rPh>
    <rPh sb="8" eb="9">
      <t>オモ</t>
    </rPh>
    <rPh sb="10" eb="12">
      <t>セツメイ</t>
    </rPh>
    <rPh sb="12" eb="14">
      <t>コウモク</t>
    </rPh>
    <phoneticPr fontId="1"/>
  </si>
  <si>
    <t>施設番号</t>
    <rPh sb="0" eb="4">
      <t>シセツバンゴウ</t>
    </rPh>
    <phoneticPr fontId="1"/>
  </si>
  <si>
    <t>契約電力区分</t>
    <rPh sb="0" eb="6">
      <t>ケイヤクデンリョククブン</t>
    </rPh>
    <phoneticPr fontId="1"/>
  </si>
  <si>
    <t>FS調査実施項目</t>
    <rPh sb="4" eb="6">
      <t>ジッシ</t>
    </rPh>
    <rPh sb="6" eb="8">
      <t>コウモク</t>
    </rPh>
    <phoneticPr fontId="1"/>
  </si>
  <si>
    <t>【地熱発電】</t>
    <rPh sb="1" eb="3">
      <t>チネツ</t>
    </rPh>
    <rPh sb="3" eb="5">
      <t>ハツデン</t>
    </rPh>
    <phoneticPr fontId="1"/>
  </si>
  <si>
    <t>【バイオマス発電】</t>
    <rPh sb="6" eb="8">
      <t>ハツデン</t>
    </rPh>
    <phoneticPr fontId="1"/>
  </si>
  <si>
    <t>風力発電</t>
    <rPh sb="0" eb="4">
      <t>フウリョクハツデン</t>
    </rPh>
    <phoneticPr fontId="1"/>
  </si>
  <si>
    <t>契約電力
区分</t>
    <rPh sb="0" eb="2">
      <t>ケイヤク</t>
    </rPh>
    <rPh sb="2" eb="4">
      <t>デンリョク</t>
    </rPh>
    <rPh sb="5" eb="7">
      <t>クブン</t>
    </rPh>
    <phoneticPr fontId="1"/>
  </si>
  <si>
    <t>【風力発電】</t>
    <rPh sb="1" eb="2">
      <t>カゼ</t>
    </rPh>
    <rPh sb="3" eb="5">
      <t>ハツデン</t>
    </rPh>
    <phoneticPr fontId="1"/>
  </si>
  <si>
    <t>別表</t>
    <rPh sb="0" eb="2">
      <t>ベッピョウ</t>
    </rPh>
    <phoneticPr fontId="1"/>
  </si>
  <si>
    <t/>
  </si>
  <si>
    <t>周辺環境への
影響と対策</t>
    <rPh sb="0" eb="2">
      <t>シュウヘン</t>
    </rPh>
    <rPh sb="2" eb="4">
      <t>カンキョウ</t>
    </rPh>
    <rPh sb="7" eb="9">
      <t>エイキョウ</t>
    </rPh>
    <rPh sb="10" eb="12">
      <t>タイサク</t>
    </rPh>
    <phoneticPr fontId="1"/>
  </si>
  <si>
    <t>先行地域の
コンセプト</t>
    <rPh sb="0" eb="2">
      <t>センコウ</t>
    </rPh>
    <rPh sb="2" eb="4">
      <t>チイキ</t>
    </rPh>
    <phoneticPr fontId="1"/>
  </si>
  <si>
    <t>業務その他（その他）</t>
    <phoneticPr fontId="1"/>
  </si>
  <si>
    <t>【風力発電】</t>
    <rPh sb="1" eb="3">
      <t>フウリョク</t>
    </rPh>
    <rPh sb="3" eb="5">
      <t>ハツデン</t>
    </rPh>
    <phoneticPr fontId="1"/>
  </si>
  <si>
    <t>バイオマス
発電量
(kWh/年)</t>
    <rPh sb="6" eb="8">
      <t>ハツデン</t>
    </rPh>
    <rPh sb="8" eb="9">
      <t>リョウ</t>
    </rPh>
    <rPh sb="15" eb="16">
      <t>ネン</t>
    </rPh>
    <phoneticPr fontId="1"/>
  </si>
  <si>
    <t>対策案・代替案の検討状況</t>
    <rPh sb="0" eb="2">
      <t>タイサク</t>
    </rPh>
    <rPh sb="2" eb="3">
      <t>アン</t>
    </rPh>
    <rPh sb="4" eb="7">
      <t>ダイタイアン</t>
    </rPh>
    <rPh sb="8" eb="10">
      <t>ケントウ</t>
    </rPh>
    <rPh sb="10" eb="12">
      <t>ジョウキョウ</t>
    </rPh>
    <phoneticPr fontId="1"/>
  </si>
  <si>
    <t>懸念事項</t>
    <rPh sb="0" eb="4">
      <t>ケネンジコウ</t>
    </rPh>
    <phoneticPr fontId="1"/>
  </si>
  <si>
    <t>合意形成の今後の予定</t>
    <rPh sb="0" eb="4">
      <t>ゴウイケイセイ</t>
    </rPh>
    <rPh sb="5" eb="7">
      <t>コンゴ</t>
    </rPh>
    <rPh sb="8" eb="10">
      <t>ヨテイ</t>
    </rPh>
    <phoneticPr fontId="1"/>
  </si>
  <si>
    <t>3-2</t>
    <phoneticPr fontId="1"/>
  </si>
  <si>
    <t>合意形成の進捗状況の補足</t>
    <rPh sb="0" eb="2">
      <t>ゴウイ</t>
    </rPh>
    <rPh sb="2" eb="4">
      <t>ケイセイ</t>
    </rPh>
    <rPh sb="5" eb="7">
      <t>シンチョク</t>
    </rPh>
    <rPh sb="7" eb="9">
      <t>ジョウキョウ</t>
    </rPh>
    <rPh sb="10" eb="12">
      <t>ホソク</t>
    </rPh>
    <phoneticPr fontId="1"/>
  </si>
  <si>
    <t>3-1</t>
    <phoneticPr fontId="1"/>
  </si>
  <si>
    <t>系統協議における懸念事項と今後の予定</t>
    <phoneticPr fontId="1"/>
  </si>
  <si>
    <t>FS調査の今後の予定</t>
    <rPh sb="2" eb="4">
      <t>チョウサ</t>
    </rPh>
    <rPh sb="5" eb="7">
      <t>コンゴ</t>
    </rPh>
    <rPh sb="8" eb="10">
      <t>ヨテイ</t>
    </rPh>
    <phoneticPr fontId="1"/>
  </si>
  <si>
    <t>1-2</t>
    <phoneticPr fontId="1"/>
  </si>
  <si>
    <t>FS調査の資料／実地調査の具体的な内容と結果</t>
    <rPh sb="2" eb="4">
      <t>チョウサ</t>
    </rPh>
    <rPh sb="5" eb="7">
      <t>シリョウ</t>
    </rPh>
    <rPh sb="8" eb="10">
      <t>ジッチ</t>
    </rPh>
    <rPh sb="10" eb="12">
      <t>チョウサ</t>
    </rPh>
    <rPh sb="13" eb="15">
      <t>グタイ</t>
    </rPh>
    <rPh sb="15" eb="16">
      <t>テキ</t>
    </rPh>
    <rPh sb="17" eb="19">
      <t>ナイヨウ</t>
    </rPh>
    <rPh sb="20" eb="22">
      <t>ケッカ</t>
    </rPh>
    <phoneticPr fontId="1"/>
  </si>
  <si>
    <t>1-1</t>
    <phoneticPr fontId="1"/>
  </si>
  <si>
    <t>1</t>
    <phoneticPr fontId="1"/>
  </si>
  <si>
    <t>補足事項</t>
    <rPh sb="0" eb="2">
      <t>ホソク</t>
    </rPh>
    <rPh sb="2" eb="4">
      <t>ジコウ</t>
    </rPh>
    <phoneticPr fontId="1"/>
  </si>
  <si>
    <t>項</t>
    <rPh sb="0" eb="1">
      <t>コウ</t>
    </rPh>
    <phoneticPr fontId="1"/>
  </si>
  <si>
    <t>[補足情報」</t>
    <rPh sb="1" eb="3">
      <t>ホソク</t>
    </rPh>
    <rPh sb="3" eb="5">
      <t>ジョウホウ</t>
    </rPh>
    <phoneticPr fontId="1"/>
  </si>
  <si>
    <t>FS調査実施状況</t>
    <rPh sb="2" eb="4">
      <t>チョウサ</t>
    </rPh>
    <rPh sb="4" eb="6">
      <t>ジッシ</t>
    </rPh>
    <rPh sb="6" eb="8">
      <t>ジョウキョウ</t>
    </rPh>
    <phoneticPr fontId="1"/>
  </si>
  <si>
    <t>設備導入の
実現可能性</t>
    <rPh sb="0" eb="2">
      <t>セツビ</t>
    </rPh>
    <rPh sb="2" eb="4">
      <t>ドウニュウ</t>
    </rPh>
    <rPh sb="6" eb="8">
      <t>ジツゲン</t>
    </rPh>
    <rPh sb="8" eb="10">
      <t>カノウ</t>
    </rPh>
    <rPh sb="10" eb="11">
      <t>セイ</t>
    </rPh>
    <phoneticPr fontId="1"/>
  </si>
  <si>
    <t>[基礎情報」</t>
    <rPh sb="1" eb="3">
      <t>キソ</t>
    </rPh>
    <rPh sb="3" eb="5">
      <t>ジョウホウ</t>
    </rPh>
    <phoneticPr fontId="1"/>
  </si>
  <si>
    <t>別表
(累計)</t>
    <rPh sb="0" eb="2">
      <t>ベッピョウ</t>
    </rPh>
    <phoneticPr fontId="1"/>
  </si>
  <si>
    <t>合意形成</t>
    <rPh sb="0" eb="4">
      <t>ゴウイケイセイ</t>
    </rPh>
    <phoneticPr fontId="1"/>
  </si>
  <si>
    <t>直近電力需要量(kWh/年)</t>
    <phoneticPr fontId="1"/>
  </si>
  <si>
    <t>住宅</t>
    <rPh sb="0" eb="2">
      <t>ジュウタク</t>
    </rPh>
    <phoneticPr fontId="1"/>
  </si>
  <si>
    <t>民生・業務その他</t>
    <rPh sb="0" eb="2">
      <t>ミンセイ</t>
    </rPh>
    <rPh sb="3" eb="5">
      <t>ギョウム</t>
    </rPh>
    <rPh sb="7" eb="8">
      <t>タ</t>
    </rPh>
    <phoneticPr fontId="1"/>
  </si>
  <si>
    <t>公共</t>
    <rPh sb="0" eb="2">
      <t>コウキョウ</t>
    </rPh>
    <phoneticPr fontId="1"/>
  </si>
  <si>
    <t>その他発電</t>
    <rPh sb="2" eb="3">
      <t>タ</t>
    </rPh>
    <rPh sb="3" eb="5">
      <t>ハツデン</t>
    </rPh>
    <phoneticPr fontId="1"/>
  </si>
  <si>
    <t>REPOSや衛星写真確認</t>
    <phoneticPr fontId="1"/>
  </si>
  <si>
    <t>記述</t>
    <phoneticPr fontId="1"/>
  </si>
  <si>
    <t>主として取組を実施する
範囲内外</t>
    <rPh sb="0" eb="1">
      <t>シュ</t>
    </rPh>
    <rPh sb="4" eb="6">
      <t>トリクミ</t>
    </rPh>
    <rPh sb="7" eb="9">
      <t>ジッシ</t>
    </rPh>
    <rPh sb="12" eb="14">
      <t>ハンイ</t>
    </rPh>
    <rPh sb="14" eb="15">
      <t>ナイ</t>
    </rPh>
    <rPh sb="15" eb="16">
      <t>ガイ</t>
    </rPh>
    <phoneticPr fontId="1"/>
  </si>
  <si>
    <t>共同提案者(地方公共団体)</t>
    <rPh sb="0" eb="2">
      <t>キョウドウ</t>
    </rPh>
    <rPh sb="2" eb="5">
      <t>テイアンシャ</t>
    </rPh>
    <phoneticPr fontId="1"/>
  </si>
  <si>
    <t>主たる提案者(地方公共団体)</t>
    <rPh sb="0" eb="1">
      <t>シュ</t>
    </rPh>
    <rPh sb="3" eb="6">
      <t>テイアンシャ</t>
    </rPh>
    <phoneticPr fontId="1"/>
  </si>
  <si>
    <t>全体</t>
    <rPh sb="0" eb="2">
      <t>ゼンタイ</t>
    </rPh>
    <phoneticPr fontId="1"/>
  </si>
  <si>
    <t>再エネ等の電力供給元
(発電主体)</t>
    <phoneticPr fontId="1"/>
  </si>
  <si>
    <t>電力供給量
(kWh/年)</t>
    <phoneticPr fontId="1"/>
  </si>
  <si>
    <r>
      <t xml:space="preserve">割合（％）
</t>
    </r>
    <r>
      <rPr>
        <b/>
        <sz val="12"/>
        <rFont val="ＭＳ ゴシック"/>
        <family val="3"/>
        <charset val="128"/>
      </rPr>
      <t>（電力需要量に対する割合）</t>
    </r>
    <rPh sb="0" eb="2">
      <t>ワリアイ</t>
    </rPh>
    <rPh sb="7" eb="9">
      <t>デンリョク</t>
    </rPh>
    <rPh sb="9" eb="12">
      <t>ジュヨウリョウ</t>
    </rPh>
    <rPh sb="13" eb="14">
      <t>タイ</t>
    </rPh>
    <rPh sb="16" eb="18">
      <t>ワリアイ</t>
    </rPh>
    <phoneticPr fontId="1"/>
  </si>
  <si>
    <t>合計(kWh/年)</t>
    <rPh sb="0" eb="2">
      <t>ゴウケイ</t>
    </rPh>
    <rPh sb="7" eb="8">
      <t>ネン</t>
    </rPh>
    <phoneticPr fontId="1"/>
  </si>
  <si>
    <t>民生部門の電力需要量(kWh/年)</t>
    <rPh sb="0" eb="2">
      <t>ミンセイ</t>
    </rPh>
    <rPh sb="2" eb="4">
      <t>ブモン</t>
    </rPh>
    <rPh sb="5" eb="7">
      <t>デンリョク</t>
    </rPh>
    <rPh sb="7" eb="9">
      <t>ジュヨウ</t>
    </rPh>
    <rPh sb="9" eb="10">
      <t>リョウ</t>
    </rPh>
    <rPh sb="15" eb="16">
      <t>ネン</t>
    </rPh>
    <phoneticPr fontId="1"/>
  </si>
  <si>
    <t>懸念事項の対応策</t>
    <phoneticPr fontId="1"/>
  </si>
  <si>
    <t>懸念事項</t>
    <phoneticPr fontId="1"/>
  </si>
  <si>
    <t>懸念事項への対策</t>
    <rPh sb="6" eb="8">
      <t>タイサク</t>
    </rPh>
    <phoneticPr fontId="1"/>
  </si>
  <si>
    <t>民生部門の
電力需要家</t>
    <rPh sb="0" eb="2">
      <t>ミンセイ</t>
    </rPh>
    <rPh sb="2" eb="4">
      <t>ブモン</t>
    </rPh>
    <rPh sb="6" eb="10">
      <t>デンリョクジュヨウ</t>
    </rPh>
    <rPh sb="10" eb="11">
      <t>イエ</t>
    </rPh>
    <phoneticPr fontId="1"/>
  </si>
  <si>
    <t>懸念事項の対応策</t>
    <rPh sb="5" eb="8">
      <t>タイオウサク</t>
    </rPh>
    <phoneticPr fontId="1"/>
  </si>
  <si>
    <t>各関係者との取組を進めるに当たっての「懸念事項」と「懸念事項への対応策」があれば、シートに記入してください。</t>
    <phoneticPr fontId="1"/>
  </si>
  <si>
    <t>検討状況</t>
    <rPh sb="0" eb="4">
      <t>ケントウジョウキョウ</t>
    </rPh>
    <phoneticPr fontId="1"/>
  </si>
  <si>
    <t>分類</t>
    <rPh sb="0" eb="2">
      <t>ブンルイ</t>
    </rPh>
    <phoneticPr fontId="1"/>
  </si>
  <si>
    <t>区分１</t>
    <rPh sb="0" eb="2">
      <t>クブン</t>
    </rPh>
    <phoneticPr fontId="1"/>
  </si>
  <si>
    <t>区分２</t>
    <rPh sb="0" eb="2">
      <t>クブン</t>
    </rPh>
    <phoneticPr fontId="1"/>
  </si>
  <si>
    <t>区分３</t>
    <rPh sb="0" eb="2">
      <t>クブン</t>
    </rPh>
    <phoneticPr fontId="1"/>
  </si>
  <si>
    <t>既存住宅</t>
    <rPh sb="0" eb="2">
      <t>キソン</t>
    </rPh>
    <rPh sb="2" eb="4">
      <t>ジュウタク</t>
    </rPh>
    <phoneticPr fontId="1"/>
  </si>
  <si>
    <t>新築住宅</t>
    <rPh sb="0" eb="4">
      <t>シンチクジュウタク</t>
    </rPh>
    <phoneticPr fontId="1"/>
  </si>
  <si>
    <t>民間事業者</t>
    <rPh sb="0" eb="5">
      <t>ミンカンジギョウシャ</t>
    </rPh>
    <phoneticPr fontId="1"/>
  </si>
  <si>
    <t>新築</t>
    <rPh sb="0" eb="2">
      <t>シンチク</t>
    </rPh>
    <phoneticPr fontId="1"/>
  </si>
  <si>
    <t>既存</t>
    <rPh sb="0" eb="2">
      <t>キソン</t>
    </rPh>
    <phoneticPr fontId="1"/>
  </si>
  <si>
    <t>建替</t>
    <rPh sb="0" eb="1">
      <t>タ</t>
    </rPh>
    <rPh sb="1" eb="2">
      <t>カ</t>
    </rPh>
    <phoneticPr fontId="1"/>
  </si>
  <si>
    <t>公共施設</t>
    <rPh sb="0" eb="4">
      <t>コウキョウシセツ</t>
    </rPh>
    <phoneticPr fontId="1"/>
  </si>
  <si>
    <t>エリア名</t>
    <rPh sb="3" eb="4">
      <t>メイ</t>
    </rPh>
    <phoneticPr fontId="48"/>
  </si>
  <si>
    <t>○○エリア</t>
    <phoneticPr fontId="48"/>
  </si>
  <si>
    <t>合計</t>
    <rPh sb="0" eb="2">
      <t>ゴウケイ</t>
    </rPh>
    <phoneticPr fontId="48"/>
  </si>
  <si>
    <t>位置・範囲</t>
    <rPh sb="0" eb="2">
      <t>イチ</t>
    </rPh>
    <rPh sb="3" eb="5">
      <t>ハンイ</t>
    </rPh>
    <phoneticPr fontId="48"/>
  </si>
  <si>
    <t>住宅（戸）</t>
    <rPh sb="0" eb="2">
      <t>ジュウタク</t>
    </rPh>
    <rPh sb="3" eb="4">
      <t>コ</t>
    </rPh>
    <phoneticPr fontId="48"/>
  </si>
  <si>
    <t>民間施設（施設）</t>
    <rPh sb="0" eb="2">
      <t>ミンカン</t>
    </rPh>
    <rPh sb="2" eb="4">
      <t>シセツ</t>
    </rPh>
    <rPh sb="5" eb="7">
      <t>シセツ</t>
    </rPh>
    <phoneticPr fontId="48"/>
  </si>
  <si>
    <t>公共施設（施設）</t>
    <rPh sb="0" eb="4">
      <t>コウキョウシセツ</t>
    </rPh>
    <rPh sb="5" eb="7">
      <t>シセツ</t>
    </rPh>
    <phoneticPr fontId="48"/>
  </si>
  <si>
    <t>電力需要量</t>
    <rPh sb="0" eb="2">
      <t>デンリョク</t>
    </rPh>
    <rPh sb="2" eb="5">
      <t>ジュヨウリョウ</t>
    </rPh>
    <phoneticPr fontId="48"/>
  </si>
  <si>
    <t>再エネ
電力
供給量</t>
    <rPh sb="0" eb="1">
      <t>サイ</t>
    </rPh>
    <rPh sb="4" eb="6">
      <t>デンリョク</t>
    </rPh>
    <rPh sb="7" eb="10">
      <t>キョウキュウリョウ</t>
    </rPh>
    <phoneticPr fontId="48"/>
  </si>
  <si>
    <t>(域内)
新規再エネ導入量</t>
    <rPh sb="1" eb="3">
      <t>イキナイ</t>
    </rPh>
    <rPh sb="5" eb="7">
      <t>シンキ</t>
    </rPh>
    <rPh sb="7" eb="8">
      <t>サイ</t>
    </rPh>
    <rPh sb="10" eb="13">
      <t>ドウニュウリョウ</t>
    </rPh>
    <phoneticPr fontId="48"/>
  </si>
  <si>
    <t>(地方公共団体内)
既存再エネ設備</t>
    <rPh sb="1" eb="7">
      <t>チホウコウキョウダンタイ</t>
    </rPh>
    <rPh sb="7" eb="8">
      <t>ナイ</t>
    </rPh>
    <rPh sb="10" eb="12">
      <t>キゾン</t>
    </rPh>
    <rPh sb="12" eb="13">
      <t>サイ</t>
    </rPh>
    <rPh sb="15" eb="17">
      <t>セツビ</t>
    </rPh>
    <phoneticPr fontId="48"/>
  </si>
  <si>
    <t>合計量</t>
    <rPh sb="0" eb="2">
      <t>ゴウケイ</t>
    </rPh>
    <rPh sb="2" eb="3">
      <t>リョウ</t>
    </rPh>
    <phoneticPr fontId="48"/>
  </si>
  <si>
    <t>省エネ削減効果</t>
    <rPh sb="0" eb="1">
      <t>ショウ</t>
    </rPh>
    <rPh sb="3" eb="5">
      <t>サクゲン</t>
    </rPh>
    <rPh sb="5" eb="7">
      <t>コウカ</t>
    </rPh>
    <phoneticPr fontId="48"/>
  </si>
  <si>
    <t>民生部門電力以外の温室効果ガス排出の削減量（t-CO2/年）</t>
    <rPh sb="0" eb="2">
      <t>ミンセイ</t>
    </rPh>
    <rPh sb="2" eb="4">
      <t>ブモン</t>
    </rPh>
    <rPh sb="4" eb="6">
      <t>デンリョク</t>
    </rPh>
    <rPh sb="6" eb="8">
      <t>イガイ</t>
    </rPh>
    <rPh sb="9" eb="11">
      <t>オンシツ</t>
    </rPh>
    <rPh sb="11" eb="13">
      <t>コウカ</t>
    </rPh>
    <rPh sb="15" eb="17">
      <t>ハイシュツ</t>
    </rPh>
    <rPh sb="18" eb="21">
      <t>サクゲンリョウ</t>
    </rPh>
    <rPh sb="28" eb="29">
      <t>ネン</t>
    </rPh>
    <phoneticPr fontId="48"/>
  </si>
  <si>
    <t>B</t>
    <phoneticPr fontId="1"/>
  </si>
  <si>
    <t>事業概要説明</t>
    <phoneticPr fontId="1"/>
  </si>
  <si>
    <t>再エネ利用の
意向調査</t>
    <phoneticPr fontId="1"/>
  </si>
  <si>
    <t>合意</t>
    <rPh sb="0" eb="2">
      <t>ゴウイ</t>
    </rPh>
    <phoneticPr fontId="1"/>
  </si>
  <si>
    <t>事業への
反応調査</t>
    <phoneticPr fontId="1"/>
  </si>
  <si>
    <t>メリットや
コスト等の
詳細説明</t>
    <rPh sb="9" eb="10">
      <t>ナド</t>
    </rPh>
    <phoneticPr fontId="10"/>
  </si>
  <si>
    <t>導入
時期</t>
    <rPh sb="0" eb="2">
      <t>ドウニュウ</t>
    </rPh>
    <rPh sb="3" eb="5">
      <t>ジキ</t>
    </rPh>
    <phoneticPr fontId="1"/>
  </si>
  <si>
    <t>単独/一括検討</t>
    <rPh sb="0" eb="2">
      <t>タンドク</t>
    </rPh>
    <rPh sb="3" eb="5">
      <t>イッカツ</t>
    </rPh>
    <rPh sb="5" eb="7">
      <t>ケントウ</t>
    </rPh>
    <phoneticPr fontId="1"/>
  </si>
  <si>
    <t>A</t>
    <phoneticPr fontId="1"/>
  </si>
  <si>
    <t>C</t>
    <phoneticPr fontId="1"/>
  </si>
  <si>
    <t>D</t>
    <phoneticPr fontId="1"/>
  </si>
  <si>
    <t>実施事業者候補の検討</t>
    <rPh sb="0" eb="2">
      <t>ジッシ</t>
    </rPh>
    <rPh sb="2" eb="5">
      <t>ジギョウシャ</t>
    </rPh>
    <rPh sb="5" eb="7">
      <t>コウホ</t>
    </rPh>
    <rPh sb="8" eb="10">
      <t>ケントウ</t>
    </rPh>
    <phoneticPr fontId="18"/>
  </si>
  <si>
    <t>合意</t>
    <phoneticPr fontId="1"/>
  </si>
  <si>
    <t>CO2削減量(t-CO2/年)</t>
    <rPh sb="3" eb="5">
      <t>サクゲン</t>
    </rPh>
    <rPh sb="5" eb="6">
      <t>リョウ</t>
    </rPh>
    <rPh sb="13" eb="14">
      <t>ネン</t>
    </rPh>
    <phoneticPr fontId="1"/>
  </si>
  <si>
    <t>事業概要説明</t>
    <rPh sb="0" eb="6">
      <t>ジギョウガイヨウセツメイ</t>
    </rPh>
    <phoneticPr fontId="18"/>
  </si>
  <si>
    <t>必要コスト試算結果等説明</t>
    <rPh sb="0" eb="2">
      <t>ヒツヨウ</t>
    </rPh>
    <rPh sb="5" eb="9">
      <t>シサンケッカ</t>
    </rPh>
    <rPh sb="9" eb="10">
      <t>ナド</t>
    </rPh>
    <rPh sb="10" eb="12">
      <t>セツメイ</t>
    </rPh>
    <phoneticPr fontId="1"/>
  </si>
  <si>
    <t>上記以外の発電方式に該当する場合は、以下に発電方式名と詳細を記載ください</t>
    <rPh sb="21" eb="25">
      <t>ハツデンホウシキ</t>
    </rPh>
    <rPh sb="25" eb="26">
      <t>メイ</t>
    </rPh>
    <rPh sb="27" eb="29">
      <t>ショウサイ</t>
    </rPh>
    <phoneticPr fontId="1"/>
  </si>
  <si>
    <t>水力発電</t>
    <rPh sb="0" eb="2">
      <t>スイリョク</t>
    </rPh>
    <rPh sb="2" eb="4">
      <t>ハツデン</t>
    </rPh>
    <phoneticPr fontId="1"/>
  </si>
  <si>
    <t>【水力発電】</t>
    <rPh sb="1" eb="3">
      <t>スイリョク</t>
    </rPh>
    <rPh sb="3" eb="5">
      <t>ハツデン</t>
    </rPh>
    <phoneticPr fontId="1"/>
  </si>
  <si>
    <t>(単独)接続検討済</t>
  </si>
  <si>
    <t>REPOS/衛星写真確認</t>
    <rPh sb="6" eb="8">
      <t>エイセイ</t>
    </rPh>
    <rPh sb="8" eb="10">
      <t>シャシン</t>
    </rPh>
    <rPh sb="10" eb="12">
      <t>カクニン</t>
    </rPh>
    <phoneticPr fontId="1"/>
  </si>
  <si>
    <t>(単独)工事費負担金入金済</t>
  </si>
  <si>
    <r>
      <rPr>
        <sz val="12"/>
        <rFont val="Yu Gothic UI"/>
        <family val="3"/>
        <charset val="128"/>
      </rPr>
      <t>その他調達(上記以外)</t>
    </r>
    <r>
      <rPr>
        <sz val="12"/>
        <color theme="1"/>
        <rFont val="Yu Gothic UI"/>
        <family val="3"/>
        <charset val="128"/>
      </rPr>
      <t xml:space="preserve">
</t>
    </r>
    <r>
      <rPr>
        <sz val="11"/>
        <color theme="1"/>
        <rFont val="Yu Gothic UI"/>
        <family val="3"/>
        <charset val="128"/>
      </rPr>
      <t>※需要家エリアに記載してください。</t>
    </r>
    <rPh sb="6" eb="10">
      <t>ジョウキイガイ</t>
    </rPh>
    <phoneticPr fontId="1"/>
  </si>
  <si>
    <t>民生部門
電力の取組
(kWh/年)</t>
    <rPh sb="0" eb="2">
      <t>ミンセイ</t>
    </rPh>
    <rPh sb="2" eb="4">
      <t>ブモン</t>
    </rPh>
    <rPh sb="5" eb="7">
      <t>デンリョク</t>
    </rPh>
    <rPh sb="8" eb="10">
      <t>トリクミ</t>
    </rPh>
    <phoneticPr fontId="48"/>
  </si>
  <si>
    <t>令和6年度</t>
    <phoneticPr fontId="1"/>
  </si>
  <si>
    <t>令和7年度</t>
    <phoneticPr fontId="1"/>
  </si>
  <si>
    <t>令和8年度</t>
    <phoneticPr fontId="1"/>
  </si>
  <si>
    <t>令和9年度</t>
    <phoneticPr fontId="1"/>
  </si>
  <si>
    <t>令和10年度</t>
    <phoneticPr fontId="1"/>
  </si>
  <si>
    <t>令和11年度</t>
    <phoneticPr fontId="1"/>
  </si>
  <si>
    <t>令和12年度</t>
    <phoneticPr fontId="1"/>
  </si>
  <si>
    <t>設備導入の実現可能性</t>
    <rPh sb="0" eb="4">
      <t>セツビドウニュウ</t>
    </rPh>
    <rPh sb="5" eb="10">
      <t>ジツゲンカノウセイ</t>
    </rPh>
    <phoneticPr fontId="1"/>
  </si>
  <si>
    <t>地区代表者</t>
    <rPh sb="0" eb="5">
      <t>チクダイヒョウシャ</t>
    </rPh>
    <phoneticPr fontId="1"/>
  </si>
  <si>
    <t>事業概要説明</t>
    <rPh sb="0" eb="6">
      <t>ジギョウガイヨウセツメイ</t>
    </rPh>
    <phoneticPr fontId="1"/>
  </si>
  <si>
    <t>事業への
反応調査</t>
    <rPh sb="0" eb="2">
      <t>ジギョウ</t>
    </rPh>
    <rPh sb="5" eb="9">
      <t>ハンノウチョウサ</t>
    </rPh>
    <phoneticPr fontId="1"/>
  </si>
  <si>
    <t>メリットや
コストなどの
詳細説明</t>
    <rPh sb="13" eb="17">
      <t>ショウサイセツメイ</t>
    </rPh>
    <phoneticPr fontId="1"/>
  </si>
  <si>
    <t>再エネ利用の
意向調査</t>
    <rPh sb="0" eb="1">
      <t>サイ</t>
    </rPh>
    <rPh sb="3" eb="5">
      <t>リヨウ</t>
    </rPh>
    <rPh sb="7" eb="11">
      <t>イコウチョウサ</t>
    </rPh>
    <phoneticPr fontId="1"/>
  </si>
  <si>
    <t>再エネ設備導入における合意に向けた進捗度</t>
    <rPh sb="0" eb="1">
      <t>サイ</t>
    </rPh>
    <rPh sb="3" eb="5">
      <t>セツビ</t>
    </rPh>
    <rPh sb="5" eb="7">
      <t>ドウニュウ</t>
    </rPh>
    <rPh sb="11" eb="13">
      <t>ゴウイ</t>
    </rPh>
    <rPh sb="14" eb="15">
      <t>ム</t>
    </rPh>
    <rPh sb="17" eb="20">
      <t>シンチョクド</t>
    </rPh>
    <phoneticPr fontId="1"/>
  </si>
  <si>
    <t>以下の表に取組対象の需要家数・需要量を記載してください</t>
    <rPh sb="0" eb="2">
      <t>イカ</t>
    </rPh>
    <rPh sb="3" eb="4">
      <t>ヒョウ</t>
    </rPh>
    <rPh sb="5" eb="9">
      <t>トリクミタイショウ</t>
    </rPh>
    <rPh sb="10" eb="14">
      <t>ジュヨウカスウ</t>
    </rPh>
    <rPh sb="15" eb="18">
      <t>ジュヨウリョウ</t>
    </rPh>
    <rPh sb="19" eb="21">
      <t>キサイ</t>
    </rPh>
    <phoneticPr fontId="1"/>
  </si>
  <si>
    <t>#</t>
    <phoneticPr fontId="1"/>
  </si>
  <si>
    <t>対象エリアの規模や、需要、再エネ導入量規模等をエリア毎に下表のとおり記載してください。</t>
    <phoneticPr fontId="1"/>
  </si>
  <si>
    <t>1.1 対象エリアの規模等</t>
    <rPh sb="4" eb="6">
      <t>タイショウ</t>
    </rPh>
    <rPh sb="10" eb="12">
      <t>キボ</t>
    </rPh>
    <rPh sb="12" eb="13">
      <t>ナド</t>
    </rPh>
    <phoneticPr fontId="1"/>
  </si>
  <si>
    <t>その他発電</t>
    <rPh sb="2" eb="5">
      <t>タハツデン</t>
    </rPh>
    <phoneticPr fontId="1"/>
  </si>
  <si>
    <t>民生部門以外の電力_新規再エネ導入量 合計</t>
    <rPh sb="0" eb="2">
      <t>ミンセイ</t>
    </rPh>
    <rPh sb="2" eb="4">
      <t>ブモン</t>
    </rPh>
    <rPh sb="4" eb="6">
      <t>イガイ</t>
    </rPh>
    <rPh sb="7" eb="9">
      <t>デンリョク</t>
    </rPh>
    <phoneticPr fontId="1"/>
  </si>
  <si>
    <t>民生部門_新規再エネ導入量 合計</t>
    <rPh sb="0" eb="2">
      <t>ミンセイ</t>
    </rPh>
    <rPh sb="2" eb="4">
      <t>ブモン</t>
    </rPh>
    <rPh sb="5" eb="7">
      <t>シンキ</t>
    </rPh>
    <rPh sb="7" eb="8">
      <t>サイ</t>
    </rPh>
    <rPh sb="10" eb="13">
      <t>ドウニュウリョウ</t>
    </rPh>
    <rPh sb="14" eb="16">
      <t>ゴウケイ</t>
    </rPh>
    <phoneticPr fontId="1"/>
  </si>
  <si>
    <t>代表者</t>
    <rPh sb="0" eb="3">
      <t>ダイヒョウシャ</t>
    </rPh>
    <phoneticPr fontId="1"/>
  </si>
  <si>
    <t>FS/系統接続</t>
    <rPh sb="3" eb="7">
      <t>ケイトウセツゾク</t>
    </rPh>
    <phoneticPr fontId="1"/>
  </si>
  <si>
    <t>発電種別</t>
    <rPh sb="0" eb="4">
      <t>ハツデンシュベツ</t>
    </rPh>
    <phoneticPr fontId="1"/>
  </si>
  <si>
    <t>計算用</t>
    <rPh sb="0" eb="3">
      <t>ケイサンヨウ</t>
    </rPh>
    <phoneticPr fontId="1"/>
  </si>
  <si>
    <t>施設
カウント</t>
    <rPh sb="0" eb="2">
      <t>シセツ</t>
    </rPh>
    <phoneticPr fontId="1"/>
  </si>
  <si>
    <t>民生部門_新規再エネ導入量 合計</t>
    <phoneticPr fontId="1"/>
  </si>
  <si>
    <t>民生部門以外の電力_新規再エネ導入量 合計</t>
    <rPh sb="0" eb="2">
      <t>ミンセイ</t>
    </rPh>
    <rPh sb="2" eb="4">
      <t>ブモン</t>
    </rPh>
    <rPh sb="4" eb="6">
      <t>イガイ</t>
    </rPh>
    <rPh sb="7" eb="9">
      <t>デンリョク</t>
    </rPh>
    <rPh sb="10" eb="12">
      <t>シンキ</t>
    </rPh>
    <rPh sb="12" eb="13">
      <t>サイ</t>
    </rPh>
    <rPh sb="15" eb="17">
      <t>ドウニュウ</t>
    </rPh>
    <rPh sb="17" eb="18">
      <t>リョウ</t>
    </rPh>
    <rPh sb="19" eb="21">
      <t>ゴウケイ</t>
    </rPh>
    <phoneticPr fontId="1"/>
  </si>
  <si>
    <t>【民生部門以外の電力取組】</t>
    <phoneticPr fontId="1"/>
  </si>
  <si>
    <t>民生部門_新規再エネ導入量 合計</t>
    <rPh sb="0" eb="2">
      <t>ミンセイ</t>
    </rPh>
    <rPh sb="2" eb="4">
      <t>ブモン</t>
    </rPh>
    <rPh sb="5" eb="7">
      <t>シンキ</t>
    </rPh>
    <rPh sb="7" eb="8">
      <t>サイ</t>
    </rPh>
    <rPh sb="10" eb="12">
      <t>ドウニュウ</t>
    </rPh>
    <rPh sb="12" eb="13">
      <t>リョウ</t>
    </rPh>
    <rPh sb="14" eb="16">
      <t>ゴウケイ</t>
    </rPh>
    <phoneticPr fontId="1"/>
  </si>
  <si>
    <t>系統接続検討状況</t>
    <rPh sb="0" eb="8">
      <t>ケイトウセツゾクケントウジョウキョウ</t>
    </rPh>
    <phoneticPr fontId="1"/>
  </si>
  <si>
    <t>【その他発電】</t>
    <rPh sb="4" eb="6">
      <t>ハツデン</t>
    </rPh>
    <phoneticPr fontId="1"/>
  </si>
  <si>
    <t>▼プルダウンリスト表示用（削除・移動禁止）</t>
    <rPh sb="9" eb="11">
      <t>ヒョウジ</t>
    </rPh>
    <rPh sb="11" eb="12">
      <t>ヨウ</t>
    </rPh>
    <rPh sb="13" eb="15">
      <t>サクジョ</t>
    </rPh>
    <rPh sb="16" eb="18">
      <t>イドウ</t>
    </rPh>
    <rPh sb="18" eb="20">
      <t>キンシ</t>
    </rPh>
    <phoneticPr fontId="1"/>
  </si>
  <si>
    <t>廃棄物発電</t>
    <rPh sb="0" eb="3">
      <t>ハイキブツ</t>
    </rPh>
    <rPh sb="3" eb="5">
      <t>ハツデン</t>
    </rPh>
    <phoneticPr fontId="1"/>
  </si>
  <si>
    <t>その他</t>
    <phoneticPr fontId="1"/>
  </si>
  <si>
    <t>民生以外</t>
    <rPh sb="0" eb="4">
      <t>ミンセイイガイ</t>
    </rPh>
    <phoneticPr fontId="1"/>
  </si>
  <si>
    <t>取組内容</t>
    <rPh sb="0" eb="4">
      <t>トリクミナイヨウ</t>
    </rPh>
    <phoneticPr fontId="1"/>
  </si>
  <si>
    <t>導入量・台数</t>
    <rPh sb="0" eb="3">
      <t>ドウニュウリョウ</t>
    </rPh>
    <rPh sb="4" eb="6">
      <t>ダイスウ</t>
    </rPh>
    <phoneticPr fontId="1"/>
  </si>
  <si>
    <t>事業費全体の金額（千円）</t>
    <rPh sb="0" eb="5">
      <t>ジギョウヒゼンタイ</t>
    </rPh>
    <rPh sb="6" eb="8">
      <t>キンガク</t>
    </rPh>
    <rPh sb="9" eb="11">
      <t>センエン</t>
    </rPh>
    <phoneticPr fontId="1"/>
  </si>
  <si>
    <t>交付金</t>
    <rPh sb="0" eb="3">
      <t>コウフキン</t>
    </rPh>
    <phoneticPr fontId="1"/>
  </si>
  <si>
    <t>補助金</t>
    <rPh sb="0" eb="3">
      <t>ホジョキン</t>
    </rPh>
    <phoneticPr fontId="1"/>
  </si>
  <si>
    <t>地方債</t>
    <rPh sb="0" eb="3">
      <t>チホウサイ</t>
    </rPh>
    <phoneticPr fontId="1"/>
  </si>
  <si>
    <t>一般財源</t>
    <rPh sb="0" eb="4">
      <t>イッパンザイゲン</t>
    </rPh>
    <phoneticPr fontId="1"/>
  </si>
  <si>
    <t>その他（金融機関や民間事業者からの資金等）</t>
    <rPh sb="2" eb="3">
      <t>タ</t>
    </rPh>
    <rPh sb="4" eb="8">
      <t>キンユウキカン</t>
    </rPh>
    <rPh sb="9" eb="14">
      <t>ミンカンジギョウシャ</t>
    </rPh>
    <rPh sb="17" eb="19">
      <t>シキン</t>
    </rPh>
    <rPh sb="19" eb="20">
      <t>ナド</t>
    </rPh>
    <phoneticPr fontId="1"/>
  </si>
  <si>
    <t>活用予定の資金金額（千円）</t>
    <rPh sb="0" eb="4">
      <t>カツヨウヨテイ</t>
    </rPh>
    <rPh sb="5" eb="9">
      <t>シキンキンガク</t>
    </rPh>
    <rPh sb="10" eb="12">
      <t>センエン</t>
    </rPh>
    <phoneticPr fontId="1"/>
  </si>
  <si>
    <t>事業費に係る
費用効率性
（円/t-CO2）</t>
    <rPh sb="0" eb="3">
      <t>ジギョウヒ</t>
    </rPh>
    <rPh sb="4" eb="5">
      <t>カカ</t>
    </rPh>
    <rPh sb="7" eb="12">
      <t>ヒヨウコウリツセイ</t>
    </rPh>
    <rPh sb="14" eb="15">
      <t>エン</t>
    </rPh>
    <phoneticPr fontId="1"/>
  </si>
  <si>
    <t>3.4 事業費の額、活用を想定している資金</t>
    <phoneticPr fontId="1"/>
  </si>
  <si>
    <t>取組ごとに事業費全体の金額及び活用を予定している資金を財源項目別に記載してください。</t>
    <phoneticPr fontId="1"/>
  </si>
  <si>
    <t>なお、各取組番号は「3.2 事業の概要」で記載した取組番号と一致するようにしてください。
また、活用予定の資金の中でその他に記載した場合は、表の下にその他の詳細を記載してください。</t>
    <phoneticPr fontId="1"/>
  </si>
  <si>
    <t>3.4 事業費の額（各年度）、活用を想定している国の事業（交付金、補助金等）</t>
    <phoneticPr fontId="1"/>
  </si>
  <si>
    <t>計画の実施に必要となる事業内容及び事業費を年度別・部門別に記載してください。また、活用を予定している国の事業（交付金、補助金等）を記載してください。</t>
    <phoneticPr fontId="1"/>
  </si>
  <si>
    <t xml:space="preserve">その際、各取組番号が、「3.2 事業の概要」で記載した取組番号と一致するようにしてください。なお、執行事務費を計上予定の場合は忘れず記載してください。
</t>
    <phoneticPr fontId="1"/>
  </si>
  <si>
    <t>第５回　脱炭素先行地域計画提案書（様式１）</t>
    <rPh sb="0" eb="1">
      <t>ダイ</t>
    </rPh>
    <rPh sb="2" eb="3">
      <t>カイ</t>
    </rPh>
    <rPh sb="4" eb="7">
      <t>ダツタンソ</t>
    </rPh>
    <rPh sb="7" eb="11">
      <t>センコウチイキ</t>
    </rPh>
    <rPh sb="11" eb="16">
      <t>ケイカクテイアンショ</t>
    </rPh>
    <rPh sb="17" eb="19">
      <t>ヨウシキ</t>
    </rPh>
    <phoneticPr fontId="1"/>
  </si>
  <si>
    <t>4.1(1) 脱炭素先行地域の再エネポテンシャルの状況</t>
    <phoneticPr fontId="1"/>
  </si>
  <si>
    <t>4.1(2) 脱炭素先行地域内に供給する新規の再エネ発電設備の導入について(設備情報)</t>
    <rPh sb="38" eb="42">
      <t>セツビジョウホウ</t>
    </rPh>
    <phoneticPr fontId="1"/>
  </si>
  <si>
    <t>4.1(2) 脱炭素先行地域内に供給する新規の再エネ発電設備の導入について(FS調査、系統接続検討状況)</t>
    <phoneticPr fontId="1"/>
  </si>
  <si>
    <t>再エネ導入可能量を踏まえた提案地方公共団体内における新規導入予定の再エネ発電設備について、各施設のFS調査、系統接続検討状況を記載してください。</t>
    <rPh sb="0" eb="1">
      <t>サイ</t>
    </rPh>
    <rPh sb="3" eb="8">
      <t>ドウニュウカノウリョウ</t>
    </rPh>
    <rPh sb="45" eb="46">
      <t>カク</t>
    </rPh>
    <rPh sb="46" eb="48">
      <t>シセツ</t>
    </rPh>
    <rPh sb="51" eb="53">
      <t>チョウサ</t>
    </rPh>
    <rPh sb="54" eb="56">
      <t>ケイトウ</t>
    </rPh>
    <rPh sb="56" eb="58">
      <t>セツゾク</t>
    </rPh>
    <rPh sb="58" eb="60">
      <t>ケントウ</t>
    </rPh>
    <rPh sb="60" eb="62">
      <t>ジョウキョウ</t>
    </rPh>
    <rPh sb="63" eb="65">
      <t>キサイ</t>
    </rPh>
    <phoneticPr fontId="1"/>
  </si>
  <si>
    <t>4.1(2) 脱炭素先行地域内に供給する新規の再エネ発電設備の導入について(合意形成進捗状況)</t>
    <rPh sb="38" eb="42">
      <t>ゴウイケイセイ</t>
    </rPh>
    <rPh sb="42" eb="46">
      <t>シンチョクジョウキョウ</t>
    </rPh>
    <phoneticPr fontId="1"/>
  </si>
  <si>
    <t>再エネ導入可能量を踏まえた提案地方公共団体内における新規導入予定の再エネ発電設備について、合意形成対象者との合意形成進捗状況を記載してください。</t>
    <rPh sb="54" eb="62">
      <t>ゴウイケイセイシンチョクジョウキョウ</t>
    </rPh>
    <rPh sb="63" eb="65">
      <t>キサイ</t>
    </rPh>
    <phoneticPr fontId="1"/>
  </si>
  <si>
    <t>脱炭素先行地域及び当該地域がある地方公共団体において既に導入している、又は、導入することが決定している（契約済、着工済等）再エネ発電設備（脱炭素先行地域内に供給するものに限る。）について、
その種別に設置場所、設置容量等を、表作成ツールを使用して作成し記載してください。</t>
    <phoneticPr fontId="1"/>
  </si>
  <si>
    <t>4.1(3) 活用可能な既存の再エネ発電設備の状況</t>
    <phoneticPr fontId="1"/>
  </si>
  <si>
    <t>4.2 民生部門の電力消費に伴うCO2排出の実質ゼロの取組</t>
    <rPh sb="4" eb="8">
      <t>ミンセイブモン</t>
    </rPh>
    <rPh sb="9" eb="13">
      <t>デンリョクショウヒ</t>
    </rPh>
    <rPh sb="14" eb="15">
      <t>トモナ</t>
    </rPh>
    <rPh sb="19" eb="21">
      <t>ハイシュツ</t>
    </rPh>
    <rPh sb="22" eb="24">
      <t>ジッシツ</t>
    </rPh>
    <rPh sb="27" eb="28">
      <t>ト</t>
    </rPh>
    <rPh sb="28" eb="29">
      <t>ク</t>
    </rPh>
    <phoneticPr fontId="1"/>
  </si>
  <si>
    <t>4.2 対象地域の民生需要家数等</t>
    <rPh sb="4" eb="6">
      <t>タイショウ</t>
    </rPh>
    <rPh sb="6" eb="8">
      <t>チイキ</t>
    </rPh>
    <rPh sb="9" eb="11">
      <t>ミンセイ</t>
    </rPh>
    <rPh sb="11" eb="14">
      <t>ジュヨウカ</t>
    </rPh>
    <rPh sb="14" eb="15">
      <t>スウ</t>
    </rPh>
    <rPh sb="15" eb="16">
      <t>トウ</t>
    </rPh>
    <phoneticPr fontId="1"/>
  </si>
  <si>
    <t>電力需要量に係る実質ゼロを達成するための取組内容について、下表の必要箇所に記載してください。</t>
    <rPh sb="0" eb="2">
      <t>デンリョク</t>
    </rPh>
    <rPh sb="2" eb="4">
      <t>ジュヨウ</t>
    </rPh>
    <rPh sb="4" eb="5">
      <t>リョウ</t>
    </rPh>
    <rPh sb="6" eb="7">
      <t>カカ</t>
    </rPh>
    <rPh sb="8" eb="10">
      <t>ジッシツ</t>
    </rPh>
    <rPh sb="13" eb="15">
      <t>タッセイ</t>
    </rPh>
    <rPh sb="20" eb="22">
      <t>トリクミ</t>
    </rPh>
    <rPh sb="22" eb="24">
      <t>ナイヨウ</t>
    </rPh>
    <rPh sb="29" eb="31">
      <t>カヒョウ</t>
    </rPh>
    <rPh sb="32" eb="36">
      <t>ヒツヨウカショ</t>
    </rPh>
    <rPh sb="37" eb="39">
      <t>キサイ</t>
    </rPh>
    <phoneticPr fontId="1"/>
  </si>
  <si>
    <t>4.2 【民生部門の電力需要家の状況（対象・施設数、直近年度の電力需要量 等）】</t>
    <phoneticPr fontId="1"/>
  </si>
  <si>
    <t>CO2削減効果
（累計）(t-CO2)</t>
    <rPh sb="3" eb="7">
      <t>サクゲンコウカ</t>
    </rPh>
    <rPh sb="9" eb="11">
      <t>ルイケイ</t>
    </rPh>
    <phoneticPr fontId="1"/>
  </si>
  <si>
    <t>4.3 民生部門電力以外の排出削減等の取組の合意形成状況</t>
    <rPh sb="4" eb="6">
      <t>ミンセイ</t>
    </rPh>
    <rPh sb="6" eb="8">
      <t>ブモン</t>
    </rPh>
    <rPh sb="8" eb="10">
      <t>デンリョク</t>
    </rPh>
    <rPh sb="10" eb="12">
      <t>イガイ</t>
    </rPh>
    <rPh sb="13" eb="15">
      <t>ハイシュツ</t>
    </rPh>
    <rPh sb="15" eb="17">
      <t>サクゲン</t>
    </rPh>
    <rPh sb="17" eb="18">
      <t>ナド</t>
    </rPh>
    <rPh sb="19" eb="21">
      <t>トリクミ</t>
    </rPh>
    <rPh sb="22" eb="28">
      <t>ゴウイケイセイジョウキョウ</t>
    </rPh>
    <phoneticPr fontId="1"/>
  </si>
  <si>
    <t>4.3 民生部門電力以外の排出削減等の取組</t>
    <rPh sb="4" eb="6">
      <t>ミンセイ</t>
    </rPh>
    <rPh sb="6" eb="8">
      <t>ブモン</t>
    </rPh>
    <rPh sb="8" eb="10">
      <t>デンリョク</t>
    </rPh>
    <rPh sb="10" eb="12">
      <t>イガイ</t>
    </rPh>
    <rPh sb="13" eb="15">
      <t>ハイシュツ</t>
    </rPh>
    <rPh sb="15" eb="17">
      <t>サクゲン</t>
    </rPh>
    <rPh sb="17" eb="18">
      <t>ナド</t>
    </rPh>
    <rPh sb="19" eb="21">
      <t>トリクミ</t>
    </rPh>
    <phoneticPr fontId="1"/>
  </si>
  <si>
    <t>総事業費/CO2削減量(円/t-CO2)</t>
    <rPh sb="0" eb="4">
      <t>ソウジギョウヒ</t>
    </rPh>
    <rPh sb="8" eb="10">
      <t>サクゲン</t>
    </rPh>
    <rPh sb="10" eb="11">
      <t>リョウ</t>
    </rPh>
    <rPh sb="12" eb="13">
      <t>エン</t>
    </rPh>
    <phoneticPr fontId="1"/>
  </si>
  <si>
    <t>合計(千円)</t>
    <rPh sb="0" eb="2">
      <t>ゴウケイ</t>
    </rPh>
    <rPh sb="3" eb="4">
      <t>セン</t>
    </rPh>
    <rPh sb="4" eb="5">
      <t>エン</t>
    </rPh>
    <phoneticPr fontId="1"/>
  </si>
  <si>
    <t>電力需要家の状況を下表に記載してください。また、下表で挙げられる施設ごとに、需要家との合意形成状況の詳細を記載してください。</t>
    <phoneticPr fontId="1"/>
  </si>
  <si>
    <t>4.2 需要家との合意プロセス(住宅)</t>
    <rPh sb="4" eb="7">
      <t>ジュヨウカ</t>
    </rPh>
    <rPh sb="9" eb="11">
      <t>ゴウイ</t>
    </rPh>
    <rPh sb="16" eb="18">
      <t>ジュウタク</t>
    </rPh>
    <phoneticPr fontId="1"/>
  </si>
  <si>
    <t>4.2 需要家との合意プロセス(民生・業務その他)</t>
    <rPh sb="4" eb="7">
      <t>ジュヨウカ</t>
    </rPh>
    <rPh sb="9" eb="11">
      <t>ゴウイ</t>
    </rPh>
    <phoneticPr fontId="1"/>
  </si>
  <si>
    <t>4.2 需要家との合意プロセス(公共)</t>
    <rPh sb="4" eb="7">
      <t>ジュヨウカ</t>
    </rPh>
    <rPh sb="9" eb="11">
      <t>ゴウイ</t>
    </rPh>
    <rPh sb="16" eb="18">
      <t>コウキョウ</t>
    </rPh>
    <phoneticPr fontId="1"/>
  </si>
  <si>
    <t xml:space="preserve">4.2【民生部門の電力需要家の状況（対象・施設数、直近年度の電力需要量等）】における表に記載されている「施設名」単位で、各電力需要家に供給する再エネ電力の状況を下表に記載してください。
</t>
    <phoneticPr fontId="1"/>
  </si>
  <si>
    <t>なお、施設数が多く下表に収まらない場合など、必要に応じ行を追加してください。なお、行追加の際は、かならず空白行をコピーしたうえで、「コピーしたセルの挿入」からおこなってください。</t>
    <phoneticPr fontId="1"/>
  </si>
  <si>
    <t>再エネ等の電力供給量（先行地域の需要家に供給されるものに限る。）のうち、
脱炭素先行地域がある地方公共団体内に設置された再エネ発電設備で発電される再エネ電力量の割合を記載してください。
その際、下式の分子の値は、再エネ等の電力供給量から地方公共団体外から調達する量を引いた値を記入してください。</t>
    <phoneticPr fontId="1"/>
  </si>
  <si>
    <t>4.2 省エネによる電力削減に関する状況（実施場所・施設数、取組内容 、電力削減量）</t>
    <phoneticPr fontId="1"/>
  </si>
  <si>
    <t>6.2 関係者との連携体制と合意形成状況</t>
    <phoneticPr fontId="1"/>
  </si>
  <si>
    <t>①資料調査</t>
    <rPh sb="1" eb="5">
      <t>シリョウチョウサ</t>
    </rPh>
    <phoneticPr fontId="1"/>
  </si>
  <si>
    <t>②実地調査</t>
    <rPh sb="1" eb="5">
      <t>ジッチチョウサ</t>
    </rPh>
    <phoneticPr fontId="1"/>
  </si>
  <si>
    <t>③系統接続</t>
    <rPh sb="1" eb="5">
      <t>ケイトウセツゾク</t>
    </rPh>
    <phoneticPr fontId="1"/>
  </si>
  <si>
    <t>④合意状況</t>
    <rPh sb="1" eb="3">
      <t>ゴウイ</t>
    </rPh>
    <rPh sb="3" eb="5">
      <t>ジョウキョウ</t>
    </rPh>
    <phoneticPr fontId="1"/>
  </si>
  <si>
    <t>最終判定基準</t>
    <rPh sb="0" eb="2">
      <t>サイシュウ</t>
    </rPh>
    <rPh sb="2" eb="4">
      <t>ハンテイ</t>
    </rPh>
    <rPh sb="4" eb="6">
      <t>キジュン</t>
    </rPh>
    <phoneticPr fontId="1"/>
  </si>
  <si>
    <t>資料調査</t>
    <rPh sb="0" eb="4">
      <t>シリョウチョウサ</t>
    </rPh>
    <phoneticPr fontId="1"/>
  </si>
  <si>
    <t>判定</t>
    <rPh sb="0" eb="2">
      <t>ハンテイ</t>
    </rPh>
    <phoneticPr fontId="1"/>
  </si>
  <si>
    <t>実地調査</t>
    <rPh sb="0" eb="4">
      <t>ジッチチョウサ</t>
    </rPh>
    <phoneticPr fontId="1"/>
  </si>
  <si>
    <t>合意状況</t>
    <rPh sb="0" eb="4">
      <t>ゴウイジョウキョウ</t>
    </rPh>
    <phoneticPr fontId="1"/>
  </si>
  <si>
    <t>①～④最小値</t>
    <rPh sb="3" eb="6">
      <t>サイショウチ</t>
    </rPh>
    <phoneticPr fontId="1"/>
  </si>
  <si>
    <t>未実施</t>
    <rPh sb="0" eb="3">
      <t>ミジッシ</t>
    </rPh>
    <phoneticPr fontId="1"/>
  </si>
  <si>
    <t>（必要に応じて）地区代表者等へ説明し、大筋を合意済み</t>
  </si>
  <si>
    <t>実施中</t>
    <rPh sb="0" eb="3">
      <t>ジッシチュウ</t>
    </rPh>
    <phoneticPr fontId="1"/>
  </si>
  <si>
    <t>対象者に、先行地域のコンセプトについて説明済み</t>
  </si>
  <si>
    <t>実施済</t>
    <rPh sb="0" eb="3">
      <t>ジッシスミ</t>
    </rPh>
    <phoneticPr fontId="1"/>
  </si>
  <si>
    <t>実施済</t>
    <rPh sb="0" eb="3">
      <t>ジッシズ</t>
    </rPh>
    <phoneticPr fontId="1"/>
  </si>
  <si>
    <t>対象者に電源詳細、環境影響及び導入コストについて説明済み</t>
  </si>
  <si>
    <t>対象者に説明した３つのうち、１つ合意</t>
  </si>
  <si>
    <t>(単独)事前相談済</t>
  </si>
  <si>
    <t>対象者に説明した３つのうち、２つ合意</t>
  </si>
  <si>
    <t>対象者に説明した３つ全て合意済み</t>
  </si>
  <si>
    <t>(単独)事業性判断実施済</t>
  </si>
  <si>
    <t>(単独)契約申込済</t>
  </si>
  <si>
    <t>(一括)プロセス開始申込済</t>
  </si>
  <si>
    <t xml:space="preserve">(一括)一括検討開始済 </t>
  </si>
  <si>
    <t>（高圧以上）判定用リスト</t>
    <rPh sb="1" eb="3">
      <t>コウアツ</t>
    </rPh>
    <rPh sb="3" eb="5">
      <t>イジョウ</t>
    </rPh>
    <rPh sb="6" eb="9">
      <t>ハンテイヨウ</t>
    </rPh>
    <phoneticPr fontId="1"/>
  </si>
  <si>
    <t>③合意状況</t>
    <rPh sb="1" eb="3">
      <t>ゴウイ</t>
    </rPh>
    <rPh sb="3" eb="5">
      <t>ジョウキョウ</t>
    </rPh>
    <phoneticPr fontId="1"/>
  </si>
  <si>
    <t>①～③最小値</t>
    <rPh sb="3" eb="6">
      <t>サイショウチ</t>
    </rPh>
    <phoneticPr fontId="1"/>
  </si>
  <si>
    <t>（低圧）判定用リスト</t>
    <rPh sb="1" eb="3">
      <t>テイアツ</t>
    </rPh>
    <rPh sb="4" eb="7">
      <t>ハンテイヨウ</t>
    </rPh>
    <phoneticPr fontId="1"/>
  </si>
  <si>
    <t>設置場所
カウント</t>
    <rPh sb="0" eb="4">
      <t>セッチバショ</t>
    </rPh>
    <phoneticPr fontId="1"/>
  </si>
  <si>
    <t>合意形成対象
代表者</t>
    <rPh sb="0" eb="6">
      <t>ゴウイケイセイタイショウ</t>
    </rPh>
    <rPh sb="7" eb="10">
      <t>ダイヒョウシャ</t>
    </rPh>
    <phoneticPr fontId="1"/>
  </si>
  <si>
    <t>コンセプト説明</t>
    <rPh sb="5" eb="7">
      <t>セツメイ</t>
    </rPh>
    <phoneticPr fontId="1"/>
  </si>
  <si>
    <t>①電源詳細説明</t>
    <rPh sb="1" eb="5">
      <t>デンゲンショウサイ</t>
    </rPh>
    <rPh sb="5" eb="7">
      <t>セツメイ</t>
    </rPh>
    <phoneticPr fontId="1"/>
  </si>
  <si>
    <t>②環境影響説明</t>
    <rPh sb="1" eb="5">
      <t>カンキョウエイキョウ</t>
    </rPh>
    <rPh sb="5" eb="7">
      <t>セツメイ</t>
    </rPh>
    <phoneticPr fontId="1"/>
  </si>
  <si>
    <t>③導入コスト説明</t>
    <rPh sb="1" eb="3">
      <t>ドウニュウ</t>
    </rPh>
    <rPh sb="6" eb="8">
      <t>セツメイ</t>
    </rPh>
    <phoneticPr fontId="1"/>
  </si>
  <si>
    <t>①～③
説明済</t>
    <rPh sb="4" eb="6">
      <t>セツメイ</t>
    </rPh>
    <rPh sb="6" eb="7">
      <t>スミ</t>
    </rPh>
    <phoneticPr fontId="1"/>
  </si>
  <si>
    <t>採点</t>
    <rPh sb="0" eb="2">
      <t>サイテン</t>
    </rPh>
    <phoneticPr fontId="1"/>
  </si>
  <si>
    <t>施設
スコア</t>
    <rPh sb="0" eb="2">
      <t>シセツ</t>
    </rPh>
    <phoneticPr fontId="1"/>
  </si>
  <si>
    <t>代表者
合意設備</t>
    <rPh sb="0" eb="3">
      <t>ダイヒョウシャ</t>
    </rPh>
    <rPh sb="4" eb="6">
      <t>ゴウイ</t>
    </rPh>
    <rPh sb="6" eb="8">
      <t>セツビ</t>
    </rPh>
    <phoneticPr fontId="1"/>
  </si>
  <si>
    <t>③系統接続</t>
    <rPh sb="1" eb="3">
      <t>ケイトウ</t>
    </rPh>
    <rPh sb="3" eb="5">
      <t>セツゾク</t>
    </rPh>
    <phoneticPr fontId="1"/>
  </si>
  <si>
    <t>(低圧)申込完了</t>
    <rPh sb="1" eb="3">
      <t>テイアツ</t>
    </rPh>
    <rPh sb="4" eb="5">
      <t>モウ</t>
    </rPh>
    <rPh sb="5" eb="6">
      <t>コ</t>
    </rPh>
    <rPh sb="6" eb="8">
      <t>カンリョウ</t>
    </rPh>
    <phoneticPr fontId="1"/>
  </si>
  <si>
    <t>FS/系統接続 採点</t>
    <rPh sb="3" eb="7">
      <t>ケイトウセツゾク</t>
    </rPh>
    <rPh sb="8" eb="10">
      <t>サイテン</t>
    </rPh>
    <phoneticPr fontId="1"/>
  </si>
  <si>
    <t>合計形成
採点</t>
    <rPh sb="0" eb="2">
      <t>ゴウケイ</t>
    </rPh>
    <rPh sb="2" eb="4">
      <t>ケイセイ</t>
    </rPh>
    <rPh sb="5" eb="7">
      <t>サイテン</t>
    </rPh>
    <phoneticPr fontId="1"/>
  </si>
  <si>
    <t>総合採点</t>
    <rPh sb="0" eb="4">
      <t>ソウゴウサイテン</t>
    </rPh>
    <phoneticPr fontId="1"/>
  </si>
  <si>
    <t>総合評価</t>
    <rPh sb="0" eb="4">
      <t>ソウゴウヒョウカ</t>
    </rPh>
    <phoneticPr fontId="1"/>
  </si>
  <si>
    <t>【太陽光発電】</t>
  </si>
  <si>
    <t>【水力発電】</t>
  </si>
  <si>
    <t>【風力発電】</t>
  </si>
  <si>
    <t>【地熱発電】</t>
  </si>
  <si>
    <t>【バイオマス発電】</t>
  </si>
  <si>
    <t>【廃棄物発電】</t>
  </si>
  <si>
    <t>【その他発電】</t>
  </si>
  <si>
    <t>【民生部門電力以外の取組】</t>
  </si>
  <si>
    <t>検算</t>
    <rPh sb="0" eb="2">
      <t>ケンザン</t>
    </rPh>
    <phoneticPr fontId="1"/>
  </si>
  <si>
    <t>代表者数</t>
    <rPh sb="0" eb="3">
      <t>ダイヒョウシャ</t>
    </rPh>
    <rPh sb="3" eb="4">
      <t>スウ</t>
    </rPh>
    <phoneticPr fontId="1"/>
  </si>
  <si>
    <t>代表者
コンセプト合意</t>
    <rPh sb="0" eb="3">
      <t>ダイヒョウシャ</t>
    </rPh>
    <rPh sb="9" eb="11">
      <t>ゴウイ</t>
    </rPh>
    <phoneticPr fontId="1"/>
  </si>
  <si>
    <t>地方公共団体等と住民との個別協議</t>
    <rPh sb="0" eb="6">
      <t>チホウコウキョウダンタイ</t>
    </rPh>
    <rPh sb="6" eb="7">
      <t>ナド</t>
    </rPh>
    <rPh sb="8" eb="10">
      <t>ジュウミン</t>
    </rPh>
    <rPh sb="12" eb="16">
      <t>コベツキョウギ</t>
    </rPh>
    <phoneticPr fontId="1"/>
  </si>
  <si>
    <t>(事業への反応調査)</t>
    <rPh sb="1" eb="3">
      <t>ジギョウ</t>
    </rPh>
    <rPh sb="5" eb="9">
      <t>ハンノウチョウサ</t>
    </rPh>
    <phoneticPr fontId="1"/>
  </si>
  <si>
    <t>メリットやコスト/再エネ利用意向調査</t>
    <rPh sb="9" eb="10">
      <t>サイ</t>
    </rPh>
    <rPh sb="12" eb="16">
      <t>リヨウイコウ</t>
    </rPh>
    <rPh sb="16" eb="18">
      <t>チョウサ</t>
    </rPh>
    <phoneticPr fontId="1"/>
  </si>
  <si>
    <t>評価</t>
    <rPh sb="0" eb="2">
      <t>ヒョウカ</t>
    </rPh>
    <phoneticPr fontId="1"/>
  </si>
  <si>
    <t>点数(個別)</t>
    <rPh sb="0" eb="2">
      <t>テンスウ</t>
    </rPh>
    <rPh sb="3" eb="5">
      <t>コベツ</t>
    </rPh>
    <phoneticPr fontId="1"/>
  </si>
  <si>
    <t>【民生部門の電力需要家の状況（対象・施設数、直近年度の電力需要量等）】の表に記載の建物単位ごとに、需要家となる合意形成対象者との調整状況を記載してください。</t>
    <rPh sb="36" eb="37">
      <t>ヒョウ</t>
    </rPh>
    <phoneticPr fontId="1"/>
  </si>
  <si>
    <t>※懸念事項及びその対応策については、本エクセルには記載いただきますが、様式１(Word)に貼付する必要はありません。</t>
    <phoneticPr fontId="1"/>
  </si>
  <si>
    <t>地方公共団体等と住民との
個別協議</t>
    <rPh sb="0" eb="2">
      <t>チホウ</t>
    </rPh>
    <rPh sb="2" eb="4">
      <t>コウキョウ</t>
    </rPh>
    <rPh sb="4" eb="6">
      <t>ダンタイ</t>
    </rPh>
    <rPh sb="6" eb="7">
      <t>トウ</t>
    </rPh>
    <rPh sb="8" eb="10">
      <t>ジュウミン</t>
    </rPh>
    <rPh sb="13" eb="15">
      <t>コベツ</t>
    </rPh>
    <rPh sb="15" eb="17">
      <t>キョウギ</t>
    </rPh>
    <phoneticPr fontId="1"/>
  </si>
  <si>
    <t>入力カウント</t>
    <rPh sb="0" eb="2">
      <t>ニュウリョク</t>
    </rPh>
    <phoneticPr fontId="1"/>
  </si>
  <si>
    <t>戸建住宅</t>
    <rPh sb="0" eb="4">
      <t>コダテジュウタク</t>
    </rPh>
    <phoneticPr fontId="1"/>
  </si>
  <si>
    <t>遊休農地</t>
    <rPh sb="0" eb="2">
      <t>ユウキュウ</t>
    </rPh>
    <rPh sb="2" eb="4">
      <t>ノウチ</t>
    </rPh>
    <phoneticPr fontId="1"/>
  </si>
  <si>
    <t>ため池</t>
    <rPh sb="2" eb="3">
      <t>イケ</t>
    </rPh>
    <phoneticPr fontId="1"/>
  </si>
  <si>
    <t>施設管理者とテナント・店舗等との間の合意</t>
    <rPh sb="0" eb="2">
      <t>シセツ</t>
    </rPh>
    <rPh sb="2" eb="5">
      <t>カンリシャ</t>
    </rPh>
    <rPh sb="11" eb="13">
      <t>テンポ</t>
    </rPh>
    <rPh sb="13" eb="14">
      <t>ナド</t>
    </rPh>
    <rPh sb="16" eb="17">
      <t>アイダ</t>
    </rPh>
    <rPh sb="18" eb="20">
      <t>ゴウイ</t>
    </rPh>
    <phoneticPr fontId="1"/>
  </si>
  <si>
    <t>地方公共団体等と施設管理者との個別協議</t>
    <rPh sb="0" eb="2">
      <t>チホウ</t>
    </rPh>
    <rPh sb="2" eb="4">
      <t>コウキョウ</t>
    </rPh>
    <rPh sb="4" eb="6">
      <t>ダンタイ</t>
    </rPh>
    <rPh sb="6" eb="7">
      <t>トウ</t>
    </rPh>
    <rPh sb="8" eb="10">
      <t>シセツ</t>
    </rPh>
    <rPh sb="10" eb="13">
      <t>カンリシャ</t>
    </rPh>
    <rPh sb="15" eb="17">
      <t>コベツ</t>
    </rPh>
    <rPh sb="17" eb="19">
      <t>キョウギ</t>
    </rPh>
    <phoneticPr fontId="1"/>
  </si>
  <si>
    <t>施設管理者との合意/地方公共団体等と施設管理者との個別協議</t>
    <rPh sb="7" eb="9">
      <t>ゴウイ</t>
    </rPh>
    <rPh sb="10" eb="16">
      <t>チホウコウキョウダンタイ</t>
    </rPh>
    <rPh sb="16" eb="17">
      <t>ナド</t>
    </rPh>
    <rPh sb="18" eb="23">
      <t>シセツカンリシャ</t>
    </rPh>
    <rPh sb="25" eb="29">
      <t>コベツキョウギ</t>
    </rPh>
    <phoneticPr fontId="1"/>
  </si>
  <si>
    <t>メリットやコスト等を含めた事業方針の説明</t>
    <rPh sb="8" eb="9">
      <t>ナド</t>
    </rPh>
    <rPh sb="10" eb="11">
      <t>フク</t>
    </rPh>
    <rPh sb="13" eb="15">
      <t>ジギョウ</t>
    </rPh>
    <rPh sb="15" eb="17">
      <t>ホウシン</t>
    </rPh>
    <rPh sb="18" eb="20">
      <t>セツメイ</t>
    </rPh>
    <phoneticPr fontId="1"/>
  </si>
  <si>
    <t>メリットやコスト等を含めた事業方針への内諾</t>
  </si>
  <si>
    <t>メリットやコスト等を含めた事業方針への内諾</t>
    <phoneticPr fontId="1"/>
  </si>
  <si>
    <t>事業概要説明</t>
  </si>
  <si>
    <t>施設カウント</t>
    <rPh sb="0" eb="2">
      <t>シセツ</t>
    </rPh>
    <phoneticPr fontId="1"/>
  </si>
  <si>
    <t>住宅</t>
  </si>
  <si>
    <t>業務その他</t>
  </si>
  <si>
    <t>業務その他</t>
    <rPh sb="0" eb="2">
      <t>ギョウム</t>
    </rPh>
    <rPh sb="4" eb="5">
      <t>タ</t>
    </rPh>
    <phoneticPr fontId="1"/>
  </si>
  <si>
    <t>公共</t>
  </si>
  <si>
    <t>取組カウント</t>
    <rPh sb="0" eb="2">
      <t>トリクミ</t>
    </rPh>
    <phoneticPr fontId="1"/>
  </si>
  <si>
    <t>取組</t>
    <rPh sb="0" eb="2">
      <t>トリクミ</t>
    </rPh>
    <phoneticPr fontId="1"/>
  </si>
  <si>
    <t>合意形成進捗度</t>
    <rPh sb="0" eb="7">
      <t>ゴウイケイセイシンチョクド</t>
    </rPh>
    <phoneticPr fontId="1"/>
  </si>
  <si>
    <t>【民生部門の電力需要家の状況（対象・施設数、直近年度の電力需要量等）】の表に記載の建物単位ごとに、需要家となる合意形成対象者との調整状況を記載してください。</t>
    <phoneticPr fontId="1"/>
  </si>
  <si>
    <t>事業費</t>
    <rPh sb="0" eb="3">
      <t>ジギョウヒ</t>
    </rPh>
    <phoneticPr fontId="1"/>
  </si>
  <si>
    <t>必要額</t>
    <rPh sb="0" eb="3">
      <t>ヒツヨウガク</t>
    </rPh>
    <phoneticPr fontId="1"/>
  </si>
  <si>
    <t>check</t>
    <phoneticPr fontId="1"/>
  </si>
  <si>
    <t>Result</t>
    <phoneticPr fontId="1"/>
  </si>
  <si>
    <t>部門</t>
    <rPh sb="0" eb="2">
      <t>ブモン</t>
    </rPh>
    <phoneticPr fontId="1"/>
  </si>
  <si>
    <t>エリア面積</t>
    <rPh sb="3" eb="5">
      <t>メンセキ</t>
    </rPh>
    <phoneticPr fontId="1"/>
  </si>
  <si>
    <t>【「実質ゼロ」の計算結果】</t>
  </si>
  <si>
    <t>民生部門の電力需要量
(kWh/年)</t>
  </si>
  <si>
    <t>再エネなどの電力供給量
(kWh/年)</t>
  </si>
  <si>
    <t>省エネによる電力削減量
(kWh/年)</t>
  </si>
  <si>
    <t>＝</t>
  </si>
  <si>
    <t>＋</t>
  </si>
  <si>
    <t>【民生部門の電力需要家の状況】</t>
  </si>
  <si>
    <t>【再エネ等の電力調達に関する状況】</t>
  </si>
  <si>
    <t>【省エネによる電力削減に関する状況】</t>
  </si>
  <si>
    <t>直近電力需要量の合計</t>
  </si>
  <si>
    <t>自家消費、相対契約、再エネ電力メニュー、証書の電力供給量の合計</t>
  </si>
  <si>
    <t>省エネによる電力削減量の合計</t>
  </si>
  <si>
    <t>【参考情報】</t>
  </si>
  <si>
    <t>提案地方公共団体全体の民生電力需要量（kWh/年）</t>
  </si>
  <si>
    <t>再エネ等の電力供給量のうち当該地方公共団体の域外から調達する量（kWh/年）</t>
  </si>
  <si>
    <t>先行地域の上記に占める
割合(%)</t>
  </si>
  <si>
    <t>上記のうち証書以外の当該地方公共団体の域外から調達する再エネ電力量（kWh/年）</t>
  </si>
  <si>
    <t>（上記の合計）先行地域に供給される新規再エネ導入量及び既存の再エネ発電量合計（kWh/年）</t>
  </si>
  <si>
    <t>先行地域のある地方公共団体内で調達する再エネ等電力証書
（kWh/年）</t>
  </si>
  <si>
    <t>Filter対応</t>
    <rPh sb="6" eb="8">
      <t>タイオウ</t>
    </rPh>
    <phoneticPr fontId="1"/>
  </si>
  <si>
    <t>民生部門電力以外　【再エネ等の電力供給量のうち脱炭素先行地域がある地方公共団体で発電して消費する再エネ電力量の割合（地産地消割合）】</t>
    <rPh sb="0" eb="2">
      <t>ミンセイ</t>
    </rPh>
    <rPh sb="2" eb="4">
      <t>ブモン</t>
    </rPh>
    <rPh sb="4" eb="6">
      <t>デンリョク</t>
    </rPh>
    <rPh sb="6" eb="8">
      <t>イガイ</t>
    </rPh>
    <phoneticPr fontId="1"/>
  </si>
  <si>
    <r>
      <rPr>
        <b/>
        <sz val="11"/>
        <color theme="1"/>
        <rFont val="ＭＳ ゴシック"/>
        <family val="3"/>
        <charset val="128"/>
      </rPr>
      <t>民生部門電力</t>
    </r>
    <r>
      <rPr>
        <sz val="11"/>
        <color theme="1"/>
        <rFont val="ＭＳ ゴシック"/>
        <family val="3"/>
        <charset val="128"/>
      </rPr>
      <t>　【再エネ等の電力供給量のうち脱炭素先行地域がある地方公共団体で発電して消費する再エネ電力量の割合（地産地消割合）】</t>
    </r>
    <rPh sb="0" eb="4">
      <t>ミンセイブモン</t>
    </rPh>
    <rPh sb="4" eb="6">
      <t>デンリョク</t>
    </rPh>
    <phoneticPr fontId="1"/>
  </si>
  <si>
    <t>脱炭素先行地域がある地方公共団体内に設置された再エネ発電設備で発電して先行地域内の電力需要家が消費する再エネ電力量（※２）</t>
    <rPh sb="0" eb="1">
      <t>ダツ</t>
    </rPh>
    <rPh sb="1" eb="3">
      <t>タンソ</t>
    </rPh>
    <rPh sb="3" eb="5">
      <t>センコウ</t>
    </rPh>
    <rPh sb="5" eb="7">
      <t>チイキ</t>
    </rPh>
    <rPh sb="10" eb="12">
      <t>チホウ</t>
    </rPh>
    <rPh sb="12" eb="14">
      <t>コウキョウ</t>
    </rPh>
    <rPh sb="14" eb="16">
      <t>ダンタイ</t>
    </rPh>
    <rPh sb="16" eb="17">
      <t>ナイ</t>
    </rPh>
    <rPh sb="18" eb="20">
      <t>セッチ</t>
    </rPh>
    <rPh sb="23" eb="24">
      <t>サイ</t>
    </rPh>
    <rPh sb="26" eb="28">
      <t>ハツデン</t>
    </rPh>
    <rPh sb="28" eb="30">
      <t>セツビ</t>
    </rPh>
    <rPh sb="31" eb="33">
      <t>ハツデン</t>
    </rPh>
    <rPh sb="35" eb="37">
      <t>センコウ</t>
    </rPh>
    <rPh sb="37" eb="39">
      <t>チイキ</t>
    </rPh>
    <rPh sb="39" eb="40">
      <t>ナイ</t>
    </rPh>
    <rPh sb="41" eb="43">
      <t>デンリョク</t>
    </rPh>
    <rPh sb="43" eb="46">
      <t>ジュヨウカ</t>
    </rPh>
    <rPh sb="47" eb="49">
      <t>ショウヒ</t>
    </rPh>
    <rPh sb="51" eb="52">
      <t>サイ</t>
    </rPh>
    <rPh sb="54" eb="56">
      <t>デンリョク</t>
    </rPh>
    <rPh sb="56" eb="57">
      <t>リョウ</t>
    </rPh>
    <phoneticPr fontId="1"/>
  </si>
  <si>
    <t>【民生部門電力以外の排出削減等の取組】における表に記載されている取組の中で、民生部門以外の電力の取組について、「施設名」単位で各電力需要家に供給する再エネ電力の状況を下表に記載してください。</t>
    <phoneticPr fontId="1"/>
  </si>
  <si>
    <t>民生部門以外</t>
    <rPh sb="0" eb="6">
      <t>ミンセイブモンイガイ</t>
    </rPh>
    <phoneticPr fontId="1"/>
  </si>
  <si>
    <t>民生部門の再エネ等の電力調達に関する状況</t>
    <rPh sb="0" eb="2">
      <t>ミンセイ</t>
    </rPh>
    <rPh sb="2" eb="4">
      <t>ブモン</t>
    </rPh>
    <phoneticPr fontId="1"/>
  </si>
  <si>
    <t>Filter対応</t>
    <phoneticPr fontId="1"/>
  </si>
  <si>
    <t>4.2 CO2排出の実質ゼロの取組 / 4.3 民生部門電力以外の温室効果ガス排出削減等の取組</t>
    <rPh sb="7" eb="9">
      <t>ハイシュツ</t>
    </rPh>
    <rPh sb="10" eb="12">
      <t>ジッシツ</t>
    </rPh>
    <rPh sb="15" eb="16">
      <t>ト</t>
    </rPh>
    <rPh sb="16" eb="17">
      <t>ク</t>
    </rPh>
    <phoneticPr fontId="1"/>
  </si>
  <si>
    <t>民生部門電力　【再エネ等の電力供給量のうち脱炭素先行地域がある地方公共団体で発電して消費する再エネ電力量の割合（地産地消割合）】</t>
    <rPh sb="0" eb="4">
      <t>ミンセイブモン</t>
    </rPh>
    <rPh sb="4" eb="6">
      <t>デンリョク</t>
    </rPh>
    <phoneticPr fontId="1"/>
  </si>
  <si>
    <t>タグ</t>
    <phoneticPr fontId="1"/>
  </si>
  <si>
    <t>除外後の導入可能量（①－②）(kW)</t>
    <phoneticPr fontId="1"/>
  </si>
  <si>
    <t>除外量(kW)</t>
    <phoneticPr fontId="1"/>
  </si>
  <si>
    <t>再エネ導入可能量を踏まえた提案地方公共団体内における新規導入予定の再エネ発電設備について、</t>
    <rPh sb="0" eb="1">
      <t>サイ</t>
    </rPh>
    <rPh sb="3" eb="8">
      <t>ドウニュウカノウリョウ</t>
    </rPh>
    <phoneticPr fontId="1"/>
  </si>
  <si>
    <t>基本情報（設置場所、設置者、設備能力、契約電力区分等）に加え、「基幹発電設備」と「設備導入の実現可能性」を記載してください。</t>
    <phoneticPr fontId="1"/>
  </si>
  <si>
    <t>住宅
(Filter)</t>
    <rPh sb="0" eb="2">
      <t>ジュウタク</t>
    </rPh>
    <phoneticPr fontId="1"/>
  </si>
  <si>
    <t>業務その他
(Filter)</t>
    <rPh sb="0" eb="2">
      <t>ギョウム</t>
    </rPh>
    <rPh sb="4" eb="5">
      <t>タ</t>
    </rPh>
    <phoneticPr fontId="1"/>
  </si>
  <si>
    <t>公共
(Filter)</t>
    <rPh sb="0" eb="2">
      <t>コウキョウ</t>
    </rPh>
    <phoneticPr fontId="1"/>
  </si>
  <si>
    <t>取組
(Filter)</t>
    <rPh sb="0" eb="2">
      <t>トリクミ</t>
    </rPh>
    <phoneticPr fontId="1"/>
  </si>
  <si>
    <t>＃</t>
    <phoneticPr fontId="1"/>
  </si>
  <si>
    <t>手入力</t>
    <rPh sb="0" eb="3">
      <t>テニュウリョク</t>
    </rPh>
    <phoneticPr fontId="1"/>
  </si>
  <si>
    <t>設備導入の実現可能性</t>
    <rPh sb="0" eb="2">
      <t>セツビ</t>
    </rPh>
    <rPh sb="2" eb="3">
      <t>シルベ</t>
    </rPh>
    <rPh sb="4" eb="6">
      <t>ジツゲン</t>
    </rPh>
    <rPh sb="6" eb="8">
      <t>カノウ</t>
    </rPh>
    <rPh sb="8" eb="9">
      <t>セイ</t>
    </rPh>
    <phoneticPr fontId="1"/>
  </si>
  <si>
    <t>設備導入の実現可能性</t>
    <rPh sb="0" eb="4">
      <t>セツビドウニュウ</t>
    </rPh>
    <rPh sb="4" eb="9">
      <t>ジツゲンカノウセイ</t>
    </rPh>
    <phoneticPr fontId="1"/>
  </si>
  <si>
    <t>民生
需要家数</t>
    <rPh sb="0" eb="2">
      <t>ミンセイ</t>
    </rPh>
    <rPh sb="3" eb="6">
      <t>ジュヨウカ</t>
    </rPh>
    <rPh sb="6" eb="7">
      <t>スウ</t>
    </rPh>
    <phoneticPr fontId="48"/>
  </si>
  <si>
    <t>再エネ情報提供システム（REPOS）などの算出ツールや衛星写真の活用、独自の調査により算出した脱炭素先行地域がある地方公共団体内の再エネ賦存量のうち、
生態系をはじめとした自然環境や景観等への影響を回避又は極力低減するとともに、災害防止や経済合理性、その他支障の有無も踏まえ、除外すべきものを除いた実際の導入可能な量を、
再エネの種類ごとに定量的に記載してください。</t>
    <phoneticPr fontId="1"/>
  </si>
  <si>
    <t>施設は各対象の区分の中で可能な限りまとめて記載してください。</t>
    <phoneticPr fontId="1"/>
  </si>
  <si>
    <t>地域の特性に応じ、民生部門の電力以外で、地球温暖化対策計画とも整合する温室効果ガスの削減に資する取組を、</t>
    <phoneticPr fontId="1"/>
  </si>
  <si>
    <t>少なくとも１つ以上記載してください。</t>
    <phoneticPr fontId="1"/>
  </si>
  <si>
    <t>注意喚起</t>
    <rPh sb="0" eb="2">
      <t>チュウイ</t>
    </rPh>
    <rPh sb="2" eb="4">
      <t>カンキ</t>
    </rPh>
    <phoneticPr fontId="1"/>
  </si>
  <si>
    <t>Excelの操作中に、左記のような「注意メッセージ」が出ることがあります。</t>
    <rPh sb="6" eb="8">
      <t>ソウサ</t>
    </rPh>
    <rPh sb="8" eb="9">
      <t>チュウ</t>
    </rPh>
    <rPh sb="11" eb="13">
      <t>サキ</t>
    </rPh>
    <rPh sb="18" eb="20">
      <t>チュウイ</t>
    </rPh>
    <rPh sb="27" eb="28">
      <t>デ</t>
    </rPh>
    <phoneticPr fontId="1"/>
  </si>
  <si>
    <t>その際は、必ず「OK」を選択してください。</t>
    <rPh sb="2" eb="3">
      <t>サイ</t>
    </rPh>
    <rPh sb="5" eb="6">
      <t>カナラ</t>
    </rPh>
    <rPh sb="12" eb="14">
      <t>センタク</t>
    </rPh>
    <phoneticPr fontId="1"/>
  </si>
  <si>
    <t>「キャンセル」を選択すると、行追加・削除の動作が止まる恐れがあります。</t>
    <rPh sb="8" eb="10">
      <t>センタク</t>
    </rPh>
    <rPh sb="14" eb="17">
      <t>ギョウツイカ</t>
    </rPh>
    <rPh sb="18" eb="20">
      <t>サクジョ</t>
    </rPh>
    <rPh sb="21" eb="23">
      <t>ドウサ</t>
    </rPh>
    <rPh sb="24" eb="25">
      <t>ト</t>
    </rPh>
    <rPh sb="27" eb="28">
      <t>オソ</t>
    </rPh>
    <phoneticPr fontId="1"/>
  </si>
  <si>
    <t>低圧</t>
    <rPh sb="0" eb="2">
      <t>テイアツ</t>
    </rPh>
    <phoneticPr fontId="1"/>
  </si>
  <si>
    <t>①～③
合意数
加点</t>
    <rPh sb="4" eb="7">
      <t>ゴウイスウ</t>
    </rPh>
    <rPh sb="8" eb="10">
      <t>カテン</t>
    </rPh>
    <phoneticPr fontId="1"/>
  </si>
  <si>
    <t>必要に応じて、行をコピー＆挿入・削除してください。</t>
  </si>
  <si>
    <t>取組ごとに関係者となる、合意形成対象者との調整状況を記載してください。
需要家として合意形成が必要と考えられる全ての対象者について、記載してください。必要に応じて、行をコピー＆挿入・削除してください。
※懸念事項及びその対応策については、本エクセルには記載いただきますが、様式１(Word)に貼付する必要はありません。</t>
  </si>
  <si>
    <t>【再エネ等の電力調達に関する状況】の電力供給量の合計</t>
    <rPh sb="1" eb="2">
      <t>サイ</t>
    </rPh>
    <rPh sb="4" eb="5">
      <t>ナド</t>
    </rPh>
    <rPh sb="6" eb="8">
      <t>デンリョク</t>
    </rPh>
    <rPh sb="8" eb="10">
      <t>チョウタツ</t>
    </rPh>
    <rPh sb="11" eb="12">
      <t>カン</t>
    </rPh>
    <rPh sb="14" eb="16">
      <t>ジョウキョウ</t>
    </rPh>
    <rPh sb="18" eb="20">
      <t>デンリョク</t>
    </rPh>
    <rPh sb="20" eb="22">
      <t>キョウキュウ</t>
    </rPh>
    <rPh sb="22" eb="23">
      <t>リョウ</t>
    </rPh>
    <rPh sb="24" eb="26">
      <t>ゴウケイ</t>
    </rPh>
    <phoneticPr fontId="1"/>
  </si>
  <si>
    <t>行の追加方法について</t>
    <rPh sb="0" eb="1">
      <t>ギョウ</t>
    </rPh>
    <rPh sb="2" eb="4">
      <t>ツイカ</t>
    </rPh>
    <rPh sb="4" eb="6">
      <t>ホウホウ</t>
    </rPh>
    <phoneticPr fontId="1"/>
  </si>
  <si>
    <t>②右クリック→コピー</t>
    <rPh sb="1" eb="2">
      <t>ミギ</t>
    </rPh>
    <phoneticPr fontId="1"/>
  </si>
  <si>
    <r>
      <t>①追加したい箇所の</t>
    </r>
    <r>
      <rPr>
        <b/>
        <sz val="16"/>
        <color rgb="FFFF0000"/>
        <rFont val="游ゴシック"/>
        <family val="3"/>
        <charset val="128"/>
        <scheme val="minor"/>
      </rPr>
      <t>行全体</t>
    </r>
    <r>
      <rPr>
        <b/>
        <sz val="16"/>
        <color theme="1"/>
        <rFont val="游ゴシック"/>
        <family val="3"/>
        <charset val="128"/>
        <scheme val="minor"/>
      </rPr>
      <t>を選択(未入力の行を選択してください)</t>
    </r>
    <rPh sb="1" eb="3">
      <t>ツイカ</t>
    </rPh>
    <rPh sb="6" eb="8">
      <t>カショ</t>
    </rPh>
    <rPh sb="9" eb="10">
      <t>ギョウ</t>
    </rPh>
    <rPh sb="10" eb="12">
      <t>ゼンタイ</t>
    </rPh>
    <rPh sb="13" eb="15">
      <t>センタク</t>
    </rPh>
    <rPh sb="16" eb="19">
      <t>ミニュウリョク</t>
    </rPh>
    <rPh sb="20" eb="21">
      <t>ギョウ</t>
    </rPh>
    <rPh sb="22" eb="24">
      <t>センタク</t>
    </rPh>
    <phoneticPr fontId="1"/>
  </si>
  <si>
    <t>③コピーした行全体を再度選択し、「コピーしたセルの挿入」</t>
    <phoneticPr fontId="1"/>
  </si>
  <si>
    <t>セルの色について</t>
    <rPh sb="3" eb="4">
      <t>イロ</t>
    </rPh>
    <phoneticPr fontId="1"/>
  </si>
  <si>
    <t>入力対象セル</t>
    <rPh sb="0" eb="4">
      <t>ニュウリョクタイショウ</t>
    </rPh>
    <phoneticPr fontId="1"/>
  </si>
  <si>
    <t>自動入力セル</t>
    <rPh sb="0" eb="2">
      <t>ジドウ</t>
    </rPh>
    <rPh sb="2" eb="4">
      <t>ニュウリョク</t>
    </rPh>
    <phoneticPr fontId="1"/>
  </si>
  <si>
    <t>水色のセルは原則入力不要ですが、万が一、計算結果等が正しく反映されない場合は、直接編集ください。</t>
    <rPh sb="0" eb="2">
      <t>ミズイロ</t>
    </rPh>
    <rPh sb="6" eb="8">
      <t>ゲンソク</t>
    </rPh>
    <rPh sb="8" eb="12">
      <t>ニュウリョクフヨウ</t>
    </rPh>
    <rPh sb="16" eb="17">
      <t>マン</t>
    </rPh>
    <rPh sb="18" eb="19">
      <t>イチ</t>
    </rPh>
    <rPh sb="20" eb="24">
      <t>ケイサンケッカ</t>
    </rPh>
    <rPh sb="24" eb="25">
      <t>ナド</t>
    </rPh>
    <rPh sb="26" eb="27">
      <t>タダ</t>
    </rPh>
    <rPh sb="29" eb="31">
      <t>ハンエイ</t>
    </rPh>
    <rPh sb="35" eb="37">
      <t>バアイ</t>
    </rPh>
    <rPh sb="39" eb="41">
      <t>チョクセツ</t>
    </rPh>
    <rPh sb="41" eb="43">
      <t>ヘンシュウ</t>
    </rPh>
    <phoneticPr fontId="1"/>
  </si>
  <si>
    <t>入力が必要なセルと、入力したセルの内容によって自動で計算結果等が反映されるセルを色分けしています。</t>
    <rPh sb="0" eb="2">
      <t>ニュウリョク</t>
    </rPh>
    <rPh sb="3" eb="5">
      <t>ヒツヨウ</t>
    </rPh>
    <rPh sb="10" eb="12">
      <t>ニュウリョク</t>
    </rPh>
    <rPh sb="17" eb="19">
      <t>ナイヨウ</t>
    </rPh>
    <rPh sb="23" eb="25">
      <t>ジドウ</t>
    </rPh>
    <rPh sb="26" eb="28">
      <t>ケイサン</t>
    </rPh>
    <rPh sb="28" eb="30">
      <t>ケッカ</t>
    </rPh>
    <rPh sb="30" eb="31">
      <t>ナド</t>
    </rPh>
    <rPh sb="32" eb="34">
      <t>ハンエイ</t>
    </rPh>
    <rPh sb="40" eb="42">
      <t>イロワ</t>
    </rPh>
    <phoneticPr fontId="1"/>
  </si>
  <si>
    <t>○○エリア</t>
  </si>
  <si>
    <t>（水色セルを直接編集した場合、オレンジで色付けされることがあります）</t>
    <rPh sb="1" eb="3">
      <t>ミズイロ</t>
    </rPh>
    <rPh sb="6" eb="8">
      <t>チョクセツ</t>
    </rPh>
    <rPh sb="8" eb="10">
      <t>ヘンシュウ</t>
    </rPh>
    <rPh sb="12" eb="14">
      <t>バアイ</t>
    </rPh>
    <rPh sb="20" eb="22">
      <t>イロヅ</t>
    </rPh>
    <phoneticPr fontId="1"/>
  </si>
  <si>
    <t>表入力に際して、あらかじめ用意されている行数では足りない場合、以下の手順で行を追加ください。</t>
    <rPh sb="0" eb="3">
      <t>ヒョウニュウリョク</t>
    </rPh>
    <rPh sb="4" eb="5">
      <t>サイ</t>
    </rPh>
    <rPh sb="13" eb="15">
      <t>ヨウイ</t>
    </rPh>
    <rPh sb="20" eb="22">
      <t>ギョウスウ</t>
    </rPh>
    <rPh sb="24" eb="25">
      <t>タ</t>
    </rPh>
    <rPh sb="28" eb="30">
      <t>バアイ</t>
    </rPh>
    <rPh sb="31" eb="33">
      <t>イカ</t>
    </rPh>
    <rPh sb="34" eb="36">
      <t>テジュン</t>
    </rPh>
    <rPh sb="37" eb="38">
      <t>ギョウ</t>
    </rPh>
    <rPh sb="39" eb="41">
      <t>ツイカ</t>
    </rPh>
    <phoneticPr fontId="1"/>
  </si>
  <si>
    <r>
      <t>4.2 再エネ等の電力供給に関する状況（施設名・施設数、調達方法 、電力供給量）　</t>
    </r>
    <r>
      <rPr>
        <b/>
        <sz val="11"/>
        <color rgb="FFFF0000"/>
        <rFont val="ＭＳ ゴシック"/>
        <family val="3"/>
        <charset val="128"/>
      </rPr>
      <t>民生部門</t>
    </r>
    <rPh sb="20" eb="23">
      <t>シセツメイ</t>
    </rPh>
    <rPh sb="41" eb="43">
      <t>ミンセイ</t>
    </rPh>
    <rPh sb="43" eb="45">
      <t>ブモン</t>
    </rPh>
    <phoneticPr fontId="1"/>
  </si>
  <si>
    <t>※「行全体を右クリック」→「挿入」はおこなわないでください。左記手順で挿入を行った場合、下図のように追加行が赤く塗りつぶされますので、</t>
    <rPh sb="2" eb="3">
      <t>ギョウ</t>
    </rPh>
    <rPh sb="3" eb="5">
      <t>ゼンタイ</t>
    </rPh>
    <rPh sb="6" eb="7">
      <t>ミギ</t>
    </rPh>
    <rPh sb="14" eb="16">
      <t>ソウニュウ</t>
    </rPh>
    <rPh sb="30" eb="34">
      <t>サキテジュン</t>
    </rPh>
    <rPh sb="35" eb="37">
      <t>ソウニュウ</t>
    </rPh>
    <rPh sb="38" eb="39">
      <t>オコナ</t>
    </rPh>
    <rPh sb="41" eb="43">
      <t>バアイ</t>
    </rPh>
    <rPh sb="44" eb="46">
      <t>カズ</t>
    </rPh>
    <rPh sb="50" eb="52">
      <t>ツイカ</t>
    </rPh>
    <rPh sb="52" eb="53">
      <t>ギョウ</t>
    </rPh>
    <rPh sb="54" eb="55">
      <t>アカ</t>
    </rPh>
    <rPh sb="56" eb="57">
      <t>ヌ</t>
    </rPh>
    <phoneticPr fontId="1"/>
  </si>
  <si>
    <t>「Ctrl+Z」等で操作をもとに戻し、再度上記手順から追加をお願いいたします。</t>
    <rPh sb="8" eb="9">
      <t>ナド</t>
    </rPh>
    <rPh sb="19" eb="21">
      <t>サイド</t>
    </rPh>
    <rPh sb="21" eb="23">
      <t>ジョウキ</t>
    </rPh>
    <rPh sb="23" eb="25">
      <t>テジュン</t>
    </rPh>
    <rPh sb="27" eb="29">
      <t>ツイカ</t>
    </rPh>
    <rPh sb="31" eb="32">
      <t>ネガ</t>
    </rPh>
    <phoneticPr fontId="1"/>
  </si>
  <si>
    <t>事業費
（千円）</t>
    <rPh sb="0" eb="3">
      <t>ジギョウヒ</t>
    </rPh>
    <rPh sb="5" eb="7">
      <t>センエン</t>
    </rPh>
    <phoneticPr fontId="1"/>
  </si>
  <si>
    <t>事業費（年度合計）（千円）</t>
    <rPh sb="0" eb="2">
      <t>ジギョウ</t>
    </rPh>
    <rPh sb="2" eb="3">
      <t>ヒ</t>
    </rPh>
    <rPh sb="5" eb="7">
      <t>ネンド</t>
    </rPh>
    <rPh sb="7" eb="9">
      <t>ゴウケイ</t>
    </rPh>
    <rPh sb="11" eb="13">
      <t>センエン</t>
    </rPh>
    <phoneticPr fontId="1"/>
  </si>
  <si>
    <t>(小計)
温室効果ガス
排出削減量
(t-CO2/年)</t>
    <phoneticPr fontId="1"/>
  </si>
  <si>
    <t>(低圧)申込準備完了</t>
    <rPh sb="1" eb="3">
      <t>テイアツ</t>
    </rPh>
    <rPh sb="4" eb="5">
      <t>モウ</t>
    </rPh>
    <rPh sb="5" eb="6">
      <t>コ</t>
    </rPh>
    <rPh sb="6" eb="8">
      <t>ジュンビ</t>
    </rPh>
    <rPh sb="8" eb="10">
      <t>カンリョウ</t>
    </rPh>
    <phoneticPr fontId="1"/>
  </si>
  <si>
    <t>(低圧)申込準備開始</t>
    <rPh sb="1" eb="3">
      <t>テイアツ</t>
    </rPh>
    <rPh sb="4" eb="5">
      <t>モウ</t>
    </rPh>
    <rPh sb="5" eb="6">
      <t>コ</t>
    </rPh>
    <rPh sb="6" eb="8">
      <t>ジュンビ</t>
    </rPh>
    <rPh sb="8" eb="10">
      <t>カイシ</t>
    </rPh>
    <phoneticPr fontId="1"/>
  </si>
  <si>
    <t>(単独)事前相談(書面等での接続可能性確認)開始</t>
    <rPh sb="22" eb="24">
      <t>カイシ</t>
    </rPh>
    <phoneticPr fontId="1"/>
  </si>
  <si>
    <t>(単独)接続検討申込開始</t>
    <rPh sb="10" eb="12">
      <t>カイシ</t>
    </rPh>
    <phoneticPr fontId="1"/>
  </si>
  <si>
    <t>(単独)契約申込開始</t>
    <rPh sb="8" eb="10">
      <t>カイシ</t>
    </rPh>
    <phoneticPr fontId="1"/>
  </si>
  <si>
    <t>(一括)再接続検討開始</t>
    <rPh sb="9" eb="11">
      <t>カイシ</t>
    </rPh>
    <phoneticPr fontId="1"/>
  </si>
  <si>
    <t>(一括)契約申込開始</t>
    <rPh sb="8" eb="10">
      <t>カイシ</t>
    </rPh>
    <phoneticPr fontId="1"/>
  </si>
  <si>
    <t>(一括)契約申込済</t>
    <phoneticPr fontId="1"/>
  </si>
  <si>
    <t>(一括)工事費負担金入金済</t>
    <phoneticPr fontId="1"/>
  </si>
  <si>
    <t>(一括)応募済</t>
    <phoneticPr fontId="1"/>
  </si>
  <si>
    <t>(一括)接続検討開始</t>
    <rPh sb="8" eb="9">
      <t>カイ</t>
    </rPh>
    <phoneticPr fontId="1"/>
  </si>
  <si>
    <t>(一括)接続検討済</t>
    <phoneticPr fontId="1"/>
  </si>
  <si>
    <t>(一括)再接続検討済</t>
    <phoneticPr fontId="1"/>
  </si>
  <si>
    <t>検討不要</t>
    <phoneticPr fontId="1"/>
  </si>
  <si>
    <t>(単独)事業内容・コンセプト等共有済</t>
    <phoneticPr fontId="1"/>
  </si>
  <si>
    <t>検討未実施</t>
  </si>
  <si>
    <t>4.1(2)新規再エネ導入量合計（kWh/年）</t>
    <rPh sb="6" eb="8">
      <t>シンキ</t>
    </rPh>
    <rPh sb="8" eb="9">
      <t>サイ</t>
    </rPh>
    <rPh sb="11" eb="13">
      <t>ドウニュウ</t>
    </rPh>
    <rPh sb="13" eb="14">
      <t>リョウ</t>
    </rPh>
    <rPh sb="14" eb="16">
      <t>ゴウケイ</t>
    </rPh>
    <rPh sb="21" eb="22">
      <t>ネン</t>
    </rPh>
    <phoneticPr fontId="1"/>
  </si>
  <si>
    <t>4.1(3)利用可能な既存の再エネ発電量のうち、先行地域に供給される電力量合計（kWh/年）</t>
    <rPh sb="6" eb="8">
      <t>リヨウ</t>
    </rPh>
    <rPh sb="8" eb="10">
      <t>カノウ</t>
    </rPh>
    <rPh sb="11" eb="13">
      <t>キゾン</t>
    </rPh>
    <rPh sb="14" eb="15">
      <t>サイ</t>
    </rPh>
    <rPh sb="17" eb="19">
      <t>ハツデン</t>
    </rPh>
    <rPh sb="19" eb="20">
      <t>リョウ</t>
    </rPh>
    <rPh sb="24" eb="26">
      <t>センコウ</t>
    </rPh>
    <rPh sb="26" eb="28">
      <t>チイキ</t>
    </rPh>
    <rPh sb="28" eb="30">
      <t>キョウキュウ</t>
    </rPh>
    <rPh sb="33" eb="36">
      <t>デンリョクリョウ</t>
    </rPh>
    <rPh sb="37" eb="39">
      <t>ゴウケイ</t>
    </rPh>
    <rPh sb="44" eb="45">
      <t>ネン</t>
    </rPh>
    <phoneticPr fontId="1"/>
  </si>
  <si>
    <t>〇〇発電(こちらに発電方式を記載ください)</t>
    <rPh sb="2" eb="4">
      <t>ハツデン</t>
    </rPh>
    <rPh sb="9" eb="13">
      <t>ハツデンホウシキ</t>
    </rPh>
    <rPh sb="14" eb="16">
      <t>キサイ</t>
    </rPh>
    <phoneticPr fontId="1"/>
  </si>
  <si>
    <t>接続状況(低圧)</t>
    <rPh sb="0" eb="4">
      <t>セツゾクジョウキョウ</t>
    </rPh>
    <rPh sb="5" eb="7">
      <t>テイアツ</t>
    </rPh>
    <phoneticPr fontId="1"/>
  </si>
  <si>
    <t>接続状況(高圧・特別高圧)</t>
    <rPh sb="0" eb="4">
      <t>セツゾクジョウキョウ</t>
    </rPh>
    <rPh sb="5" eb="7">
      <t>コウアツ</t>
    </rPh>
    <rPh sb="8" eb="12">
      <t>トクベツコウアツ</t>
    </rPh>
    <phoneticPr fontId="1"/>
  </si>
  <si>
    <t>①産業部門（工業、農林水産業等）</t>
    <phoneticPr fontId="1"/>
  </si>
  <si>
    <t>②熱利用・供給</t>
    <phoneticPr fontId="1"/>
  </si>
  <si>
    <t>③運輸部門（自動車・交通 /EV・FCV・EVスタンド等）</t>
    <phoneticPr fontId="1"/>
  </si>
  <si>
    <t>なお、事務執行費を計上予定の場合は忘れず記載してください。</t>
    <phoneticPr fontId="1"/>
  </si>
  <si>
    <t>別途、作成の｢費用効率性算出シート（Excel形式）｣の同一の事業は、事業費・必要額の合計金額が一致するように注意してください。</t>
    <phoneticPr fontId="1"/>
  </si>
  <si>
    <t>当該地方公共団体の域外から調達する量</t>
    <rPh sb="0" eb="2">
      <t>トウガイ</t>
    </rPh>
    <rPh sb="2" eb="4">
      <t>チホウ</t>
    </rPh>
    <rPh sb="4" eb="6">
      <t>コウキョウ</t>
    </rPh>
    <rPh sb="6" eb="8">
      <t>ダンタイ</t>
    </rPh>
    <rPh sb="9" eb="11">
      <t>イキガイ</t>
    </rPh>
    <rPh sb="13" eb="15">
      <t>チョウタツ</t>
    </rPh>
    <rPh sb="17" eb="18">
      <t>リョウ</t>
    </rPh>
    <phoneticPr fontId="1"/>
  </si>
  <si>
    <t>(kWh/年)</t>
  </si>
  <si>
    <t>省エネによる
電力削減量
(kWh/年)</t>
    <rPh sb="0" eb="1">
      <t>ショウ</t>
    </rPh>
    <rPh sb="7" eb="12">
      <t>デンリョクサクゲンリョウ</t>
    </rPh>
    <rPh sb="18" eb="19">
      <t>ネン</t>
    </rPh>
    <phoneticPr fontId="1"/>
  </si>
  <si>
    <t>6.2関係者との合意形成状況</t>
  </si>
  <si>
    <t>4.3電力供給状況(民生部門電力以外)</t>
  </si>
  <si>
    <t>4.3民生部門電力以外の取組</t>
  </si>
  <si>
    <t>4.3民生部門電力以外の排出削減取組</t>
  </si>
  <si>
    <t>4.2電力削減量</t>
  </si>
  <si>
    <t>4.2地産地消割合</t>
  </si>
  <si>
    <t>4.2電力供給状況(民生部門)</t>
  </si>
  <si>
    <t>4.2需要家合意形成状況(公共)</t>
  </si>
  <si>
    <t>4.2需要家合意形成状況(民生・業務その他)</t>
  </si>
  <si>
    <t>4.2需要家合意形成状況(住宅)</t>
  </si>
  <si>
    <t>4.2民生電力需要量</t>
  </si>
  <si>
    <t>4.2実質ゼロ(サマリ)</t>
  </si>
  <si>
    <t>4.2対象地域の民生需要家数等</t>
  </si>
  <si>
    <t>4.2実質ゼロ(計算結果)</t>
  </si>
  <si>
    <t>4.1(3)活用可能な既存の再エネ発電設備</t>
  </si>
  <si>
    <t>4.1(2)新規の再エネ発電設備の導入(別表)</t>
  </si>
  <si>
    <t>4.1(2)新規再エネ導入予定(合意形成)</t>
  </si>
  <si>
    <t>4.1(2)新規再エネ導入予定(FS調査、系統接続検討状況)</t>
  </si>
  <si>
    <t>4.1(2)新規再エネ導入予定（設備情報）</t>
  </si>
  <si>
    <t>4.1(1)再エネ導入可能量</t>
  </si>
  <si>
    <t>3.4活用想定補助金(年度別)</t>
  </si>
  <si>
    <t>3.4活用想定補助金(事業別)</t>
  </si>
  <si>
    <t>1.1対象エリアの規模等</t>
  </si>
  <si>
    <t>表紙</t>
    <phoneticPr fontId="1"/>
  </si>
  <si>
    <t>sheet</t>
    <phoneticPr fontId="1"/>
  </si>
  <si>
    <t>1_1</t>
    <phoneticPr fontId="1"/>
  </si>
  <si>
    <t>2_1</t>
    <phoneticPr fontId="1"/>
  </si>
  <si>
    <t>3_1</t>
    <phoneticPr fontId="1"/>
  </si>
  <si>
    <t>4_1</t>
    <phoneticPr fontId="1"/>
  </si>
  <si>
    <t>5_1</t>
    <phoneticPr fontId="1"/>
  </si>
  <si>
    <t>6_1</t>
    <phoneticPr fontId="1"/>
  </si>
  <si>
    <t>7_1</t>
    <phoneticPr fontId="1"/>
  </si>
  <si>
    <t>8_1</t>
    <phoneticPr fontId="1"/>
  </si>
  <si>
    <t>入力漏れなし</t>
    <rPh sb="0" eb="2">
      <t>ニュウリョク</t>
    </rPh>
    <rPh sb="2" eb="3">
      <t>モ</t>
    </rPh>
    <phoneticPr fontId="1"/>
  </si>
  <si>
    <t>合意状況</t>
    <rPh sb="0" eb="2">
      <t>ゴウイ</t>
    </rPh>
    <rPh sb="2" eb="4">
      <t>ジョウキョウ</t>
    </rPh>
    <phoneticPr fontId="1"/>
  </si>
  <si>
    <t>result</t>
    <phoneticPr fontId="1"/>
  </si>
  <si>
    <t>【再エネ等の電力調達に関する状況】の電力供給量の合計</t>
    <rPh sb="1" eb="2">
      <t>サイ</t>
    </rPh>
    <rPh sb="4" eb="5">
      <t>ナド</t>
    </rPh>
    <rPh sb="6" eb="8">
      <t>デンリョク</t>
    </rPh>
    <rPh sb="8" eb="10">
      <t>チョウタツ</t>
    </rPh>
    <rPh sb="11" eb="12">
      <t>カン</t>
    </rPh>
    <rPh sb="14" eb="16">
      <t>ジョウキョウ</t>
    </rPh>
    <rPh sb="18" eb="20">
      <t>デンリョク</t>
    </rPh>
    <rPh sb="20" eb="22">
      <t>キョウキュウ</t>
    </rPh>
    <rPh sb="22" eb="23">
      <t>リョウ</t>
    </rPh>
    <rPh sb="24" eb="25">
      <t>ゴウ</t>
    </rPh>
    <phoneticPr fontId="1"/>
  </si>
  <si>
    <t>入力漏れなし</t>
    <rPh sb="0" eb="3">
      <t>ニュウリョクモ</t>
    </rPh>
    <phoneticPr fontId="1"/>
  </si>
  <si>
    <t>No.</t>
    <phoneticPr fontId="1"/>
  </si>
  <si>
    <t>主たる提案者</t>
    <rPh sb="0" eb="1">
      <t>シュ</t>
    </rPh>
    <rPh sb="3" eb="6">
      <t>テイアンシャ</t>
    </rPh>
    <phoneticPr fontId="1"/>
  </si>
  <si>
    <t>バイオマス
発電量
(kWh/年)</t>
    <rPh sb="6" eb="9">
      <t>ハツデンリョウ</t>
    </rPh>
    <phoneticPr fontId="1"/>
  </si>
  <si>
    <t>非再エネ</t>
    <rPh sb="0" eb="1">
      <t>ヒ</t>
    </rPh>
    <rPh sb="1" eb="2">
      <t>サイ</t>
    </rPh>
    <phoneticPr fontId="1"/>
  </si>
  <si>
    <t>再エネ</t>
    <rPh sb="0" eb="1">
      <t>サイ</t>
    </rPh>
    <phoneticPr fontId="1"/>
  </si>
  <si>
    <t>電力調達量
(kWh/年)</t>
    <rPh sb="2" eb="4">
      <t>チョウタツ</t>
    </rPh>
    <phoneticPr fontId="1"/>
  </si>
  <si>
    <t>電力調達量
(kWh/年)</t>
    <rPh sb="0" eb="2">
      <t>デンリョク</t>
    </rPh>
    <rPh sb="2" eb="4">
      <t>チョウタツ</t>
    </rPh>
    <rPh sb="4" eb="5">
      <t>リョウ</t>
    </rPh>
    <rPh sb="11" eb="12">
      <t>ネン</t>
    </rPh>
    <phoneticPr fontId="1"/>
  </si>
  <si>
    <t>需要量
(kWh/年)</t>
    <rPh sb="0" eb="3">
      <t>ジュヨウリョウ</t>
    </rPh>
    <phoneticPr fontId="1"/>
  </si>
  <si>
    <t>電力</t>
    <phoneticPr fontId="1"/>
  </si>
  <si>
    <t>再エネ
電力調達量
(kWh/年)</t>
    <rPh sb="0" eb="1">
      <t>サイ</t>
    </rPh>
    <rPh sb="6" eb="8">
      <t>チョウタツ</t>
    </rPh>
    <phoneticPr fontId="1"/>
  </si>
  <si>
    <t>非再エネ
電力調達量
(kWh/年)</t>
    <rPh sb="0" eb="1">
      <t>ヒ</t>
    </rPh>
    <phoneticPr fontId="1"/>
  </si>
  <si>
    <r>
      <t xml:space="preserve">4.3 再エネ等の電力供給に関する状況（施設名・施設数、調達方法 、電力供給量） </t>
    </r>
    <r>
      <rPr>
        <b/>
        <sz val="11"/>
        <color rgb="FFFF0000"/>
        <rFont val="ＭＳ ゴシック"/>
        <family val="3"/>
        <charset val="128"/>
      </rPr>
      <t>民生部門以外</t>
    </r>
    <rPh sb="20" eb="23">
      <t>シセツメイ</t>
    </rPh>
    <rPh sb="41" eb="43">
      <t>ミンセイ</t>
    </rPh>
    <rPh sb="43" eb="45">
      <t>ブモン</t>
    </rPh>
    <rPh sb="45" eb="47">
      <t>イガイ</t>
    </rPh>
    <phoneticPr fontId="1"/>
  </si>
  <si>
    <t>民生部門以外の再エネ等の電力調達に関する状況</t>
    <rPh sb="0" eb="2">
      <t>ミンセイ</t>
    </rPh>
    <rPh sb="2" eb="4">
      <t>ブモン</t>
    </rPh>
    <rPh sb="4" eb="6">
      <t>イガイ</t>
    </rPh>
    <phoneticPr fontId="1"/>
  </si>
  <si>
    <t>民生部門以外の電力　合計</t>
    <rPh sb="0" eb="2">
      <t>ミンセイ</t>
    </rPh>
    <rPh sb="2" eb="4">
      <t>ブモン</t>
    </rPh>
    <rPh sb="4" eb="6">
      <t>イガイ</t>
    </rPh>
    <rPh sb="7" eb="9">
      <t>デンリョク</t>
    </rPh>
    <rPh sb="10" eb="12">
      <t>ゴウケイ</t>
    </rPh>
    <phoneticPr fontId="1"/>
  </si>
  <si>
    <t>【民生部門以外の電力取組】</t>
    <rPh sb="1" eb="3">
      <t>ミンセイ</t>
    </rPh>
    <rPh sb="3" eb="5">
      <t>ブモン</t>
    </rPh>
    <rPh sb="5" eb="7">
      <t>イガイ</t>
    </rPh>
    <rPh sb="8" eb="10">
      <t>デンリョク</t>
    </rPh>
    <rPh sb="10" eb="12">
      <t>トリクミ</t>
    </rPh>
    <phoneticPr fontId="1"/>
  </si>
  <si>
    <r>
      <rPr>
        <b/>
        <sz val="11"/>
        <color theme="1"/>
        <rFont val="ＭＳ ゴシック"/>
        <family val="3"/>
        <charset val="128"/>
      </rPr>
      <t>民生部門以外電力</t>
    </r>
    <r>
      <rPr>
        <sz val="11"/>
        <color theme="1"/>
        <rFont val="ＭＳ ゴシック"/>
        <family val="3"/>
        <charset val="128"/>
      </rPr>
      <t>　【再エネ等の電力供給量のうち脱炭素先行地域がある地方公共団体で発電して消費する再エネ電力量の割合（地産地消割合）】</t>
    </r>
    <rPh sb="0" eb="2">
      <t>ミンセイ</t>
    </rPh>
    <rPh sb="2" eb="4">
      <t>ブモン</t>
    </rPh>
    <rPh sb="4" eb="6">
      <t>イガイ</t>
    </rPh>
    <rPh sb="6" eb="7">
      <t>チカラ</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</si>
</sst>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
    <numFmt numFmtId="177" formatCode="#,###&quot;kWh/年&quot;"/>
    <numFmt numFmtId="178" formatCode="0_);[Red]\(0\)"/>
    <numFmt numFmtId="179" formatCode="#,###"/>
    <numFmt numFmtId="180" formatCode="0.0_);[Red]\(0.0\)"/>
    <numFmt numFmtId="181" formatCode="#,##0&quot; 戸&quot;"/>
    <numFmt numFmtId="182" formatCode="#,##0&quot; kWh/年&quot;"/>
    <numFmt numFmtId="183" formatCode="#,##0.0"/>
    <numFmt numFmtId="184" formatCode="#,##0&quot; t-CO2/年&quot;"/>
  </numFmts>
  <fonts count="80">
    <font>
      <sz val="11"/>
      <color theme="1"/>
      <name val="游ゴシック"/>
      <family val="2"/>
      <charset val="128"/>
      <scheme val="minor"/>
    </font>
    <font>
      <sz val="6"/>
      <name val="游ゴシック"/>
      <family val="2"/>
      <charset val="128"/>
      <scheme val="minor"/>
    </font>
    <font>
      <sz val="11"/>
      <color theme="1"/>
      <name val="游ゴシック"/>
      <family val="2"/>
      <charset val="128"/>
      <scheme val="minor"/>
    </font>
    <font>
      <sz val="11"/>
      <color theme="1"/>
      <name val="游ゴシック"/>
      <family val="3"/>
      <charset val="128"/>
      <scheme val="minor"/>
    </font>
    <font>
      <b/>
      <sz val="11"/>
      <color theme="1"/>
      <name val="游ゴシック"/>
      <family val="3"/>
      <charset val="128"/>
      <scheme val="minor"/>
    </font>
    <font>
      <sz val="11"/>
      <color theme="0"/>
      <name val="游ゴシック"/>
      <family val="2"/>
      <charset val="128"/>
      <scheme val="minor"/>
    </font>
    <font>
      <sz val="11"/>
      <color theme="0" tint="-0.499984740745262"/>
      <name val="游ゴシック"/>
      <family val="2"/>
      <charset val="128"/>
      <scheme val="minor"/>
    </font>
    <font>
      <sz val="11"/>
      <color theme="0" tint="-0.499984740745262"/>
      <name val="游ゴシック"/>
      <family val="3"/>
      <charset val="128"/>
      <scheme val="minor"/>
    </font>
    <font>
      <sz val="11"/>
      <name val="游ゴシック"/>
      <family val="2"/>
      <charset val="128"/>
      <scheme val="minor"/>
    </font>
    <font>
      <sz val="11"/>
      <color theme="1"/>
      <name val="ＭＳ ゴシック"/>
      <family val="3"/>
      <charset val="128"/>
    </font>
    <font>
      <b/>
      <sz val="11"/>
      <color theme="1"/>
      <name val="ＭＳ ゴシック"/>
      <family val="3"/>
      <charset val="128"/>
    </font>
    <font>
      <b/>
      <sz val="12"/>
      <color theme="1"/>
      <name val="ＭＳ ゴシック"/>
      <family val="3"/>
      <charset val="128"/>
    </font>
    <font>
      <sz val="11"/>
      <name val="ＭＳ ゴシック"/>
      <family val="3"/>
      <charset val="128"/>
    </font>
    <font>
      <sz val="11"/>
      <color theme="0"/>
      <name val="ＭＳ ゴシック"/>
      <family val="3"/>
      <charset val="128"/>
    </font>
    <font>
      <sz val="11"/>
      <color theme="6"/>
      <name val="ＭＳ ゴシック"/>
      <family val="3"/>
      <charset val="128"/>
    </font>
    <font>
      <b/>
      <sz val="11"/>
      <name val="ＭＳ ゴシック"/>
      <family val="3"/>
      <charset val="128"/>
    </font>
    <font>
      <b/>
      <sz val="12"/>
      <name val="ＭＳ ゴシック"/>
      <family val="3"/>
      <charset val="128"/>
    </font>
    <font>
      <sz val="14"/>
      <color theme="1"/>
      <name val="ＭＳ ゴシック"/>
      <family val="3"/>
      <charset val="128"/>
    </font>
    <font>
      <sz val="18"/>
      <color theme="1"/>
      <name val="ＭＳ ゴシック"/>
      <family val="3"/>
      <charset val="128"/>
    </font>
    <font>
      <b/>
      <sz val="22"/>
      <color theme="1"/>
      <name val="ＭＳ ゴシック"/>
      <family val="3"/>
      <charset val="128"/>
    </font>
    <font>
      <b/>
      <sz val="18"/>
      <color theme="1"/>
      <name val="ＭＳ ゴシック"/>
      <family val="3"/>
      <charset val="128"/>
    </font>
    <font>
      <sz val="11"/>
      <color theme="1"/>
      <name val="ＭＳ ゴシック"/>
      <family val="3"/>
    </font>
    <font>
      <b/>
      <sz val="11"/>
      <color theme="1"/>
      <name val="ＭＳ ゴシック"/>
      <family val="3"/>
    </font>
    <font>
      <sz val="16"/>
      <color theme="1"/>
      <name val="ＭＳ ゴシック"/>
      <family val="3"/>
      <charset val="128"/>
    </font>
    <font>
      <b/>
      <sz val="12"/>
      <color theme="1"/>
      <name val="ＭＳ ゴシック"/>
      <family val="3"/>
    </font>
    <font>
      <sz val="16"/>
      <color theme="0"/>
      <name val="ＭＳ ゴシック"/>
      <family val="3"/>
      <charset val="128"/>
    </font>
    <font>
      <sz val="16"/>
      <name val="ＭＳ ゴシック"/>
      <family val="3"/>
      <charset val="128"/>
    </font>
    <font>
      <sz val="22"/>
      <color theme="1"/>
      <name val="ＭＳ ゴシック"/>
      <family val="3"/>
    </font>
    <font>
      <sz val="12"/>
      <color theme="1"/>
      <name val="ＭＳ ゴシック"/>
      <family val="3"/>
    </font>
    <font>
      <sz val="12"/>
      <color theme="1"/>
      <name val="ＭＳ ゴシック"/>
      <family val="3"/>
      <charset val="128"/>
    </font>
    <font>
      <sz val="11"/>
      <name val="游ゴシック"/>
      <family val="3"/>
      <charset val="128"/>
      <scheme val="minor"/>
    </font>
    <font>
      <b/>
      <sz val="11"/>
      <color theme="1"/>
      <name val="游ゴシック"/>
      <family val="2"/>
      <charset val="128"/>
      <scheme val="minor"/>
    </font>
    <font>
      <sz val="18"/>
      <name val="ＭＳ ゴシック"/>
      <family val="3"/>
      <charset val="128"/>
    </font>
    <font>
      <sz val="10"/>
      <color theme="1"/>
      <name val="ＭＳ ゴシック"/>
      <family val="3"/>
      <charset val="128"/>
    </font>
    <font>
      <sz val="10"/>
      <color theme="1"/>
      <name val="ＭＳ ゴシック"/>
      <family val="3"/>
    </font>
    <font>
      <sz val="8"/>
      <color theme="1"/>
      <name val="ＭＳ ゴシック"/>
      <family val="3"/>
    </font>
    <font>
      <sz val="8"/>
      <color theme="1"/>
      <name val="ＭＳ ゴシック"/>
      <family val="3"/>
      <charset val="128"/>
    </font>
    <font>
      <sz val="9"/>
      <color theme="1"/>
      <name val="ＭＳ ゴシック"/>
      <family val="3"/>
    </font>
    <font>
      <b/>
      <sz val="12"/>
      <color rgb="FFFF0000"/>
      <name val="游ゴシック"/>
      <family val="3"/>
      <charset val="128"/>
      <scheme val="minor"/>
    </font>
    <font>
      <b/>
      <sz val="16"/>
      <color rgb="FFFF0000"/>
      <name val="游ゴシック"/>
      <family val="3"/>
      <charset val="128"/>
      <scheme val="minor"/>
    </font>
    <font>
      <b/>
      <sz val="14"/>
      <color theme="1"/>
      <name val="ＭＳ ゴシック"/>
      <family val="3"/>
      <charset val="128"/>
    </font>
    <font>
      <b/>
      <sz val="14"/>
      <name val="ＭＳ ゴシック"/>
      <family val="3"/>
      <charset val="128"/>
    </font>
    <font>
      <sz val="16"/>
      <color theme="1"/>
      <name val="ＭＳ ゴシック"/>
      <family val="3"/>
    </font>
    <font>
      <sz val="10"/>
      <name val="Arial"/>
      <family val="2"/>
    </font>
    <font>
      <sz val="10"/>
      <color theme="1"/>
      <name val="游ゴシック"/>
      <family val="2"/>
      <charset val="128"/>
      <scheme val="minor"/>
    </font>
    <font>
      <sz val="10"/>
      <color theme="1"/>
      <name val="游ゴシック"/>
      <family val="3"/>
      <charset val="128"/>
      <scheme val="minor"/>
    </font>
    <font>
      <sz val="9"/>
      <name val="游ゴシック"/>
      <family val="2"/>
      <scheme val="minor"/>
    </font>
    <font>
      <sz val="12"/>
      <color theme="1"/>
      <name val="Yu Gothic UI"/>
      <family val="3"/>
      <charset val="128"/>
    </font>
    <font>
      <sz val="6"/>
      <name val="Yu Gothic UI"/>
      <family val="2"/>
      <charset val="128"/>
    </font>
    <font>
      <sz val="11"/>
      <color theme="1"/>
      <name val="Yu Gothic UI"/>
      <family val="3"/>
      <charset val="128"/>
    </font>
    <font>
      <b/>
      <sz val="12"/>
      <color theme="1"/>
      <name val="游ゴシック"/>
      <family val="3"/>
      <charset val="128"/>
      <scheme val="minor"/>
    </font>
    <font>
      <sz val="10"/>
      <color theme="1"/>
      <name val="Meiryo UI"/>
      <family val="2"/>
      <charset val="128"/>
    </font>
    <font>
      <sz val="12"/>
      <name val="Yu Gothic UI"/>
      <family val="3"/>
      <charset val="128"/>
    </font>
    <font>
      <sz val="14"/>
      <name val="ＭＳ ゴシック"/>
      <family val="3"/>
      <charset val="128"/>
    </font>
    <font>
      <b/>
      <sz val="11"/>
      <name val="游ゴシック"/>
      <family val="3"/>
      <charset val="128"/>
      <scheme val="minor"/>
    </font>
    <font>
      <b/>
      <u/>
      <sz val="11"/>
      <color theme="1"/>
      <name val="游ゴシック"/>
      <family val="3"/>
      <charset val="128"/>
      <scheme val="minor"/>
    </font>
    <font>
      <sz val="16"/>
      <color theme="1"/>
      <name val=" メイリオ"/>
      <family val="3"/>
      <charset val="128"/>
    </font>
    <font>
      <sz val="11"/>
      <color theme="1"/>
      <name val=" メイリオ"/>
      <family val="3"/>
      <charset val="128"/>
    </font>
    <font>
      <b/>
      <sz val="20"/>
      <color rgb="FFFF0000"/>
      <name val=" メイリオ"/>
      <family val="3"/>
      <charset val="128"/>
    </font>
    <font>
      <sz val="12"/>
      <color theme="1"/>
      <name val=" メイリオ"/>
      <family val="3"/>
      <charset val="128"/>
    </font>
    <font>
      <b/>
      <sz val="18"/>
      <color rgb="FFFF0000"/>
      <name val=" メイリオ"/>
      <family val="3"/>
      <charset val="128"/>
    </font>
    <font>
      <sz val="18"/>
      <color theme="1"/>
      <name val=" メイリオ"/>
      <family val="3"/>
      <charset val="128"/>
    </font>
    <font>
      <sz val="16"/>
      <name val=" メイリオ"/>
      <family val="3"/>
      <charset val="128"/>
    </font>
    <font>
      <b/>
      <sz val="10"/>
      <color theme="1"/>
      <name val="游ゴシック"/>
      <family val="3"/>
      <charset val="128"/>
      <scheme val="minor"/>
    </font>
    <font>
      <sz val="9"/>
      <color theme="1"/>
      <name val="游ゴシック"/>
      <family val="2"/>
      <charset val="128"/>
      <scheme val="minor"/>
    </font>
    <font>
      <sz val="12"/>
      <name val="游ゴシック"/>
      <family val="3"/>
      <charset val="128"/>
      <scheme val="minor"/>
    </font>
    <font>
      <b/>
      <sz val="16"/>
      <name val="游ゴシック"/>
      <family val="3"/>
      <charset val="128"/>
      <scheme val="minor"/>
    </font>
    <font>
      <sz val="16"/>
      <color theme="1"/>
      <name val="游ゴシック"/>
      <family val="3"/>
      <charset val="128"/>
      <scheme val="minor"/>
    </font>
    <font>
      <sz val="14"/>
      <color theme="1"/>
      <name val="游ゴシック"/>
      <family val="3"/>
      <charset val="128"/>
      <scheme val="minor"/>
    </font>
    <font>
      <sz val="16"/>
      <color theme="1"/>
      <name val="游ゴシック"/>
      <family val="2"/>
      <charset val="128"/>
      <scheme val="minor"/>
    </font>
    <font>
      <b/>
      <sz val="16"/>
      <color theme="1"/>
      <name val="游ゴシック"/>
      <family val="3"/>
      <charset val="128"/>
      <scheme val="minor"/>
    </font>
    <font>
      <b/>
      <sz val="11"/>
      <name val="ＭＳ ゴシック"/>
      <family val="3"/>
    </font>
    <font>
      <b/>
      <sz val="11"/>
      <color rgb="FFFF0000"/>
      <name val="ＭＳ ゴシック"/>
      <family val="3"/>
      <charset val="128"/>
    </font>
    <font>
      <sz val="12"/>
      <color theme="1"/>
      <name val="游ゴシック"/>
      <family val="3"/>
      <charset val="128"/>
      <scheme val="minor"/>
    </font>
    <font>
      <sz val="11"/>
      <color theme="6"/>
      <name val="游ゴシック"/>
      <family val="3"/>
      <charset val="128"/>
      <scheme val="minor"/>
    </font>
    <font>
      <sz val="12"/>
      <color theme="0" tint="-0.499984740745262"/>
      <name val="游ゴシック"/>
      <family val="3"/>
      <charset val="128"/>
      <scheme val="minor"/>
    </font>
    <font>
      <sz val="18"/>
      <color theme="1"/>
      <name val="游ゴシック"/>
      <family val="3"/>
      <charset val="128"/>
      <scheme val="minor"/>
    </font>
    <font>
      <sz val="11"/>
      <color rgb="FFFF0000"/>
      <name val="游ゴシック"/>
      <family val="3"/>
      <charset val="128"/>
      <scheme val="minor"/>
    </font>
    <font>
      <sz val="14"/>
      <name val="游ゴシック"/>
      <family val="3"/>
      <charset val="128"/>
      <scheme val="minor"/>
    </font>
    <font>
      <b/>
      <u/>
      <sz val="14"/>
      <color theme="1"/>
      <name val="ＭＳ ゴシック"/>
      <family val="3"/>
      <charset val="128"/>
    </font>
  </fonts>
  <fills count="10">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dotted">
        <color auto="1"/>
      </bottom>
      <diagonal/>
    </border>
    <border>
      <left/>
      <right/>
      <top style="dotted">
        <color auto="1"/>
      </top>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diagonalUp="1">
      <left style="thin">
        <color indexed="64"/>
      </left>
      <right style="thin">
        <color indexed="64"/>
      </right>
      <top style="thin">
        <color indexed="64"/>
      </top>
      <bottom style="thin">
        <color indexed="64"/>
      </bottom>
      <diagonal style="thin">
        <color indexed="64"/>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diagonalUp="1">
      <left style="thin">
        <color indexed="64"/>
      </left>
      <right style="thin">
        <color indexed="64"/>
      </right>
      <top/>
      <bottom style="thin">
        <color indexed="64"/>
      </bottom>
      <diagonal style="hair">
        <color indexed="64"/>
      </diagonal>
    </border>
    <border>
      <left/>
      <right/>
      <top style="thin">
        <color indexed="64"/>
      </top>
      <bottom style="dotted">
        <color auto="1"/>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ashDotDot">
        <color auto="1"/>
      </top>
      <bottom/>
      <diagonal/>
    </border>
    <border>
      <left/>
      <right/>
      <top/>
      <bottom style="medium">
        <color indexed="64"/>
      </bottom>
      <diagonal/>
    </border>
    <border>
      <left/>
      <right/>
      <top style="medium">
        <color indexed="64"/>
      </top>
      <bottom/>
      <diagonal/>
    </border>
    <border diagonalUp="1">
      <left style="thin">
        <color indexed="64"/>
      </left>
      <right style="thin">
        <color indexed="64"/>
      </right>
      <top/>
      <bottom/>
      <diagonal style="thin">
        <color indexed="64"/>
      </diagonal>
    </border>
    <border diagonalUp="1">
      <left style="thin">
        <color indexed="64"/>
      </left>
      <right style="thin">
        <color indexed="64"/>
      </right>
      <top style="thin">
        <color indexed="64"/>
      </top>
      <bottom/>
      <diagonal style="thin">
        <color indexed="64"/>
      </diagonal>
    </border>
    <border>
      <left style="mediumDashed">
        <color indexed="64"/>
      </left>
      <right/>
      <top style="mediumDashed">
        <color indexed="64"/>
      </top>
      <bottom/>
      <diagonal/>
    </border>
    <border>
      <left/>
      <right style="mediumDashed">
        <color indexed="64"/>
      </right>
      <top style="mediumDashed">
        <color indexed="64"/>
      </top>
      <bottom/>
      <diagonal/>
    </border>
    <border>
      <left/>
      <right/>
      <top style="mediumDashed">
        <color indexed="64"/>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right style="mediumDashed">
        <color indexed="64"/>
      </right>
      <top/>
      <bottom/>
      <diagonal/>
    </border>
    <border>
      <left style="mediumDashed">
        <color indexed="64"/>
      </left>
      <right/>
      <top/>
      <bottom/>
      <diagonal/>
    </border>
    <border>
      <left/>
      <right/>
      <top/>
      <bottom style="mediumDashed">
        <color indexed="64"/>
      </bottom>
      <diagonal/>
    </border>
  </borders>
  <cellStyleXfs count="10">
    <xf numFmtId="0" fontId="0" fillId="0" borderId="0">
      <alignment vertical="center"/>
    </xf>
    <xf numFmtId="0" fontId="3" fillId="0" borderId="0">
      <alignment vertical="center"/>
    </xf>
    <xf numFmtId="0" fontId="2" fillId="0" borderId="0">
      <alignment vertical="center"/>
    </xf>
    <xf numFmtId="38" fontId="2" fillId="0" borderId="0" applyFont="0" applyFill="0" applyBorder="0" applyAlignment="0" applyProtection="0">
      <alignment vertical="center"/>
    </xf>
    <xf numFmtId="0" fontId="43" fillId="0" borderId="0"/>
    <xf numFmtId="0" fontId="2" fillId="0" borderId="0">
      <alignment vertical="center"/>
    </xf>
    <xf numFmtId="0" fontId="46" fillId="0" borderId="0"/>
    <xf numFmtId="0" fontId="43" fillId="0" borderId="0"/>
    <xf numFmtId="0" fontId="51" fillId="0" borderId="0">
      <alignment vertical="center"/>
    </xf>
    <xf numFmtId="0" fontId="2" fillId="0" borderId="0">
      <alignment vertical="center"/>
    </xf>
  </cellStyleXfs>
  <cellXfs count="1085">
    <xf numFmtId="0" fontId="0" fillId="0" borderId="0" xfId="0">
      <alignment vertical="center"/>
    </xf>
    <xf numFmtId="0" fontId="4" fillId="0" borderId="0" xfId="0" applyFont="1">
      <alignment vertical="center"/>
    </xf>
    <xf numFmtId="0" fontId="0" fillId="0" borderId="0" xfId="0" applyAlignment="1">
      <alignment horizontal="center" vertical="center"/>
    </xf>
    <xf numFmtId="0" fontId="0" fillId="0" borderId="0" xfId="0" applyAlignment="1">
      <alignment vertical="center" wrapText="1"/>
    </xf>
    <xf numFmtId="0" fontId="0" fillId="0" borderId="16" xfId="0" applyBorder="1">
      <alignment vertical="center"/>
    </xf>
    <xf numFmtId="0" fontId="0" fillId="0" borderId="17" xfId="0" applyBorder="1">
      <alignment vertical="center"/>
    </xf>
    <xf numFmtId="0" fontId="0" fillId="0" borderId="19" xfId="0" applyBorder="1">
      <alignment vertical="center"/>
    </xf>
    <xf numFmtId="0" fontId="0" fillId="0" borderId="20" xfId="0" applyBorder="1">
      <alignment vertical="center"/>
    </xf>
    <xf numFmtId="0" fontId="0" fillId="0" borderId="21" xfId="0" applyBorder="1">
      <alignment vertical="center"/>
    </xf>
    <xf numFmtId="0" fontId="0" fillId="0" borderId="23" xfId="0" applyBorder="1">
      <alignment vertical="center"/>
    </xf>
    <xf numFmtId="0" fontId="0" fillId="0" borderId="18" xfId="0" applyBorder="1">
      <alignment vertical="center"/>
    </xf>
    <xf numFmtId="0" fontId="0" fillId="0" borderId="0" xfId="0" applyProtection="1">
      <alignment vertical="center"/>
      <protection locked="0"/>
    </xf>
    <xf numFmtId="0" fontId="5" fillId="0" borderId="0" xfId="0" applyFont="1" applyProtection="1">
      <alignment vertical="center"/>
      <protection locked="0"/>
    </xf>
    <xf numFmtId="0" fontId="9" fillId="0" borderId="0" xfId="0" applyFont="1">
      <alignment vertical="center"/>
    </xf>
    <xf numFmtId="0" fontId="9" fillId="0" borderId="18" xfId="0" applyFont="1" applyBorder="1">
      <alignment vertical="center"/>
    </xf>
    <xf numFmtId="0" fontId="9" fillId="0" borderId="17" xfId="0" applyFont="1" applyBorder="1">
      <alignment vertical="center"/>
    </xf>
    <xf numFmtId="0" fontId="9" fillId="0" borderId="20" xfId="0" applyFont="1" applyBorder="1">
      <alignment vertical="center"/>
    </xf>
    <xf numFmtId="0" fontId="9" fillId="0" borderId="0" xfId="0" applyFont="1" applyAlignment="1">
      <alignment vertical="center" wrapText="1"/>
    </xf>
    <xf numFmtId="0" fontId="9" fillId="0" borderId="17" xfId="0" applyFont="1" applyBorder="1" applyAlignment="1">
      <alignment vertical="center" wrapText="1"/>
    </xf>
    <xf numFmtId="0" fontId="9" fillId="0" borderId="21" xfId="0" applyFont="1" applyBorder="1">
      <alignment vertical="center"/>
    </xf>
    <xf numFmtId="0" fontId="9" fillId="0" borderId="1" xfId="0" applyFont="1" applyBorder="1" applyAlignment="1" applyProtection="1">
      <alignment vertical="center" wrapText="1"/>
      <protection locked="0"/>
    </xf>
    <xf numFmtId="0" fontId="9" fillId="0" borderId="0" xfId="0" applyFont="1" applyProtection="1">
      <alignment vertical="center"/>
      <protection locked="0"/>
    </xf>
    <xf numFmtId="0" fontId="9" fillId="0" borderId="20" xfId="0" applyFont="1" applyBorder="1" applyProtection="1">
      <alignment vertical="center"/>
      <protection locked="0"/>
    </xf>
    <xf numFmtId="0" fontId="9" fillId="0" borderId="1" xfId="0" applyFont="1" applyBorder="1" applyProtection="1">
      <alignment vertical="center"/>
      <protection locked="0"/>
    </xf>
    <xf numFmtId="0" fontId="9" fillId="0" borderId="21" xfId="0" applyFont="1" applyBorder="1" applyProtection="1">
      <alignment vertical="center"/>
      <protection locked="0"/>
    </xf>
    <xf numFmtId="0" fontId="9" fillId="0" borderId="7" xfId="0" applyFont="1" applyBorder="1" applyAlignment="1" applyProtection="1">
      <alignment vertical="center" wrapText="1"/>
      <protection locked="0"/>
    </xf>
    <xf numFmtId="0" fontId="9" fillId="0" borderId="16" xfId="0" applyFont="1" applyBorder="1">
      <alignment vertical="center"/>
    </xf>
    <xf numFmtId="0" fontId="9" fillId="0" borderId="23" xfId="0" applyFont="1" applyBorder="1">
      <alignment vertical="center"/>
    </xf>
    <xf numFmtId="0" fontId="13" fillId="0" borderId="0" xfId="0" applyFont="1">
      <alignment vertical="center"/>
    </xf>
    <xf numFmtId="0" fontId="13" fillId="0" borderId="0" xfId="0" applyFont="1" applyProtection="1">
      <alignment vertical="center"/>
      <protection locked="0"/>
    </xf>
    <xf numFmtId="0" fontId="9" fillId="0" borderId="19" xfId="0" applyFont="1" applyBorder="1">
      <alignment vertical="center"/>
    </xf>
    <xf numFmtId="0" fontId="14" fillId="0" borderId="0" xfId="0" applyFont="1">
      <alignment vertical="center"/>
    </xf>
    <xf numFmtId="0" fontId="14" fillId="0" borderId="20" xfId="0" applyFont="1" applyBorder="1">
      <alignment vertical="center"/>
    </xf>
    <xf numFmtId="0" fontId="14" fillId="0" borderId="22" xfId="0" applyFont="1" applyBorder="1">
      <alignment vertical="center"/>
    </xf>
    <xf numFmtId="0" fontId="14" fillId="0" borderId="16" xfId="0" applyFont="1" applyBorder="1">
      <alignment vertical="center"/>
    </xf>
    <xf numFmtId="0" fontId="15" fillId="0" borderId="0" xfId="0" applyFont="1">
      <alignment vertical="center"/>
    </xf>
    <xf numFmtId="0" fontId="13" fillId="0" borderId="20" xfId="0" applyFont="1" applyBorder="1" applyProtection="1">
      <alignment vertical="center"/>
      <protection locked="0"/>
    </xf>
    <xf numFmtId="0" fontId="9" fillId="0" borderId="0" xfId="0" applyFont="1" applyAlignment="1" applyProtection="1">
      <alignment horizontal="center" vertical="center"/>
      <protection locked="0"/>
    </xf>
    <xf numFmtId="3" fontId="17" fillId="0" borderId="1" xfId="0" applyNumberFormat="1" applyFont="1" applyBorder="1" applyAlignment="1" applyProtection="1">
      <alignment horizontal="center" vertical="center" wrapText="1"/>
      <protection locked="0"/>
    </xf>
    <xf numFmtId="3" fontId="17" fillId="0" borderId="6" xfId="0" applyNumberFormat="1" applyFont="1" applyBorder="1" applyAlignment="1" applyProtection="1">
      <alignment horizontal="center" vertical="center" wrapText="1"/>
      <protection locked="0"/>
    </xf>
    <xf numFmtId="0" fontId="21" fillId="0" borderId="0" xfId="0" applyFont="1" applyProtection="1">
      <alignment vertical="center"/>
      <protection locked="0"/>
    </xf>
    <xf numFmtId="0" fontId="21" fillId="0" borderId="20" xfId="0" applyFont="1" applyBorder="1" applyProtection="1">
      <alignment vertical="center"/>
      <protection locked="0"/>
    </xf>
    <xf numFmtId="3" fontId="17" fillId="0" borderId="7" xfId="0" applyNumberFormat="1" applyFont="1" applyBorder="1" applyAlignment="1" applyProtection="1">
      <alignment horizontal="center" vertical="center" wrapText="1"/>
      <protection locked="0"/>
    </xf>
    <xf numFmtId="0" fontId="9" fillId="3" borderId="13" xfId="0" applyFont="1" applyFill="1" applyBorder="1" applyProtection="1">
      <alignment vertical="center"/>
      <protection locked="0"/>
    </xf>
    <xf numFmtId="0" fontId="10" fillId="0" borderId="0" xfId="0" applyFont="1">
      <alignment vertical="center"/>
    </xf>
    <xf numFmtId="0" fontId="9" fillId="0" borderId="1" xfId="0" applyFont="1" applyBorder="1" applyAlignment="1">
      <alignment vertical="center" wrapText="1"/>
    </xf>
    <xf numFmtId="0" fontId="9" fillId="0" borderId="22" xfId="0" applyFont="1" applyBorder="1">
      <alignment vertical="center"/>
    </xf>
    <xf numFmtId="0" fontId="21" fillId="0" borderId="0" xfId="0" applyFont="1">
      <alignment vertical="center"/>
    </xf>
    <xf numFmtId="0" fontId="15" fillId="0" borderId="16" xfId="0" applyFont="1" applyBorder="1">
      <alignment vertical="center"/>
    </xf>
    <xf numFmtId="0" fontId="11" fillId="0" borderId="0" xfId="0" applyFont="1" applyAlignment="1">
      <alignment vertical="center" wrapText="1"/>
    </xf>
    <xf numFmtId="0" fontId="9" fillId="0" borderId="0" xfId="0" applyFont="1" applyAlignment="1">
      <alignment horizontal="left" vertical="center" wrapText="1"/>
    </xf>
    <xf numFmtId="0" fontId="9" fillId="0" borderId="0" xfId="0" applyFont="1" applyAlignment="1">
      <alignment horizontal="left" vertical="center"/>
    </xf>
    <xf numFmtId="0" fontId="9" fillId="0" borderId="3" xfId="0" applyFont="1" applyBorder="1" applyAlignment="1" applyProtection="1">
      <alignment vertical="center" wrapText="1"/>
      <protection locked="0"/>
    </xf>
    <xf numFmtId="0" fontId="9" fillId="0" borderId="12" xfId="0" applyFont="1" applyBorder="1" applyAlignment="1" applyProtection="1">
      <alignment vertical="center" wrapText="1"/>
      <protection locked="0"/>
    </xf>
    <xf numFmtId="0" fontId="9" fillId="0" borderId="13" xfId="0" applyFont="1" applyBorder="1" applyProtection="1">
      <alignment vertical="center"/>
      <protection locked="0"/>
    </xf>
    <xf numFmtId="0" fontId="21" fillId="0" borderId="16" xfId="0" applyFont="1" applyBorder="1">
      <alignment vertical="center"/>
    </xf>
    <xf numFmtId="179" fontId="9" fillId="0" borderId="1" xfId="0" applyNumberFormat="1" applyFont="1" applyBorder="1" applyAlignment="1" applyProtection="1">
      <alignment vertical="center" shrinkToFit="1"/>
      <protection locked="0"/>
    </xf>
    <xf numFmtId="179" fontId="9" fillId="0" borderId="7" xfId="0" applyNumberFormat="1" applyFont="1" applyBorder="1" applyAlignment="1" applyProtection="1">
      <alignment vertical="center" shrinkToFit="1"/>
      <protection locked="0"/>
    </xf>
    <xf numFmtId="0" fontId="21" fillId="0" borderId="0" xfId="0" applyFont="1" applyAlignment="1">
      <alignment horizontal="left" vertical="center" wrapText="1"/>
    </xf>
    <xf numFmtId="0" fontId="29" fillId="0" borderId="1" xfId="0" applyFont="1" applyBorder="1" applyAlignment="1" applyProtection="1">
      <alignment vertical="center" wrapText="1"/>
      <protection locked="0"/>
    </xf>
    <xf numFmtId="0" fontId="29" fillId="0" borderId="1" xfId="0" applyFont="1" applyBorder="1" applyProtection="1">
      <alignment vertical="center"/>
      <protection locked="0"/>
    </xf>
    <xf numFmtId="3" fontId="29" fillId="0" borderId="1" xfId="0" applyNumberFormat="1" applyFont="1" applyBorder="1" applyProtection="1">
      <alignment vertical="center"/>
      <protection locked="0"/>
    </xf>
    <xf numFmtId="3" fontId="29" fillId="0" borderId="1" xfId="0" applyNumberFormat="1" applyFont="1" applyBorder="1" applyAlignment="1" applyProtection="1">
      <alignment vertical="center" wrapText="1"/>
      <protection locked="0"/>
    </xf>
    <xf numFmtId="0" fontId="20" fillId="0" borderId="0" xfId="0" applyFont="1" applyAlignment="1">
      <alignment horizontal="center" vertical="center"/>
    </xf>
    <xf numFmtId="0" fontId="19" fillId="0" borderId="0" xfId="0" applyFont="1" applyAlignment="1">
      <alignment horizontal="center" vertical="center"/>
    </xf>
    <xf numFmtId="0" fontId="0" fillId="0" borderId="22" xfId="0" applyBorder="1">
      <alignment vertical="center"/>
    </xf>
    <xf numFmtId="0" fontId="12" fillId="0" borderId="13" xfId="0" applyFont="1" applyBorder="1" applyAlignment="1">
      <alignment horizontal="center" vertical="center" wrapText="1"/>
    </xf>
    <xf numFmtId="0" fontId="17" fillId="0" borderId="13" xfId="0" applyFont="1" applyBorder="1" applyProtection="1">
      <alignment vertical="center"/>
      <protection locked="0"/>
    </xf>
    <xf numFmtId="0" fontId="12" fillId="0" borderId="6" xfId="0" applyFont="1" applyBorder="1" applyAlignment="1">
      <alignment horizontal="center" vertical="center" wrapText="1"/>
    </xf>
    <xf numFmtId="3" fontId="9" fillId="3" borderId="2" xfId="0" applyNumberFormat="1" applyFont="1" applyFill="1" applyBorder="1" applyAlignment="1" applyProtection="1">
      <alignment vertical="center" shrinkToFit="1"/>
      <protection locked="0"/>
    </xf>
    <xf numFmtId="3" fontId="9" fillId="3" borderId="1" xfId="0" applyNumberFormat="1" applyFont="1" applyFill="1" applyBorder="1" applyAlignment="1" applyProtection="1">
      <alignment vertical="center" shrinkToFit="1"/>
      <protection locked="0"/>
    </xf>
    <xf numFmtId="0" fontId="0" fillId="5" borderId="1" xfId="0" applyFill="1" applyBorder="1" applyAlignment="1">
      <alignment horizontal="center" vertical="center" wrapText="1"/>
    </xf>
    <xf numFmtId="0" fontId="4" fillId="5" borderId="1" xfId="0" applyFont="1" applyFill="1" applyBorder="1" applyAlignment="1">
      <alignment horizontal="center" vertical="center" wrapText="1"/>
    </xf>
    <xf numFmtId="0" fontId="39" fillId="0" borderId="0" xfId="0" applyFont="1">
      <alignment vertical="center"/>
    </xf>
    <xf numFmtId="0" fontId="0" fillId="0" borderId="13" xfId="0" applyBorder="1">
      <alignment vertical="center"/>
    </xf>
    <xf numFmtId="0" fontId="0" fillId="0" borderId="6" xfId="0" applyBorder="1">
      <alignment vertical="center"/>
    </xf>
    <xf numFmtId="0" fontId="9" fillId="0" borderId="13" xfId="0" applyFont="1" applyBorder="1">
      <alignment vertical="center"/>
    </xf>
    <xf numFmtId="0" fontId="0" fillId="0" borderId="7" xfId="0" applyBorder="1" applyAlignment="1">
      <alignment horizontal="center" vertical="center"/>
    </xf>
    <xf numFmtId="0" fontId="0" fillId="0" borderId="7" xfId="0" applyBorder="1">
      <alignment vertical="center"/>
    </xf>
    <xf numFmtId="0" fontId="12" fillId="0" borderId="7" xfId="0" applyFont="1" applyBorder="1" applyAlignment="1">
      <alignment horizontal="center" vertical="center" wrapText="1"/>
    </xf>
    <xf numFmtId="0" fontId="0" fillId="0" borderId="0" xfId="0" applyAlignment="1">
      <alignment vertical="top"/>
    </xf>
    <xf numFmtId="0" fontId="0" fillId="0" borderId="39" xfId="0" applyBorder="1">
      <alignment vertical="center"/>
    </xf>
    <xf numFmtId="0" fontId="0" fillId="0" borderId="39" xfId="0" applyBorder="1" applyAlignment="1">
      <alignment horizontal="center" vertical="center"/>
    </xf>
    <xf numFmtId="0" fontId="0" fillId="0" borderId="40" xfId="0" applyBorder="1">
      <alignment vertical="center"/>
    </xf>
    <xf numFmtId="0" fontId="0" fillId="0" borderId="40" xfId="0" applyBorder="1" applyAlignment="1">
      <alignment horizontal="center" vertical="center"/>
    </xf>
    <xf numFmtId="0" fontId="29" fillId="0" borderId="1" xfId="0" applyFont="1" applyBorder="1" applyAlignment="1" applyProtection="1">
      <alignment horizontal="center" vertical="center" wrapText="1"/>
      <protection locked="0"/>
    </xf>
    <xf numFmtId="0" fontId="9" fillId="0" borderId="7" xfId="0" applyFont="1" applyBorder="1" applyAlignment="1">
      <alignment horizontal="center" vertical="center" wrapText="1"/>
    </xf>
    <xf numFmtId="0" fontId="21" fillId="0" borderId="17" xfId="0" applyFont="1" applyBorder="1">
      <alignment vertical="center"/>
    </xf>
    <xf numFmtId="0" fontId="9" fillId="0" borderId="13" xfId="0" applyFont="1" applyBorder="1" applyAlignment="1">
      <alignment horizontal="center" vertical="center" wrapText="1"/>
    </xf>
    <xf numFmtId="0" fontId="9" fillId="0" borderId="6" xfId="0" applyFont="1" applyBorder="1" applyAlignment="1">
      <alignment horizontal="center" vertical="center" wrapText="1"/>
    </xf>
    <xf numFmtId="3" fontId="0" fillId="0" borderId="0" xfId="0" applyNumberFormat="1">
      <alignment vertical="center"/>
    </xf>
    <xf numFmtId="0" fontId="21" fillId="0" borderId="1" xfId="0" applyFont="1" applyBorder="1" applyAlignment="1" applyProtection="1">
      <alignment horizontal="center" vertical="center"/>
      <protection locked="0"/>
    </xf>
    <xf numFmtId="0" fontId="21" fillId="0" borderId="0" xfId="0" applyFont="1" applyAlignment="1">
      <alignment vertical="center" wrapText="1"/>
    </xf>
    <xf numFmtId="0" fontId="21" fillId="0" borderId="20" xfId="0" applyFont="1" applyBorder="1">
      <alignment vertical="center"/>
    </xf>
    <xf numFmtId="0" fontId="9" fillId="0" borderId="11" xfId="0" applyFont="1" applyBorder="1" applyAlignment="1">
      <alignment horizontal="center" vertical="center" wrapText="1"/>
    </xf>
    <xf numFmtId="0" fontId="9" fillId="0" borderId="12" xfId="0" applyFont="1" applyBorder="1" applyAlignment="1">
      <alignment horizontal="center" vertical="center"/>
    </xf>
    <xf numFmtId="0" fontId="12" fillId="0" borderId="7" xfId="0" applyFont="1" applyBorder="1" applyAlignment="1" applyProtection="1">
      <alignment horizontal="center" vertical="center" wrapText="1"/>
      <protection locked="0"/>
    </xf>
    <xf numFmtId="0" fontId="0" fillId="0" borderId="20" xfId="0" applyBorder="1" applyProtection="1">
      <alignment vertical="center"/>
      <protection locked="0"/>
    </xf>
    <xf numFmtId="0" fontId="0" fillId="0" borderId="13" xfId="0" applyBorder="1" applyProtection="1">
      <alignment vertical="center"/>
      <protection locked="0"/>
    </xf>
    <xf numFmtId="0" fontId="12" fillId="0" borderId="13" xfId="0" applyFont="1" applyBorder="1" applyAlignment="1" applyProtection="1">
      <alignment horizontal="center" vertical="center" wrapText="1"/>
      <protection locked="0"/>
    </xf>
    <xf numFmtId="0" fontId="0" fillId="0" borderId="21" xfId="0" applyBorder="1" applyProtection="1">
      <alignment vertical="center"/>
      <protection locked="0"/>
    </xf>
    <xf numFmtId="0" fontId="0" fillId="0" borderId="0" xfId="0" applyAlignment="1" applyProtection="1">
      <alignment horizontal="center" vertical="center"/>
      <protection locked="0"/>
    </xf>
    <xf numFmtId="0" fontId="31" fillId="0" borderId="6" xfId="0" applyFont="1" applyBorder="1" applyAlignment="1" applyProtection="1">
      <alignment horizontal="center" vertical="center"/>
      <protection locked="0"/>
    </xf>
    <xf numFmtId="0" fontId="9" fillId="0" borderId="12" xfId="0" applyFont="1" applyBorder="1" applyAlignment="1">
      <alignment horizontal="center" vertical="center" wrapText="1"/>
    </xf>
    <xf numFmtId="0" fontId="9" fillId="0" borderId="7" xfId="0" applyFont="1" applyBorder="1" applyAlignment="1">
      <alignment horizontal="centerContinuous" vertical="center"/>
    </xf>
    <xf numFmtId="0" fontId="9" fillId="0" borderId="15"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vertical="center" wrapText="1"/>
    </xf>
    <xf numFmtId="0" fontId="9" fillId="0" borderId="7" xfId="0" applyFont="1" applyBorder="1" applyAlignment="1">
      <alignment horizontal="left" vertical="center"/>
    </xf>
    <xf numFmtId="0" fontId="9" fillId="0" borderId="3" xfId="0" applyFont="1" applyBorder="1">
      <alignment vertical="center"/>
    </xf>
    <xf numFmtId="179" fontId="9" fillId="0" borderId="1" xfId="0" applyNumberFormat="1" applyFont="1" applyBorder="1" applyAlignment="1">
      <alignment vertical="center" shrinkToFit="1"/>
    </xf>
    <xf numFmtId="0" fontId="9" fillId="0" borderId="3" xfId="0" applyFont="1" applyBorder="1" applyAlignment="1">
      <alignment vertical="center" wrapText="1"/>
    </xf>
    <xf numFmtId="0" fontId="9" fillId="0" borderId="2" xfId="0" applyFont="1" applyBorder="1" applyAlignment="1">
      <alignment horizontal="centerContinuous" vertical="center" wrapText="1"/>
    </xf>
    <xf numFmtId="0" fontId="9" fillId="3" borderId="24"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24" xfId="0" applyFont="1" applyBorder="1" applyAlignment="1">
      <alignment vertical="center" wrapText="1"/>
    </xf>
    <xf numFmtId="0" fontId="3" fillId="0" borderId="0" xfId="0" applyFont="1" applyProtection="1">
      <alignment vertical="center"/>
      <protection locked="0"/>
    </xf>
    <xf numFmtId="0" fontId="3" fillId="0" borderId="13" xfId="0" applyFont="1" applyBorder="1" applyAlignment="1" applyProtection="1">
      <alignment horizontal="center" vertical="center"/>
      <protection locked="0"/>
    </xf>
    <xf numFmtId="0" fontId="3" fillId="0" borderId="13" xfId="0" applyFont="1" applyBorder="1" applyAlignment="1" applyProtection="1">
      <alignment horizontal="left" vertical="center"/>
      <protection locked="0"/>
    </xf>
    <xf numFmtId="3" fontId="3" fillId="0" borderId="13" xfId="0" applyNumberFormat="1" applyFont="1" applyBorder="1" applyProtection="1">
      <alignment vertical="center"/>
      <protection locked="0"/>
    </xf>
    <xf numFmtId="0" fontId="3" fillId="0" borderId="10" xfId="0" applyFont="1" applyBorder="1" applyAlignment="1" applyProtection="1">
      <alignment horizontal="left" vertical="center"/>
      <protection locked="0"/>
    </xf>
    <xf numFmtId="3" fontId="3" fillId="0" borderId="7" xfId="0" applyNumberFormat="1" applyFont="1" applyBorder="1" applyProtection="1">
      <alignment vertical="center"/>
      <protection locked="0"/>
    </xf>
    <xf numFmtId="0" fontId="3" fillId="0" borderId="7" xfId="0" applyFont="1" applyBorder="1" applyAlignment="1" applyProtection="1">
      <alignment horizontal="left" vertical="center"/>
      <protection locked="0"/>
    </xf>
    <xf numFmtId="0" fontId="30" fillId="0" borderId="0" xfId="0" applyFont="1">
      <alignment vertical="center"/>
    </xf>
    <xf numFmtId="3" fontId="0" fillId="0" borderId="16" xfId="0" applyNumberFormat="1" applyBorder="1">
      <alignment vertical="center"/>
    </xf>
    <xf numFmtId="0" fontId="0" fillId="0" borderId="16" xfId="0" applyBorder="1" applyAlignment="1">
      <alignment horizontal="center" vertical="center"/>
    </xf>
    <xf numFmtId="0" fontId="29" fillId="0" borderId="13" xfId="0" applyFont="1" applyBorder="1" applyProtection="1">
      <alignment vertical="center"/>
      <protection locked="0"/>
    </xf>
    <xf numFmtId="0" fontId="30" fillId="0" borderId="1" xfId="0" applyFont="1" applyBorder="1" applyProtection="1">
      <alignment vertical="center"/>
      <protection locked="0"/>
    </xf>
    <xf numFmtId="0" fontId="0" fillId="0" borderId="1" xfId="0" applyBorder="1" applyAlignment="1" applyProtection="1">
      <alignment horizontal="center" vertical="center" wrapText="1"/>
      <protection locked="0"/>
    </xf>
    <xf numFmtId="3" fontId="0" fillId="0" borderId="1" xfId="0" applyNumberFormat="1" applyBorder="1" applyAlignment="1" applyProtection="1">
      <alignment horizontal="center" vertical="center" wrapText="1"/>
      <protection locked="0"/>
    </xf>
    <xf numFmtId="0" fontId="29" fillId="0" borderId="15" xfId="0" applyFont="1" applyBorder="1" applyAlignment="1" applyProtection="1">
      <alignment vertical="center" wrapText="1"/>
      <protection locked="0"/>
    </xf>
    <xf numFmtId="0" fontId="0" fillId="0" borderId="1" xfId="0" applyBorder="1" applyAlignment="1" applyProtection="1">
      <alignment horizontal="center" vertical="center"/>
      <protection locked="0"/>
    </xf>
    <xf numFmtId="3" fontId="0" fillId="0" borderId="1" xfId="0" applyNumberFormat="1" applyBorder="1" applyAlignment="1" applyProtection="1">
      <alignment vertical="center" wrapText="1"/>
      <protection locked="0"/>
    </xf>
    <xf numFmtId="0" fontId="6" fillId="0" borderId="0" xfId="0" applyFont="1" applyProtection="1">
      <alignment vertical="center"/>
      <protection locked="0"/>
    </xf>
    <xf numFmtId="0" fontId="24" fillId="0" borderId="0" xfId="0" applyFont="1" applyAlignment="1">
      <alignment vertical="center" wrapText="1"/>
    </xf>
    <xf numFmtId="0" fontId="22" fillId="0" borderId="0" xfId="0" applyFont="1">
      <alignment vertical="center"/>
    </xf>
    <xf numFmtId="0" fontId="28" fillId="0" borderId="20" xfId="0" applyFont="1" applyBorder="1">
      <alignment vertical="center"/>
    </xf>
    <xf numFmtId="0" fontId="21" fillId="0" borderId="21" xfId="0" applyFont="1" applyBorder="1">
      <alignment vertical="center"/>
    </xf>
    <xf numFmtId="0" fontId="28" fillId="0" borderId="0" xfId="0" applyFont="1" applyAlignment="1">
      <alignment horizontal="center" vertical="center" wrapText="1"/>
    </xf>
    <xf numFmtId="9" fontId="21" fillId="0" borderId="7" xfId="0" applyNumberFormat="1" applyFont="1" applyBorder="1">
      <alignment vertical="center"/>
    </xf>
    <xf numFmtId="0" fontId="27" fillId="0" borderId="0" xfId="0" applyFont="1" applyAlignment="1">
      <alignment horizontal="center" vertical="center"/>
    </xf>
    <xf numFmtId="3" fontId="21" fillId="0" borderId="6" xfId="0" applyNumberFormat="1" applyFont="1" applyBorder="1">
      <alignment vertical="center"/>
    </xf>
    <xf numFmtId="0" fontId="35" fillId="0" borderId="0" xfId="0" applyFont="1" applyAlignment="1">
      <alignment horizontal="left"/>
    </xf>
    <xf numFmtId="0" fontId="21" fillId="0" borderId="0" xfId="0" applyFont="1" applyAlignment="1">
      <alignment horizontal="right" vertical="center"/>
    </xf>
    <xf numFmtId="0" fontId="35" fillId="0" borderId="0" xfId="0" applyFont="1" applyAlignment="1">
      <alignment vertical="top" wrapText="1"/>
    </xf>
    <xf numFmtId="0" fontId="35" fillId="0" borderId="0" xfId="0" applyFont="1" applyAlignment="1">
      <alignment vertical="top"/>
    </xf>
    <xf numFmtId="0" fontId="21" fillId="0" borderId="8" xfId="0" applyFont="1" applyBorder="1" applyAlignment="1">
      <alignment horizontal="left" vertical="center"/>
    </xf>
    <xf numFmtId="0" fontId="21" fillId="0" borderId="8" xfId="0" applyFont="1" applyBorder="1" applyAlignment="1">
      <alignment horizontal="right" vertical="center"/>
    </xf>
    <xf numFmtId="0" fontId="21" fillId="0" borderId="8" xfId="0" applyFont="1" applyBorder="1">
      <alignment vertical="center"/>
    </xf>
    <xf numFmtId="0" fontId="33" fillId="0" borderId="0" xfId="0" applyFont="1" applyAlignment="1">
      <alignment horizontal="left" vertical="center" wrapText="1"/>
    </xf>
    <xf numFmtId="0" fontId="34" fillId="0" borderId="0" xfId="0" applyFont="1" applyAlignment="1">
      <alignment horizontal="left" vertical="center" wrapText="1"/>
    </xf>
    <xf numFmtId="3" fontId="21" fillId="0" borderId="8" xfId="0" applyNumberFormat="1" applyFont="1" applyBorder="1">
      <alignment vertical="center"/>
    </xf>
    <xf numFmtId="3" fontId="21" fillId="0" borderId="35" xfId="0" applyNumberFormat="1" applyFont="1" applyBorder="1">
      <alignment vertical="center"/>
    </xf>
    <xf numFmtId="0" fontId="37" fillId="0" borderId="0" xfId="0" applyFont="1" applyAlignment="1">
      <alignment horizontal="left" vertical="center" wrapText="1"/>
    </xf>
    <xf numFmtId="0" fontId="21" fillId="0" borderId="22" xfId="0" applyFont="1" applyBorder="1">
      <alignment vertical="center"/>
    </xf>
    <xf numFmtId="0" fontId="21" fillId="0" borderId="23" xfId="0" applyFont="1" applyBorder="1">
      <alignment vertical="center"/>
    </xf>
    <xf numFmtId="176" fontId="21" fillId="0" borderId="17" xfId="0" applyNumberFormat="1" applyFont="1" applyBorder="1" applyAlignment="1">
      <alignment horizontal="right" vertical="center"/>
    </xf>
    <xf numFmtId="0" fontId="21" fillId="0" borderId="0" xfId="0" applyFont="1" applyAlignment="1">
      <alignment horizontal="center" vertical="center"/>
    </xf>
    <xf numFmtId="0" fontId="10" fillId="0" borderId="0" xfId="0" applyFont="1" applyProtection="1">
      <alignment vertical="center"/>
      <protection locked="0"/>
    </xf>
    <xf numFmtId="0" fontId="9" fillId="0" borderId="0" xfId="0" applyFont="1" applyAlignment="1" applyProtection="1">
      <alignment vertical="center" wrapText="1"/>
      <protection locked="0"/>
    </xf>
    <xf numFmtId="0" fontId="0" fillId="0" borderId="0" xfId="0" applyAlignment="1" applyProtection="1">
      <alignment vertical="center" wrapText="1"/>
      <protection locked="0"/>
    </xf>
    <xf numFmtId="0" fontId="21" fillId="0" borderId="21" xfId="0" applyFont="1" applyBorder="1" applyProtection="1">
      <alignment vertical="center"/>
      <protection locked="0"/>
    </xf>
    <xf numFmtId="0" fontId="9" fillId="3" borderId="14" xfId="0" applyFont="1" applyFill="1" applyBorder="1" applyProtection="1">
      <alignment vertical="center"/>
      <protection locked="0"/>
    </xf>
    <xf numFmtId="176" fontId="9" fillId="0" borderId="1" xfId="0" applyNumberFormat="1" applyFont="1" applyBorder="1" applyProtection="1">
      <alignment vertical="center"/>
      <protection locked="0"/>
    </xf>
    <xf numFmtId="182" fontId="42" fillId="0" borderId="1" xfId="0" applyNumberFormat="1" applyFont="1" applyBorder="1" applyProtection="1">
      <alignment vertical="center"/>
      <protection hidden="1"/>
    </xf>
    <xf numFmtId="0" fontId="3" fillId="7" borderId="2" xfId="0" applyFont="1" applyFill="1" applyBorder="1" applyAlignment="1">
      <alignment horizontal="center" vertical="center" wrapText="1"/>
    </xf>
    <xf numFmtId="0" fontId="3" fillId="7" borderId="9" xfId="0" applyFont="1" applyFill="1" applyBorder="1" applyAlignment="1">
      <alignment vertical="center" wrapText="1"/>
    </xf>
    <xf numFmtId="3" fontId="3" fillId="7" borderId="9" xfId="0" applyNumberFormat="1" applyFont="1" applyFill="1" applyBorder="1">
      <alignment vertical="center"/>
    </xf>
    <xf numFmtId="3" fontId="3" fillId="7" borderId="3" xfId="0" applyNumberFormat="1" applyFont="1" applyFill="1" applyBorder="1">
      <alignment vertical="center"/>
    </xf>
    <xf numFmtId="0" fontId="3" fillId="7" borderId="4" xfId="0" applyFont="1" applyFill="1" applyBorder="1" applyAlignment="1">
      <alignment horizontal="center" vertical="center" wrapText="1"/>
    </xf>
    <xf numFmtId="0" fontId="3" fillId="7" borderId="8" xfId="0" applyFont="1" applyFill="1" applyBorder="1" applyAlignment="1">
      <alignment vertical="center" wrapText="1"/>
    </xf>
    <xf numFmtId="3" fontId="3" fillId="7" borderId="8" xfId="0" applyNumberFormat="1" applyFont="1" applyFill="1" applyBorder="1">
      <alignment vertical="center"/>
    </xf>
    <xf numFmtId="0" fontId="3" fillId="7" borderId="2" xfId="0" applyFont="1" applyFill="1" applyBorder="1" applyAlignment="1">
      <alignment vertical="center" wrapText="1"/>
    </xf>
    <xf numFmtId="0" fontId="3" fillId="7" borderId="3" xfId="0" applyFont="1" applyFill="1" applyBorder="1" applyAlignment="1">
      <alignment vertical="center" wrapText="1"/>
    </xf>
    <xf numFmtId="0" fontId="3" fillId="7" borderId="4" xfId="0" applyFont="1" applyFill="1" applyBorder="1" applyAlignment="1">
      <alignment vertical="center" wrapText="1"/>
    </xf>
    <xf numFmtId="0" fontId="3" fillId="7" borderId="5" xfId="0" applyFont="1" applyFill="1" applyBorder="1" applyAlignment="1">
      <alignment vertical="center" wrapText="1"/>
    </xf>
    <xf numFmtId="0" fontId="17" fillId="0" borderId="1" xfId="0" applyFont="1" applyBorder="1" applyAlignment="1">
      <alignment vertical="center" wrapText="1"/>
    </xf>
    <xf numFmtId="0" fontId="0" fillId="0" borderId="1" xfId="0" applyBorder="1">
      <alignment vertical="center"/>
    </xf>
    <xf numFmtId="0" fontId="4" fillId="2" borderId="1" xfId="0" applyFont="1" applyFill="1" applyBorder="1">
      <alignment vertical="center"/>
    </xf>
    <xf numFmtId="0" fontId="47" fillId="8" borderId="1" xfId="0" applyFont="1" applyFill="1" applyBorder="1" applyAlignment="1">
      <alignment horizontal="center" vertical="center"/>
    </xf>
    <xf numFmtId="0" fontId="47" fillId="0" borderId="1" xfId="0" applyFont="1" applyBorder="1" applyAlignment="1">
      <alignment vertical="center" wrapText="1"/>
    </xf>
    <xf numFmtId="0" fontId="47" fillId="0" borderId="0" xfId="0" applyFont="1" applyAlignment="1">
      <alignment horizontal="left" vertical="center" wrapText="1"/>
    </xf>
    <xf numFmtId="0" fontId="47" fillId="0" borderId="0" xfId="0" applyFont="1" applyAlignment="1">
      <alignment horizontal="right" vertical="center"/>
    </xf>
    <xf numFmtId="0" fontId="10" fillId="0" borderId="0" xfId="0" applyFont="1" applyAlignment="1"/>
    <xf numFmtId="3" fontId="40" fillId="0" borderId="16" xfId="0" applyNumberFormat="1" applyFont="1" applyBorder="1" applyAlignment="1">
      <alignment vertical="center" shrinkToFit="1"/>
    </xf>
    <xf numFmtId="0" fontId="17" fillId="0" borderId="8" xfId="0" applyFont="1" applyBorder="1" applyAlignment="1">
      <alignment vertical="center" wrapText="1"/>
    </xf>
    <xf numFmtId="3" fontId="17" fillId="0" borderId="8" xfId="0" applyNumberFormat="1" applyFont="1" applyBorder="1" applyAlignment="1">
      <alignment vertical="center" shrinkToFit="1"/>
    </xf>
    <xf numFmtId="0" fontId="47" fillId="0" borderId="16" xfId="0" applyFont="1" applyBorder="1" applyAlignment="1">
      <alignment horizontal="left" vertical="center" wrapText="1"/>
    </xf>
    <xf numFmtId="0" fontId="47" fillId="0" borderId="16" xfId="0" applyFont="1" applyBorder="1" applyAlignment="1">
      <alignment horizontal="right" vertical="center"/>
    </xf>
    <xf numFmtId="0" fontId="29" fillId="0" borderId="24" xfId="0" applyFont="1" applyBorder="1" applyAlignment="1" applyProtection="1">
      <alignment vertical="center" wrapText="1"/>
      <protection locked="0"/>
    </xf>
    <xf numFmtId="0" fontId="13" fillId="0" borderId="20" xfId="0" applyFont="1" applyBorder="1">
      <alignment vertical="center"/>
    </xf>
    <xf numFmtId="0" fontId="11" fillId="0" borderId="9" xfId="0" applyFont="1" applyBorder="1" applyAlignment="1">
      <alignment horizontal="center" vertical="center" wrapText="1"/>
    </xf>
    <xf numFmtId="0" fontId="11" fillId="0" borderId="7" xfId="0" applyFont="1" applyBorder="1" applyAlignment="1">
      <alignment horizontal="left" vertical="center"/>
    </xf>
    <xf numFmtId="0" fontId="11" fillId="0" borderId="7" xfId="0" applyFont="1" applyBorder="1" applyAlignment="1">
      <alignment vertical="center" wrapText="1"/>
    </xf>
    <xf numFmtId="0" fontId="0" fillId="0" borderId="24" xfId="0" applyBorder="1" applyAlignment="1" applyProtection="1">
      <alignment horizontal="center" vertical="center"/>
      <protection locked="0"/>
    </xf>
    <xf numFmtId="3" fontId="0" fillId="0" borderId="24" xfId="0" applyNumberFormat="1" applyBorder="1" applyAlignment="1" applyProtection="1">
      <alignment horizontal="center" vertical="center" wrapText="1"/>
      <protection locked="0"/>
    </xf>
    <xf numFmtId="3" fontId="0" fillId="0" borderId="24" xfId="0" applyNumberFormat="1" applyBorder="1" applyAlignment="1" applyProtection="1">
      <alignment vertical="center" wrapText="1"/>
      <protection locked="0"/>
    </xf>
    <xf numFmtId="0" fontId="54" fillId="0" borderId="0" xfId="0" applyFont="1">
      <alignment vertical="center"/>
    </xf>
    <xf numFmtId="0" fontId="9" fillId="0" borderId="20" xfId="0" applyFont="1" applyBorder="1" applyAlignment="1" applyProtection="1">
      <alignment vertical="center" wrapText="1"/>
      <protection locked="0"/>
    </xf>
    <xf numFmtId="0" fontId="30" fillId="0" borderId="1" xfId="0" applyFont="1" applyBorder="1" applyAlignment="1" applyProtection="1">
      <alignment vertical="center" wrapText="1"/>
      <protection locked="0"/>
    </xf>
    <xf numFmtId="0" fontId="56" fillId="0" borderId="0" xfId="0" applyFont="1">
      <alignment vertical="center"/>
    </xf>
    <xf numFmtId="0" fontId="57" fillId="0" borderId="0" xfId="0" applyFont="1">
      <alignment vertical="center"/>
    </xf>
    <xf numFmtId="0" fontId="58" fillId="0" borderId="0" xfId="0" applyFont="1">
      <alignment vertical="center"/>
    </xf>
    <xf numFmtId="0" fontId="59" fillId="0" borderId="0" xfId="0" applyFont="1">
      <alignment vertical="center"/>
    </xf>
    <xf numFmtId="0" fontId="59" fillId="8" borderId="7" xfId="0" applyFont="1" applyFill="1" applyBorder="1" applyAlignment="1">
      <alignment horizontal="center" vertical="center" wrapText="1"/>
    </xf>
    <xf numFmtId="0" fontId="59" fillId="8" borderId="7" xfId="0" applyFont="1" applyFill="1" applyBorder="1" applyAlignment="1">
      <alignment horizontal="center" vertical="center"/>
    </xf>
    <xf numFmtId="0" fontId="57" fillId="8" borderId="7" xfId="0" applyFont="1" applyFill="1" applyBorder="1" applyAlignment="1">
      <alignment horizontal="center" vertical="center" wrapText="1"/>
    </xf>
    <xf numFmtId="3" fontId="57" fillId="8" borderId="1" xfId="0" applyNumberFormat="1" applyFont="1" applyFill="1" applyBorder="1" applyAlignment="1">
      <alignment horizontal="center" vertical="center" wrapText="1"/>
    </xf>
    <xf numFmtId="3" fontId="57" fillId="8" borderId="1" xfId="0" applyNumberFormat="1" applyFont="1" applyFill="1" applyBorder="1" applyAlignment="1">
      <alignment horizontal="center" vertical="center"/>
    </xf>
    <xf numFmtId="0" fontId="60" fillId="0" borderId="0" xfId="0" applyFont="1">
      <alignment vertical="center"/>
    </xf>
    <xf numFmtId="0" fontId="61" fillId="0" borderId="0" xfId="0" applyFont="1">
      <alignment vertical="center"/>
    </xf>
    <xf numFmtId="0" fontId="56" fillId="0" borderId="1" xfId="0" applyFont="1" applyBorder="1" applyAlignment="1">
      <alignment horizontal="centerContinuous" vertical="center"/>
    </xf>
    <xf numFmtId="56" fontId="56" fillId="0" borderId="1" xfId="0" quotePrefix="1" applyNumberFormat="1" applyFont="1" applyBorder="1" applyAlignment="1">
      <alignment horizontal="center" vertical="center"/>
    </xf>
    <xf numFmtId="0" fontId="56" fillId="0" borderId="1" xfId="0" quotePrefix="1" applyFont="1" applyBorder="1" applyAlignment="1">
      <alignment horizontal="center" vertical="center"/>
    </xf>
    <xf numFmtId="0" fontId="57" fillId="0" borderId="38" xfId="0" applyFont="1" applyBorder="1">
      <alignment vertical="center"/>
    </xf>
    <xf numFmtId="3" fontId="0" fillId="0" borderId="1" xfId="0" applyNumberFormat="1" applyBorder="1" applyProtection="1">
      <alignment vertical="center"/>
      <protection locked="0"/>
    </xf>
    <xf numFmtId="3" fontId="4" fillId="0" borderId="1" xfId="0" applyNumberFormat="1" applyFont="1" applyBorder="1">
      <alignment vertical="center"/>
    </xf>
    <xf numFmtId="0" fontId="0" fillId="0" borderId="1" xfId="0" applyBorder="1" applyAlignment="1">
      <alignment horizontal="center" vertical="center"/>
    </xf>
    <xf numFmtId="3" fontId="4" fillId="0" borderId="24" xfId="0" applyNumberFormat="1" applyFont="1" applyBorder="1">
      <alignment vertical="center"/>
    </xf>
    <xf numFmtId="0" fontId="0" fillId="0" borderId="17" xfId="0" applyBorder="1" applyAlignment="1">
      <alignment horizontal="center" vertical="center"/>
    </xf>
    <xf numFmtId="3" fontId="0" fillId="0" borderId="17" xfId="0" applyNumberFormat="1" applyBorder="1">
      <alignment vertical="center"/>
    </xf>
    <xf numFmtId="0" fontId="4" fillId="0" borderId="17" xfId="0" applyFont="1" applyBorder="1">
      <alignment vertical="center"/>
    </xf>
    <xf numFmtId="0" fontId="6" fillId="0" borderId="1" xfId="0" applyFont="1" applyBorder="1">
      <alignment vertical="center"/>
    </xf>
    <xf numFmtId="0" fontId="54" fillId="2" borderId="1" xfId="0" applyFont="1" applyFill="1" applyBorder="1">
      <alignment vertical="center"/>
    </xf>
    <xf numFmtId="0" fontId="30" fillId="0" borderId="1" xfId="0" applyFont="1" applyBorder="1">
      <alignment vertical="center"/>
    </xf>
    <xf numFmtId="3" fontId="30" fillId="0" borderId="1" xfId="0" applyNumberFormat="1" applyFont="1" applyBorder="1" applyAlignment="1" applyProtection="1">
      <alignment vertical="center" wrapText="1"/>
      <protection locked="0"/>
    </xf>
    <xf numFmtId="3" fontId="30" fillId="0" borderId="1" xfId="0" applyNumberFormat="1" applyFont="1" applyBorder="1" applyAlignment="1" applyProtection="1">
      <alignment vertical="center" shrinkToFit="1"/>
      <protection locked="0"/>
    </xf>
    <xf numFmtId="3" fontId="4" fillId="0" borderId="1" xfId="0" applyNumberFormat="1" applyFont="1" applyBorder="1" applyProtection="1">
      <alignment vertical="center"/>
      <protection locked="0"/>
    </xf>
    <xf numFmtId="0" fontId="11" fillId="0" borderId="0" xfId="0" applyFont="1">
      <alignment vertical="center"/>
    </xf>
    <xf numFmtId="3" fontId="9" fillId="0" borderId="0" xfId="0" applyNumberFormat="1" applyFont="1" applyAlignment="1">
      <alignment horizontal="center" vertical="center"/>
    </xf>
    <xf numFmtId="3" fontId="9" fillId="0" borderId="0" xfId="0" applyNumberFormat="1" applyFont="1">
      <alignment vertical="center"/>
    </xf>
    <xf numFmtId="0" fontId="9" fillId="0" borderId="0" xfId="0" applyFont="1" applyAlignment="1">
      <alignment horizontal="center" vertical="center"/>
    </xf>
    <xf numFmtId="0" fontId="17" fillId="0" borderId="0" xfId="0" applyFont="1" applyAlignment="1">
      <alignment horizontal="left" vertical="center" wrapText="1"/>
    </xf>
    <xf numFmtId="0" fontId="17" fillId="0" borderId="0" xfId="0" applyFont="1" applyAlignment="1">
      <alignment vertical="center" wrapText="1"/>
    </xf>
    <xf numFmtId="0" fontId="9" fillId="0" borderId="0" xfId="0" applyFont="1" applyAlignment="1">
      <alignment horizontal="center" vertical="center" wrapText="1"/>
    </xf>
    <xf numFmtId="0" fontId="17" fillId="0" borderId="0" xfId="0" applyFont="1" applyAlignment="1">
      <alignment horizontal="center" vertical="center" wrapText="1"/>
    </xf>
    <xf numFmtId="0" fontId="11" fillId="0" borderId="18" xfId="0" applyFont="1" applyBorder="1">
      <alignment vertical="center"/>
    </xf>
    <xf numFmtId="3" fontId="9" fillId="0" borderId="17" xfId="0" applyNumberFormat="1" applyFont="1" applyBorder="1">
      <alignment vertical="center"/>
    </xf>
    <xf numFmtId="0" fontId="9" fillId="0" borderId="17" xfId="0" applyFont="1" applyBorder="1" applyAlignment="1">
      <alignment horizontal="center" vertical="center"/>
    </xf>
    <xf numFmtId="0" fontId="18" fillId="0" borderId="20" xfId="0" applyFont="1" applyBorder="1">
      <alignment vertical="center"/>
    </xf>
    <xf numFmtId="0" fontId="29" fillId="0" borderId="1" xfId="0" applyFont="1" applyBorder="1" applyAlignment="1">
      <alignment horizontal="center" vertical="center"/>
    </xf>
    <xf numFmtId="178" fontId="11" fillId="0" borderId="1" xfId="0" applyNumberFormat="1" applyFont="1" applyBorder="1" applyAlignment="1">
      <alignment horizontal="center" vertical="center" shrinkToFit="1"/>
    </xf>
    <xf numFmtId="0" fontId="11" fillId="0" borderId="24" xfId="0" applyFont="1" applyBorder="1" applyAlignment="1">
      <alignment vertical="center" wrapText="1"/>
    </xf>
    <xf numFmtId="0" fontId="11" fillId="0" borderId="24" xfId="0" applyFont="1" applyBorder="1" applyAlignment="1">
      <alignment horizontal="center" vertical="center" wrapText="1"/>
    </xf>
    <xf numFmtId="0" fontId="11" fillId="0" borderId="24" xfId="0" applyFont="1" applyBorder="1" applyAlignment="1">
      <alignment horizontal="center" vertical="center"/>
    </xf>
    <xf numFmtId="3" fontId="11" fillId="0" borderId="24" xfId="0" applyNumberFormat="1" applyFont="1" applyBorder="1" applyAlignment="1">
      <alignment horizontal="center" vertical="center"/>
    </xf>
    <xf numFmtId="0" fontId="14" fillId="0" borderId="16" xfId="0" applyFont="1" applyBorder="1" applyAlignment="1">
      <alignment horizontal="center" vertical="center"/>
    </xf>
    <xf numFmtId="3" fontId="9" fillId="0" borderId="16" xfId="0" applyNumberFormat="1" applyFont="1" applyBorder="1">
      <alignment vertical="center"/>
    </xf>
    <xf numFmtId="0" fontId="9" fillId="0" borderId="16" xfId="0" applyFont="1" applyBorder="1" applyAlignment="1">
      <alignment horizontal="center" vertical="center"/>
    </xf>
    <xf numFmtId="0" fontId="14" fillId="0" borderId="0" xfId="0" applyFont="1" applyAlignment="1">
      <alignment horizontal="center" vertical="center"/>
    </xf>
    <xf numFmtId="0" fontId="11" fillId="0" borderId="17" xfId="0" applyFont="1" applyBorder="1">
      <alignment vertical="center"/>
    </xf>
    <xf numFmtId="3" fontId="9" fillId="0" borderId="17" xfId="0" applyNumberFormat="1" applyFont="1" applyBorder="1" applyAlignment="1">
      <alignment horizontal="right" vertical="center"/>
    </xf>
    <xf numFmtId="3" fontId="9" fillId="0" borderId="0" xfId="0" applyNumberFormat="1" applyFont="1" applyAlignment="1">
      <alignment horizontal="right" vertical="center"/>
    </xf>
    <xf numFmtId="3" fontId="11" fillId="0" borderId="24" xfId="0" applyNumberFormat="1" applyFont="1" applyBorder="1" applyAlignment="1">
      <alignment horizontal="center" vertical="center" wrapText="1"/>
    </xf>
    <xf numFmtId="0" fontId="12" fillId="0" borderId="0" xfId="0" applyFont="1">
      <alignment vertical="center"/>
    </xf>
    <xf numFmtId="0" fontId="17" fillId="0" borderId="7" xfId="0" applyFont="1" applyBorder="1" applyAlignment="1">
      <alignment horizontal="center" vertical="center" wrapText="1"/>
    </xf>
    <xf numFmtId="0" fontId="32" fillId="0" borderId="20" xfId="0" applyFont="1" applyBorder="1" applyAlignment="1">
      <alignment horizontal="left" vertical="center"/>
    </xf>
    <xf numFmtId="0" fontId="0" fillId="0" borderId="1" xfId="0" applyBorder="1" applyProtection="1">
      <alignment vertical="center"/>
      <protection locked="0"/>
    </xf>
    <xf numFmtId="0" fontId="6"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0" xfId="0" applyFont="1">
      <alignment vertical="center"/>
    </xf>
    <xf numFmtId="3" fontId="17" fillId="0" borderId="0" xfId="0" applyNumberFormat="1" applyFont="1" applyAlignment="1">
      <alignment horizontal="right" vertical="center" wrapText="1"/>
    </xf>
    <xf numFmtId="3" fontId="30" fillId="0" borderId="1" xfId="0" applyNumberFormat="1" applyFont="1" applyBorder="1" applyAlignment="1">
      <alignment vertical="center" shrinkToFit="1"/>
    </xf>
    <xf numFmtId="0" fontId="8" fillId="0" borderId="1" xfId="0" applyFont="1" applyBorder="1">
      <alignment vertical="center"/>
    </xf>
    <xf numFmtId="3" fontId="30" fillId="0" borderId="1" xfId="0" applyNumberFormat="1" applyFont="1" applyBorder="1" applyAlignment="1">
      <alignment vertical="center" wrapText="1" shrinkToFit="1"/>
    </xf>
    <xf numFmtId="0" fontId="11" fillId="0" borderId="36" xfId="0" applyFont="1" applyBorder="1" applyAlignment="1">
      <alignment vertical="center" wrapText="1"/>
    </xf>
    <xf numFmtId="3" fontId="11" fillId="0" borderId="24" xfId="0" applyNumberFormat="1" applyFont="1" applyBorder="1" applyAlignment="1">
      <alignment horizontal="right" vertical="center"/>
    </xf>
    <xf numFmtId="3" fontId="30" fillId="0" borderId="1" xfId="0" applyNumberFormat="1" applyFont="1" applyBorder="1">
      <alignment vertical="center"/>
    </xf>
    <xf numFmtId="3" fontId="14" fillId="0" borderId="16" xfId="0" applyNumberFormat="1" applyFont="1" applyBorder="1" applyAlignment="1">
      <alignment horizontal="right" vertical="center"/>
    </xf>
    <xf numFmtId="3" fontId="14" fillId="0" borderId="0" xfId="0" applyNumberFormat="1" applyFont="1" applyAlignment="1">
      <alignment horizontal="right" vertical="center"/>
    </xf>
    <xf numFmtId="0" fontId="38" fillId="0" borderId="0" xfId="0" applyFont="1">
      <alignment vertical="center"/>
    </xf>
    <xf numFmtId="0" fontId="30" fillId="0" borderId="1" xfId="0" applyFont="1" applyBorder="1" applyAlignment="1">
      <alignment vertical="center" wrapText="1"/>
    </xf>
    <xf numFmtId="0" fontId="28" fillId="0" borderId="0" xfId="0" applyFont="1" applyAlignment="1">
      <alignment vertical="center" wrapText="1"/>
    </xf>
    <xf numFmtId="0" fontId="11" fillId="0" borderId="15" xfId="0" applyFont="1" applyBorder="1" applyAlignment="1">
      <alignment vertical="center" wrapText="1"/>
    </xf>
    <xf numFmtId="3" fontId="11" fillId="0" borderId="24" xfId="0" applyNumberFormat="1" applyFont="1" applyBorder="1">
      <alignment vertical="center"/>
    </xf>
    <xf numFmtId="0" fontId="11" fillId="0" borderId="24" xfId="0" applyFont="1" applyBorder="1">
      <alignment vertical="center"/>
    </xf>
    <xf numFmtId="0" fontId="30" fillId="0" borderId="0" xfId="0" applyFont="1" applyAlignment="1">
      <alignment horizontal="center" vertical="center"/>
    </xf>
    <xf numFmtId="3" fontId="0" fillId="0" borderId="0" xfId="0" applyNumberFormat="1" applyAlignment="1">
      <alignment horizontal="right" vertical="center"/>
    </xf>
    <xf numFmtId="0" fontId="8" fillId="0" borderId="1" xfId="0" applyFont="1" applyBorder="1" applyProtection="1">
      <alignment vertical="center"/>
      <protection locked="0"/>
    </xf>
    <xf numFmtId="0" fontId="9" fillId="0" borderId="17" xfId="0" applyFont="1" applyBorder="1" applyAlignment="1">
      <alignment horizontal="center" vertical="center" wrapText="1"/>
    </xf>
    <xf numFmtId="0" fontId="0" fillId="0" borderId="7" xfId="0" applyBorder="1" applyAlignment="1">
      <alignment vertical="center" wrapText="1"/>
    </xf>
    <xf numFmtId="0" fontId="0" fillId="0" borderId="6" xfId="0" applyBorder="1" applyAlignment="1">
      <alignment horizontal="center" vertical="top" wrapText="1"/>
    </xf>
    <xf numFmtId="0" fontId="11" fillId="0" borderId="1" xfId="0" applyFont="1" applyBorder="1" applyAlignment="1">
      <alignment horizontal="center" vertical="center" wrapText="1"/>
    </xf>
    <xf numFmtId="3" fontId="11" fillId="0" borderId="1" xfId="0" applyNumberFormat="1" applyFont="1" applyBorder="1" applyAlignment="1">
      <alignment vertical="center" wrapText="1"/>
    </xf>
    <xf numFmtId="0" fontId="14" fillId="0" borderId="16" xfId="0" applyFont="1" applyBorder="1" applyAlignment="1">
      <alignment horizontal="center" vertical="center" wrapText="1"/>
    </xf>
    <xf numFmtId="0" fontId="14" fillId="0" borderId="16" xfId="0" applyFont="1" applyBorder="1" applyAlignment="1">
      <alignment vertical="center" wrapText="1"/>
    </xf>
    <xf numFmtId="0" fontId="14" fillId="0" borderId="0" xfId="0" applyFont="1" applyAlignment="1">
      <alignment horizontal="center" vertical="center" wrapText="1"/>
    </xf>
    <xf numFmtId="0" fontId="14" fillId="0" borderId="0" xfId="0" applyFont="1" applyAlignment="1">
      <alignment vertical="center" wrapText="1"/>
    </xf>
    <xf numFmtId="0" fontId="0" fillId="0" borderId="16" xfId="0" applyBorder="1" applyAlignment="1">
      <alignment horizontal="center" vertical="center" wrapText="1"/>
    </xf>
    <xf numFmtId="0" fontId="0" fillId="0" borderId="16" xfId="0" applyBorder="1" applyAlignment="1">
      <alignment vertical="center" wrapText="1"/>
    </xf>
    <xf numFmtId="0" fontId="0" fillId="0" borderId="0" xfId="0" applyAlignment="1">
      <alignment horizontal="center" vertical="center" wrapText="1"/>
    </xf>
    <xf numFmtId="0" fontId="0" fillId="0" borderId="0" xfId="0" applyAlignment="1">
      <alignment horizontal="left" vertical="center"/>
    </xf>
    <xf numFmtId="0" fontId="57" fillId="0" borderId="0" xfId="0" applyFont="1" applyAlignment="1">
      <alignment vertical="center" wrapText="1"/>
    </xf>
    <xf numFmtId="0" fontId="56" fillId="0" borderId="1" xfId="0" applyFont="1" applyBorder="1" applyAlignment="1">
      <alignment horizontal="centerContinuous" vertical="center" wrapText="1"/>
    </xf>
    <xf numFmtId="0" fontId="57" fillId="0" borderId="38" xfId="0" applyFont="1" applyBorder="1" applyAlignment="1">
      <alignment vertical="center" wrapText="1"/>
    </xf>
    <xf numFmtId="0" fontId="0" fillId="0" borderId="1" xfId="0" applyBorder="1" applyAlignment="1">
      <alignment horizontal="center" vertical="center" wrapText="1"/>
    </xf>
    <xf numFmtId="0" fontId="44" fillId="0" borderId="1" xfId="0" applyFont="1" applyBorder="1" applyAlignment="1" applyProtection="1">
      <alignment horizontal="center" vertical="center" wrapText="1"/>
      <protection locked="0"/>
    </xf>
    <xf numFmtId="0" fontId="64" fillId="0" borderId="1" xfId="0" applyFont="1" applyBorder="1" applyAlignment="1" applyProtection="1">
      <alignment horizontal="center" vertical="center" wrapText="1"/>
      <protection locked="0"/>
    </xf>
    <xf numFmtId="0" fontId="9" fillId="0" borderId="24" xfId="0" applyFont="1" applyBorder="1" applyAlignment="1" applyProtection="1">
      <alignment vertical="center" wrapText="1"/>
      <protection locked="0"/>
    </xf>
    <xf numFmtId="0" fontId="9" fillId="0" borderId="10" xfId="0" applyFont="1" applyBorder="1" applyAlignment="1">
      <alignment horizontal="center" vertical="center" wrapText="1"/>
    </xf>
    <xf numFmtId="3" fontId="9" fillId="4" borderId="7" xfId="0" applyNumberFormat="1" applyFont="1" applyFill="1" applyBorder="1" applyAlignment="1">
      <alignment vertical="center" shrinkToFit="1"/>
    </xf>
    <xf numFmtId="0" fontId="10" fillId="3" borderId="24" xfId="0" applyFont="1" applyFill="1" applyBorder="1">
      <alignment vertical="center"/>
    </xf>
    <xf numFmtId="3" fontId="10" fillId="3" borderId="24" xfId="0" applyNumberFormat="1" applyFont="1" applyFill="1" applyBorder="1" applyAlignment="1">
      <alignment horizontal="right" vertical="center" shrinkToFit="1"/>
    </xf>
    <xf numFmtId="3" fontId="10" fillId="3" borderId="24" xfId="0" applyNumberFormat="1" applyFont="1" applyFill="1" applyBorder="1" applyAlignment="1">
      <alignment horizontal="center" vertical="center" shrinkToFit="1"/>
    </xf>
    <xf numFmtId="0" fontId="54" fillId="0" borderId="1" xfId="0" applyFont="1" applyBorder="1" applyAlignment="1">
      <alignment horizontal="center" vertical="center"/>
    </xf>
    <xf numFmtId="0" fontId="30" fillId="0" borderId="1" xfId="0" applyFont="1" applyBorder="1" applyAlignment="1" applyProtection="1">
      <alignment horizontal="center" vertical="center"/>
      <protection locked="0"/>
    </xf>
    <xf numFmtId="0" fontId="0" fillId="0" borderId="17" xfId="0" applyBorder="1" applyAlignment="1">
      <alignment vertical="center" wrapText="1"/>
    </xf>
    <xf numFmtId="0" fontId="4" fillId="5" borderId="24" xfId="0" applyFont="1" applyFill="1" applyBorder="1" applyAlignment="1">
      <alignment horizontal="center" vertical="center" wrapText="1"/>
    </xf>
    <xf numFmtId="0" fontId="12" fillId="0" borderId="16" xfId="0" applyFont="1" applyBorder="1" applyAlignment="1">
      <alignment horizontal="center" vertical="center" wrapText="1"/>
    </xf>
    <xf numFmtId="0" fontId="31" fillId="0" borderId="16" xfId="0" applyFont="1" applyBorder="1" applyAlignment="1">
      <alignment horizontal="center" vertical="center" wrapText="1"/>
    </xf>
    <xf numFmtId="0" fontId="12" fillId="0" borderId="0" xfId="0" applyFont="1" applyAlignment="1">
      <alignment horizontal="center" vertical="center" wrapText="1"/>
    </xf>
    <xf numFmtId="0" fontId="31" fillId="0" borderId="0" xfId="0" applyFont="1" applyAlignment="1">
      <alignment horizontal="center" vertical="center" wrapText="1"/>
    </xf>
    <xf numFmtId="0" fontId="0" fillId="0" borderId="39" xfId="0" applyBorder="1" applyAlignment="1">
      <alignment vertical="center" wrapText="1"/>
    </xf>
    <xf numFmtId="0" fontId="50" fillId="5" borderId="1" xfId="0" applyFont="1" applyFill="1" applyBorder="1" applyAlignment="1">
      <alignment horizontal="center" vertical="center"/>
    </xf>
    <xf numFmtId="0" fontId="50" fillId="5"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xf>
    <xf numFmtId="0" fontId="0" fillId="0" borderId="0" xfId="0" applyAlignment="1">
      <alignment horizontal="centerContinuous" vertical="center"/>
    </xf>
    <xf numFmtId="0" fontId="21" fillId="0" borderId="0" xfId="0" applyFont="1" applyAlignment="1">
      <alignment horizontal="centerContinuous" vertical="center"/>
    </xf>
    <xf numFmtId="0" fontId="29" fillId="0" borderId="1" xfId="0" applyFont="1" applyBorder="1" applyAlignment="1">
      <alignment horizontal="center" vertical="center" wrapText="1"/>
    </xf>
    <xf numFmtId="0" fontId="0" fillId="0" borderId="24" xfId="0" applyBorder="1" applyProtection="1">
      <alignment vertical="center"/>
      <protection locked="0"/>
    </xf>
    <xf numFmtId="3" fontId="0" fillId="0" borderId="24" xfId="0" applyNumberFormat="1" applyBorder="1" applyProtection="1">
      <alignment vertical="center"/>
      <protection locked="0"/>
    </xf>
    <xf numFmtId="3" fontId="9" fillId="0" borderId="0" xfId="0" applyNumberFormat="1" applyFont="1" applyAlignment="1">
      <alignment vertical="center" wrapText="1"/>
    </xf>
    <xf numFmtId="0" fontId="3" fillId="0" borderId="0" xfId="0" applyFont="1">
      <alignment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3" fontId="3" fillId="0" borderId="1" xfId="0" applyNumberFormat="1" applyFont="1" applyBorder="1" applyAlignment="1">
      <alignment horizontal="center" vertical="center" wrapText="1"/>
    </xf>
    <xf numFmtId="0" fontId="3" fillId="0" borderId="7" xfId="0" applyFont="1" applyBorder="1" applyAlignment="1">
      <alignment horizontal="center" vertical="center"/>
    </xf>
    <xf numFmtId="0" fontId="3" fillId="0" borderId="1" xfId="0" applyFont="1" applyBorder="1" applyAlignment="1">
      <alignment horizontal="left" vertical="center"/>
    </xf>
    <xf numFmtId="3" fontId="3" fillId="0" borderId="1" xfId="0" applyNumberFormat="1" applyFont="1" applyBorder="1">
      <alignment vertical="center"/>
    </xf>
    <xf numFmtId="3" fontId="3" fillId="0" borderId="7" xfId="0" applyNumberFormat="1" applyFont="1" applyBorder="1">
      <alignment vertical="center"/>
    </xf>
    <xf numFmtId="0" fontId="3" fillId="0" borderId="1" xfId="0" applyFont="1" applyBorder="1">
      <alignment vertical="center"/>
    </xf>
    <xf numFmtId="0" fontId="3" fillId="0" borderId="13" xfId="0" applyFont="1" applyBorder="1" applyAlignment="1">
      <alignment horizontal="center" vertical="center"/>
    </xf>
    <xf numFmtId="0" fontId="3" fillId="0" borderId="6" xfId="0" applyFont="1" applyBorder="1">
      <alignment vertical="center"/>
    </xf>
    <xf numFmtId="0" fontId="3" fillId="0" borderId="0" xfId="0" applyFont="1" applyAlignment="1">
      <alignment horizontal="center" vertical="center" wrapText="1"/>
    </xf>
    <xf numFmtId="0" fontId="3" fillId="0" borderId="0" xfId="0" applyFont="1" applyAlignment="1">
      <alignment vertical="center" wrapText="1"/>
    </xf>
    <xf numFmtId="3" fontId="3" fillId="0" borderId="0" xfId="0" applyNumberFormat="1" applyFont="1">
      <alignment vertical="center"/>
    </xf>
    <xf numFmtId="3" fontId="3" fillId="0" borderId="6" xfId="0" applyNumberFormat="1" applyFont="1" applyBorder="1" applyProtection="1">
      <alignment vertical="center"/>
      <protection locked="0"/>
    </xf>
    <xf numFmtId="3" fontId="3" fillId="0" borderId="24" xfId="0" applyNumberFormat="1" applyFont="1" applyBorder="1">
      <alignment vertical="center"/>
    </xf>
    <xf numFmtId="0" fontId="29" fillId="0" borderId="24" xfId="0" applyFont="1" applyBorder="1" applyProtection="1">
      <alignment vertical="center"/>
      <protection locked="0"/>
    </xf>
    <xf numFmtId="0" fontId="29" fillId="0" borderId="2" xfId="0" applyFont="1" applyBorder="1" applyAlignment="1">
      <alignment horizontal="centerContinuous" vertical="center" wrapText="1"/>
    </xf>
    <xf numFmtId="0" fontId="29" fillId="0" borderId="3" xfId="0" applyFont="1" applyBorder="1" applyAlignment="1">
      <alignment horizontal="centerContinuous" vertical="center" wrapText="1"/>
    </xf>
    <xf numFmtId="0" fontId="29" fillId="0" borderId="3" xfId="0" applyFont="1" applyBorder="1" applyAlignment="1">
      <alignment horizontal="centerContinuous" vertical="center"/>
    </xf>
    <xf numFmtId="0" fontId="14" fillId="0" borderId="21" xfId="0" applyFont="1" applyBorder="1">
      <alignment vertical="center"/>
    </xf>
    <xf numFmtId="0" fontId="28" fillId="0" borderId="1" xfId="0" applyFont="1" applyBorder="1" applyAlignment="1">
      <alignment horizontal="centerContinuous" vertical="center" wrapText="1"/>
    </xf>
    <xf numFmtId="0" fontId="9" fillId="0" borderId="34" xfId="0" applyFont="1" applyBorder="1">
      <alignment vertical="center"/>
    </xf>
    <xf numFmtId="0" fontId="11" fillId="0" borderId="0" xfId="0" applyFont="1" applyAlignment="1">
      <alignment horizontal="center" vertical="center" wrapText="1"/>
    </xf>
    <xf numFmtId="0" fontId="9" fillId="0" borderId="25" xfId="0" applyFont="1" applyBorder="1">
      <alignment vertical="center"/>
    </xf>
    <xf numFmtId="0" fontId="9" fillId="0" borderId="26" xfId="0" applyFont="1" applyBorder="1">
      <alignment vertical="center"/>
    </xf>
    <xf numFmtId="0" fontId="9" fillId="0" borderId="26" xfId="0" applyFont="1" applyBorder="1" applyAlignment="1">
      <alignment horizontal="center" vertical="center"/>
    </xf>
    <xf numFmtId="0" fontId="9" fillId="0" borderId="27" xfId="0" applyFont="1" applyBorder="1">
      <alignment vertical="center"/>
    </xf>
    <xf numFmtId="0" fontId="9" fillId="0" borderId="28" xfId="0" applyFont="1" applyBorder="1">
      <alignment vertical="center"/>
    </xf>
    <xf numFmtId="0" fontId="9" fillId="0" borderId="29" xfId="0" applyFont="1" applyBorder="1">
      <alignment vertical="center"/>
    </xf>
    <xf numFmtId="0" fontId="12" fillId="0" borderId="29" xfId="0" applyFont="1" applyBorder="1">
      <alignment vertical="center"/>
    </xf>
    <xf numFmtId="0" fontId="9" fillId="0" borderId="30" xfId="0" applyFont="1" applyBorder="1">
      <alignment vertical="center"/>
    </xf>
    <xf numFmtId="0" fontId="9" fillId="0" borderId="31" xfId="0" applyFont="1" applyBorder="1">
      <alignment vertical="center"/>
    </xf>
    <xf numFmtId="0" fontId="15" fillId="0" borderId="31" xfId="0" applyFont="1" applyBorder="1">
      <alignment vertical="center"/>
    </xf>
    <xf numFmtId="0" fontId="9" fillId="0" borderId="31" xfId="0" applyFont="1" applyBorder="1" applyAlignment="1">
      <alignment horizontal="center" vertical="center" wrapText="1"/>
    </xf>
    <xf numFmtId="177" fontId="9" fillId="0" borderId="31" xfId="0" applyNumberFormat="1" applyFont="1" applyBorder="1">
      <alignment vertical="center"/>
    </xf>
    <xf numFmtId="0" fontId="9" fillId="0" borderId="31" xfId="0" applyFont="1" applyBorder="1" applyAlignment="1">
      <alignment vertical="center" wrapText="1"/>
    </xf>
    <xf numFmtId="177" fontId="9" fillId="0" borderId="32" xfId="0" applyNumberFormat="1" applyFont="1" applyBorder="1">
      <alignment vertical="center"/>
    </xf>
    <xf numFmtId="0" fontId="10" fillId="0" borderId="0" xfId="0" applyFont="1" applyAlignment="1">
      <alignment horizontal="center" vertical="center" wrapText="1"/>
    </xf>
    <xf numFmtId="0" fontId="9" fillId="0" borderId="3"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30" fillId="0" borderId="1" xfId="0" applyFont="1" applyBorder="1" applyAlignment="1">
      <alignment horizontal="center" vertical="center"/>
    </xf>
    <xf numFmtId="176" fontId="0" fillId="0" borderId="1" xfId="0" applyNumberFormat="1" applyBorder="1" applyProtection="1">
      <alignment vertical="center"/>
      <protection locked="0"/>
    </xf>
    <xf numFmtId="0" fontId="21" fillId="0" borderId="16" xfId="0" applyFont="1" applyBorder="1" applyAlignment="1">
      <alignment vertical="center" wrapText="1"/>
    </xf>
    <xf numFmtId="9" fontId="21" fillId="0" borderId="7" xfId="0" applyNumberFormat="1" applyFont="1" applyBorder="1" applyProtection="1">
      <alignment vertical="center"/>
      <protection locked="0"/>
    </xf>
    <xf numFmtId="3" fontId="21" fillId="0" borderId="6" xfId="0" applyNumberFormat="1" applyFont="1" applyBorder="1" applyProtection="1">
      <alignment vertical="center"/>
      <protection locked="0"/>
    </xf>
    <xf numFmtId="3" fontId="21" fillId="0" borderId="8" xfId="0" applyNumberFormat="1" applyFont="1" applyBorder="1" applyProtection="1">
      <alignment vertical="center"/>
      <protection locked="0"/>
    </xf>
    <xf numFmtId="3" fontId="21" fillId="0" borderId="35" xfId="0" applyNumberFormat="1" applyFont="1" applyBorder="1" applyProtection="1">
      <alignment vertical="center"/>
      <protection locked="0"/>
    </xf>
    <xf numFmtId="0" fontId="31" fillId="5" borderId="24" xfId="0" applyFont="1" applyFill="1" applyBorder="1" applyAlignment="1">
      <alignment horizontal="center" vertical="center"/>
    </xf>
    <xf numFmtId="0" fontId="9" fillId="0" borderId="13" xfId="0" applyFont="1" applyBorder="1" applyAlignment="1" applyProtection="1">
      <alignment vertical="center" wrapText="1"/>
      <protection locked="0"/>
    </xf>
    <xf numFmtId="3" fontId="9" fillId="0" borderId="7" xfId="0" applyNumberFormat="1" applyFont="1" applyBorder="1">
      <alignment vertical="center"/>
    </xf>
    <xf numFmtId="0" fontId="5" fillId="0" borderId="0" xfId="0" applyFont="1">
      <alignment vertical="center"/>
    </xf>
    <xf numFmtId="0" fontId="7" fillId="0" borderId="0" xfId="0" applyFont="1">
      <alignment vertical="center"/>
    </xf>
    <xf numFmtId="180" fontId="21" fillId="3" borderId="2" xfId="0" applyNumberFormat="1" applyFont="1" applyFill="1" applyBorder="1" applyAlignment="1">
      <alignment horizontal="centerContinuous" vertical="center"/>
    </xf>
    <xf numFmtId="180" fontId="10" fillId="3" borderId="3" xfId="0" applyNumberFormat="1" applyFont="1" applyFill="1" applyBorder="1" applyAlignment="1">
      <alignment horizontal="centerContinuous" vertical="center"/>
    </xf>
    <xf numFmtId="183" fontId="10" fillId="3" borderId="24" xfId="0" applyNumberFormat="1" applyFont="1" applyFill="1" applyBorder="1">
      <alignment vertical="center"/>
    </xf>
    <xf numFmtId="0" fontId="54" fillId="0" borderId="1" xfId="0" applyFont="1" applyBorder="1" applyAlignment="1">
      <alignment horizontal="center" vertical="center" wrapText="1"/>
    </xf>
    <xf numFmtId="179" fontId="17" fillId="0" borderId="1" xfId="0" applyNumberFormat="1" applyFont="1" applyBorder="1" applyProtection="1">
      <alignment vertical="center"/>
      <protection locked="0"/>
    </xf>
    <xf numFmtId="179" fontId="17" fillId="0" borderId="1" xfId="0" applyNumberFormat="1" applyFont="1" applyBorder="1" applyAlignment="1" applyProtection="1">
      <alignment vertical="center" wrapText="1"/>
      <protection locked="0"/>
    </xf>
    <xf numFmtId="179" fontId="17" fillId="0" borderId="7" xfId="0" applyNumberFormat="1" applyFont="1" applyBorder="1" applyProtection="1">
      <alignment vertical="center"/>
      <protection locked="0"/>
    </xf>
    <xf numFmtId="0" fontId="10" fillId="0" borderId="33" xfId="0" applyFont="1" applyBorder="1" applyAlignment="1" applyProtection="1">
      <alignment horizontal="center" vertical="center" wrapText="1"/>
      <protection locked="0"/>
    </xf>
    <xf numFmtId="3" fontId="40" fillId="0" borderId="6" xfId="0" applyNumberFormat="1" applyFont="1" applyBorder="1" applyProtection="1">
      <alignment vertical="center"/>
      <protection locked="0"/>
    </xf>
    <xf numFmtId="3" fontId="40" fillId="0" borderId="1" xfId="0" applyNumberFormat="1" applyFont="1" applyBorder="1" applyProtection="1">
      <alignment vertical="center"/>
      <protection locked="0"/>
    </xf>
    <xf numFmtId="9" fontId="40" fillId="0" borderId="6" xfId="0" applyNumberFormat="1" applyFont="1" applyBorder="1" applyProtection="1">
      <alignment vertical="center"/>
      <protection locked="0"/>
    </xf>
    <xf numFmtId="176" fontId="40" fillId="0" borderId="6" xfId="0" applyNumberFormat="1" applyFont="1" applyBorder="1" applyProtection="1">
      <alignment vertical="center"/>
      <protection locked="0"/>
    </xf>
    <xf numFmtId="176" fontId="40" fillId="0" borderId="1" xfId="0" applyNumberFormat="1" applyFont="1" applyBorder="1" applyProtection="1">
      <alignment vertical="center"/>
      <protection locked="0"/>
    </xf>
    <xf numFmtId="0" fontId="17" fillId="0" borderId="12"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10" xfId="0" applyFont="1" applyBorder="1" applyAlignment="1">
      <alignment horizontal="centerContinuous" vertical="center"/>
    </xf>
    <xf numFmtId="0" fontId="17" fillId="0" borderId="11" xfId="0" applyFont="1" applyBorder="1" applyAlignment="1">
      <alignment horizontal="centerContinuous" vertical="center"/>
    </xf>
    <xf numFmtId="0" fontId="17" fillId="0" borderId="10" xfId="0" applyFont="1" applyBorder="1" applyAlignment="1">
      <alignment horizontal="center" vertical="center"/>
    </xf>
    <xf numFmtId="0" fontId="17" fillId="0" borderId="7" xfId="0" applyFont="1" applyBorder="1" applyAlignment="1">
      <alignment horizontal="centerContinuous" vertical="center"/>
    </xf>
    <xf numFmtId="0" fontId="17" fillId="0" borderId="13"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13" xfId="0" applyFont="1" applyBorder="1" applyAlignment="1">
      <alignment horizontal="center" vertical="top" wrapText="1"/>
    </xf>
    <xf numFmtId="0" fontId="17" fillId="0" borderId="6" xfId="0" applyFont="1" applyBorder="1" applyAlignment="1">
      <alignment horizontal="center" vertical="top" wrapText="1"/>
    </xf>
    <xf numFmtId="0" fontId="17" fillId="0" borderId="5" xfId="0" applyFont="1" applyBorder="1" applyAlignment="1">
      <alignment horizontal="center" vertical="top" wrapText="1"/>
    </xf>
    <xf numFmtId="0" fontId="17" fillId="0" borderId="8" xfId="0" applyFont="1" applyBorder="1" applyAlignment="1">
      <alignment horizontal="center" vertical="top" wrapText="1"/>
    </xf>
    <xf numFmtId="0" fontId="17" fillId="0" borderId="1" xfId="0" applyFont="1" applyBorder="1" applyAlignment="1">
      <alignment horizontal="center" vertical="center" wrapText="1"/>
    </xf>
    <xf numFmtId="0" fontId="17" fillId="0" borderId="4" xfId="0" applyFont="1" applyBorder="1" applyAlignment="1">
      <alignment horizontal="center" vertical="top" wrapText="1"/>
    </xf>
    <xf numFmtId="0" fontId="40" fillId="0" borderId="24" xfId="0" applyFont="1" applyBorder="1" applyAlignment="1">
      <alignment horizontal="center" vertical="center" wrapText="1"/>
    </xf>
    <xf numFmtId="180" fontId="40" fillId="0" borderId="24" xfId="0" applyNumberFormat="1" applyFont="1" applyBorder="1" applyAlignment="1">
      <alignment vertical="center" wrapText="1"/>
    </xf>
    <xf numFmtId="0" fontId="9" fillId="0" borderId="1" xfId="0" applyFont="1" applyBorder="1">
      <alignment vertical="center"/>
    </xf>
    <xf numFmtId="3" fontId="0" fillId="0" borderId="1" xfId="0" applyNumberFormat="1" applyBorder="1">
      <alignment vertical="center"/>
    </xf>
    <xf numFmtId="182" fontId="42" fillId="0" borderId="3" xfId="0" applyNumberFormat="1" applyFont="1" applyBorder="1" applyAlignment="1">
      <alignment vertical="center" wrapText="1"/>
    </xf>
    <xf numFmtId="182" fontId="42" fillId="0" borderId="15" xfId="0" applyNumberFormat="1" applyFont="1" applyBorder="1" applyAlignment="1">
      <alignment vertical="center" wrapText="1"/>
    </xf>
    <xf numFmtId="182" fontId="42" fillId="0" borderId="1" xfId="0" applyNumberFormat="1" applyFont="1" applyBorder="1" applyAlignment="1" applyProtection="1">
      <alignment vertical="center" wrapText="1"/>
      <protection hidden="1"/>
    </xf>
    <xf numFmtId="0" fontId="12" fillId="0" borderId="1" xfId="0" applyFont="1" applyBorder="1">
      <alignment vertical="center"/>
    </xf>
    <xf numFmtId="0" fontId="14" fillId="0" borderId="24" xfId="0" applyFont="1" applyBorder="1">
      <alignment vertical="center"/>
    </xf>
    <xf numFmtId="9" fontId="12" fillId="0" borderId="1" xfId="0" applyNumberFormat="1" applyFont="1" applyBorder="1">
      <alignment vertical="center"/>
    </xf>
    <xf numFmtId="0" fontId="41" fillId="0" borderId="5" xfId="0" applyFont="1" applyBorder="1" applyAlignment="1">
      <alignment horizontal="left" vertical="center"/>
    </xf>
    <xf numFmtId="0" fontId="17" fillId="0" borderId="4" xfId="0" applyFont="1" applyBorder="1" applyAlignment="1">
      <alignment vertical="center" wrapText="1"/>
    </xf>
    <xf numFmtId="0" fontId="40" fillId="0" borderId="16" xfId="0" applyFont="1" applyBorder="1" applyAlignment="1">
      <alignment horizontal="center" vertical="center" wrapText="1"/>
    </xf>
    <xf numFmtId="180" fontId="40" fillId="0" borderId="16" xfId="0" applyNumberFormat="1" applyFont="1" applyBorder="1" applyAlignment="1">
      <alignment vertical="center" wrapText="1"/>
    </xf>
    <xf numFmtId="0" fontId="40" fillId="0" borderId="13" xfId="0" applyFont="1" applyBorder="1">
      <alignment vertical="center"/>
    </xf>
    <xf numFmtId="0" fontId="3" fillId="0" borderId="1" xfId="0" applyFont="1" applyBorder="1" applyProtection="1">
      <alignment vertical="center"/>
      <protection locked="0"/>
    </xf>
    <xf numFmtId="0" fontId="0" fillId="0" borderId="1" xfId="0" applyBorder="1" applyAlignment="1">
      <alignment vertical="center" wrapText="1"/>
    </xf>
    <xf numFmtId="0" fontId="8" fillId="0" borderId="1" xfId="0" applyFont="1" applyBorder="1" applyAlignment="1" applyProtection="1">
      <alignment vertical="center" wrapText="1"/>
      <protection locked="0"/>
    </xf>
    <xf numFmtId="0" fontId="65" fillId="0" borderId="1" xfId="0" applyFont="1" applyBorder="1">
      <alignment vertical="center"/>
    </xf>
    <xf numFmtId="0" fontId="29" fillId="0" borderId="3" xfId="0" applyFont="1" applyBorder="1" applyAlignment="1">
      <alignment horizontal="center" vertical="center" wrapText="1"/>
    </xf>
    <xf numFmtId="0" fontId="0" fillId="0" borderId="37" xfId="0" applyBorder="1" applyProtection="1">
      <alignment vertical="center"/>
      <protection locked="0"/>
    </xf>
    <xf numFmtId="3" fontId="11" fillId="0" borderId="1" xfId="0" applyNumberFormat="1" applyFont="1" applyBorder="1" applyAlignment="1" applyProtection="1">
      <alignment vertical="center" shrinkToFit="1"/>
      <protection locked="0"/>
    </xf>
    <xf numFmtId="3" fontId="9" fillId="0" borderId="0" xfId="0" applyNumberFormat="1" applyFont="1" applyProtection="1">
      <alignment vertical="center"/>
      <protection locked="0"/>
    </xf>
    <xf numFmtId="0" fontId="0" fillId="0" borderId="17" xfId="0" applyBorder="1" applyProtection="1">
      <alignment vertical="center"/>
      <protection locked="0"/>
    </xf>
    <xf numFmtId="3" fontId="0" fillId="0" borderId="0" xfId="0" applyNumberFormat="1" applyProtection="1">
      <alignment vertical="center"/>
      <protection locked="0"/>
    </xf>
    <xf numFmtId="0" fontId="66" fillId="0" borderId="0" xfId="0" applyFont="1">
      <alignment vertical="center"/>
    </xf>
    <xf numFmtId="0" fontId="65" fillId="0" borderId="1" xfId="0" applyFont="1" applyBorder="1" applyProtection="1">
      <alignment vertical="center"/>
      <protection locked="0"/>
    </xf>
    <xf numFmtId="0" fontId="9" fillId="0" borderId="37" xfId="0" applyFont="1" applyBorder="1" applyAlignment="1" applyProtection="1">
      <alignment vertical="center" wrapText="1"/>
      <protection locked="0"/>
    </xf>
    <xf numFmtId="179" fontId="9" fillId="0" borderId="24" xfId="0" applyNumberFormat="1" applyFont="1" applyBorder="1" applyAlignment="1" applyProtection="1">
      <alignment vertical="center" shrinkToFit="1"/>
      <protection locked="0"/>
    </xf>
    <xf numFmtId="0" fontId="30" fillId="0" borderId="1" xfId="0" applyFont="1" applyBorder="1" applyAlignment="1">
      <alignment horizontal="center" vertical="center" wrapText="1"/>
    </xf>
    <xf numFmtId="0" fontId="0" fillId="0" borderId="1" xfId="0" applyBorder="1" applyAlignment="1" applyProtection="1">
      <alignment vertical="center" wrapText="1"/>
      <protection locked="0"/>
    </xf>
    <xf numFmtId="0" fontId="3" fillId="0" borderId="24" xfId="0" applyFont="1" applyBorder="1">
      <alignment vertical="center"/>
    </xf>
    <xf numFmtId="0" fontId="0" fillId="0" borderId="24" xfId="0" applyBorder="1" applyAlignment="1" applyProtection="1">
      <alignment vertical="center" wrapText="1"/>
      <protection locked="0"/>
    </xf>
    <xf numFmtId="0" fontId="4" fillId="9" borderId="24" xfId="0" applyFont="1" applyFill="1" applyBorder="1" applyAlignment="1" applyProtection="1">
      <alignment horizontal="center" vertical="center"/>
      <protection locked="0"/>
    </xf>
    <xf numFmtId="9" fontId="0" fillId="9" borderId="24" xfId="0" applyNumberFormat="1" applyFill="1" applyBorder="1" applyAlignment="1" applyProtection="1">
      <alignment horizontal="center" vertical="center"/>
      <protection locked="0"/>
    </xf>
    <xf numFmtId="0" fontId="4" fillId="9" borderId="1" xfId="0" applyFont="1" applyFill="1" applyBorder="1" applyAlignment="1" applyProtection="1">
      <alignment horizontal="center" vertical="center"/>
      <protection locked="0"/>
    </xf>
    <xf numFmtId="9" fontId="0" fillId="9" borderId="1" xfId="0" applyNumberFormat="1" applyFill="1" applyBorder="1" applyAlignment="1" applyProtection="1">
      <alignment horizontal="center" vertical="center"/>
      <protection locked="0"/>
    </xf>
    <xf numFmtId="0" fontId="31" fillId="9" borderId="24" xfId="0" applyFont="1" applyFill="1" applyBorder="1" applyAlignment="1" applyProtection="1">
      <alignment horizontal="center" vertical="center"/>
      <protection locked="0"/>
    </xf>
    <xf numFmtId="0" fontId="0" fillId="9" borderId="24" xfId="0" applyFill="1" applyBorder="1" applyAlignment="1" applyProtection="1">
      <alignment horizontal="center" vertical="center"/>
      <protection locked="0"/>
    </xf>
    <xf numFmtId="9" fontId="8" fillId="9" borderId="24" xfId="0" applyNumberFormat="1" applyFont="1" applyFill="1" applyBorder="1" applyAlignment="1" applyProtection="1">
      <alignment horizontal="center" vertical="center"/>
      <protection locked="0"/>
    </xf>
    <xf numFmtId="0" fontId="0" fillId="9" borderId="6" xfId="0" applyFill="1" applyBorder="1" applyAlignment="1" applyProtection="1">
      <alignment horizontal="center" vertical="center"/>
      <protection locked="0"/>
    </xf>
    <xf numFmtId="9" fontId="0" fillId="9" borderId="6" xfId="0" applyNumberFormat="1" applyFill="1" applyBorder="1" applyAlignment="1" applyProtection="1">
      <alignment horizontal="center" vertical="center"/>
      <protection locked="0"/>
    </xf>
    <xf numFmtId="0" fontId="0" fillId="9" borderId="1" xfId="0" applyFill="1" applyBorder="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0" fillId="0" borderId="45" xfId="0" applyBorder="1" applyAlignment="1">
      <alignment horizontal="center" vertical="center"/>
    </xf>
    <xf numFmtId="0" fontId="0" fillId="0" borderId="45" xfId="0" applyBorder="1">
      <alignment vertical="center"/>
    </xf>
    <xf numFmtId="0" fontId="0" fillId="0" borderId="44" xfId="0" applyBorder="1">
      <alignment vertical="center"/>
    </xf>
    <xf numFmtId="0" fontId="0" fillId="0" borderId="48" xfId="0" applyBorder="1">
      <alignment vertical="center"/>
    </xf>
    <xf numFmtId="0" fontId="0" fillId="0" borderId="49" xfId="0" applyBorder="1">
      <alignment vertical="center"/>
    </xf>
    <xf numFmtId="0" fontId="68" fillId="0" borderId="48" xfId="0" applyFont="1" applyBorder="1">
      <alignment vertical="center"/>
    </xf>
    <xf numFmtId="0" fontId="0" fillId="0" borderId="46" xfId="0" applyBorder="1">
      <alignment vertical="center"/>
    </xf>
    <xf numFmtId="0" fontId="0" fillId="0" borderId="50" xfId="0" applyBorder="1">
      <alignment vertical="center"/>
    </xf>
    <xf numFmtId="0" fontId="0" fillId="0" borderId="50" xfId="0" applyBorder="1" applyAlignment="1">
      <alignment horizontal="center" vertical="center"/>
    </xf>
    <xf numFmtId="0" fontId="0" fillId="0" borderId="47" xfId="0" applyBorder="1">
      <alignment vertical="center"/>
    </xf>
    <xf numFmtId="0" fontId="3" fillId="0" borderId="3" xfId="0" applyFont="1" applyBorder="1">
      <alignment vertical="center"/>
    </xf>
    <xf numFmtId="0" fontId="3" fillId="0" borderId="18" xfId="0" applyFont="1" applyBorder="1">
      <alignment vertical="center"/>
    </xf>
    <xf numFmtId="0" fontId="3" fillId="0" borderId="17" xfId="0" applyFont="1" applyBorder="1">
      <alignment vertical="center"/>
    </xf>
    <xf numFmtId="0" fontId="3" fillId="0" borderId="17" xfId="0" applyFont="1" applyBorder="1" applyAlignment="1">
      <alignment horizontal="center" vertical="center" wrapText="1"/>
    </xf>
    <xf numFmtId="0" fontId="3" fillId="0" borderId="17" xfId="0" applyFont="1" applyBorder="1" applyAlignment="1">
      <alignment vertical="center" wrapText="1"/>
    </xf>
    <xf numFmtId="3" fontId="3" fillId="0" borderId="17" xfId="0" applyNumberFormat="1" applyFont="1" applyBorder="1">
      <alignment vertical="center"/>
    </xf>
    <xf numFmtId="0" fontId="3" fillId="0" borderId="20" xfId="0" applyFont="1" applyBorder="1">
      <alignment vertical="center"/>
    </xf>
    <xf numFmtId="0" fontId="3" fillId="0" borderId="20" xfId="0" applyFont="1" applyBorder="1" applyProtection="1">
      <alignment vertical="center"/>
      <protection locked="0"/>
    </xf>
    <xf numFmtId="0" fontId="3" fillId="0" borderId="22" xfId="0" applyFont="1" applyBorder="1">
      <alignment vertical="center"/>
    </xf>
    <xf numFmtId="0" fontId="3" fillId="0" borderId="16" xfId="0" applyFont="1" applyBorder="1">
      <alignment vertical="center"/>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6" xfId="0" applyNumberFormat="1" applyFont="1" applyBorder="1">
      <alignment vertical="center"/>
    </xf>
    <xf numFmtId="0" fontId="44" fillId="0" borderId="1" xfId="0" applyFont="1" applyBorder="1">
      <alignment vertical="center"/>
    </xf>
    <xf numFmtId="0" fontId="4" fillId="0" borderId="0" xfId="0" applyFont="1" applyAlignment="1">
      <alignment horizontal="center" vertical="center"/>
    </xf>
    <xf numFmtId="0" fontId="47" fillId="0" borderId="7" xfId="0" applyFont="1" applyBorder="1" applyAlignment="1">
      <alignment vertical="center" wrapText="1"/>
    </xf>
    <xf numFmtId="0" fontId="38" fillId="7" borderId="2" xfId="0" applyFont="1" applyFill="1" applyBorder="1">
      <alignment vertical="center"/>
    </xf>
    <xf numFmtId="0" fontId="11" fillId="7" borderId="9" xfId="0" applyFont="1" applyFill="1" applyBorder="1" applyAlignment="1">
      <alignment horizontal="center" vertical="center" wrapText="1"/>
    </xf>
    <xf numFmtId="3" fontId="11" fillId="7" borderId="9" xfId="0" applyNumberFormat="1" applyFont="1" applyFill="1" applyBorder="1" applyAlignment="1">
      <alignment vertical="center" wrapText="1"/>
    </xf>
    <xf numFmtId="3" fontId="11" fillId="7" borderId="9" xfId="0" applyNumberFormat="1" applyFont="1" applyFill="1" applyBorder="1" applyAlignment="1">
      <alignment horizontal="center" vertical="center" shrinkToFit="1"/>
    </xf>
    <xf numFmtId="3" fontId="11" fillId="7" borderId="9" xfId="0" applyNumberFormat="1" applyFont="1" applyFill="1" applyBorder="1" applyAlignment="1">
      <alignment vertical="center" shrinkToFit="1"/>
    </xf>
    <xf numFmtId="0" fontId="29" fillId="9" borderId="24" xfId="0" applyFont="1" applyFill="1" applyBorder="1" applyAlignment="1" applyProtection="1">
      <alignment vertical="center" wrapText="1"/>
      <protection locked="0"/>
    </xf>
    <xf numFmtId="0" fontId="29" fillId="9" borderId="14" xfId="0" applyFont="1" applyFill="1" applyBorder="1" applyAlignment="1" applyProtection="1">
      <alignment vertical="center" wrapText="1"/>
      <protection locked="0"/>
    </xf>
    <xf numFmtId="3" fontId="29" fillId="9" borderId="24" xfId="0" applyNumberFormat="1" applyFont="1" applyFill="1" applyBorder="1" applyAlignment="1" applyProtection="1">
      <alignment vertical="center" shrinkToFit="1"/>
      <protection locked="0"/>
    </xf>
    <xf numFmtId="3" fontId="0" fillId="9" borderId="6" xfId="0" applyNumberFormat="1" applyFill="1" applyBorder="1" applyAlignment="1" applyProtection="1">
      <alignment vertical="center" wrapText="1"/>
      <protection locked="0"/>
    </xf>
    <xf numFmtId="3" fontId="0" fillId="9" borderId="1" xfId="0" applyNumberFormat="1" applyFill="1" applyBorder="1" applyAlignment="1" applyProtection="1">
      <alignment vertical="center" wrapText="1"/>
      <protection locked="0"/>
    </xf>
    <xf numFmtId="3" fontId="29" fillId="9" borderId="24" xfId="0" applyNumberFormat="1" applyFont="1" applyFill="1" applyBorder="1" applyAlignment="1" applyProtection="1">
      <alignment horizontal="center" vertical="center" shrinkToFit="1"/>
      <protection locked="0"/>
    </xf>
    <xf numFmtId="3" fontId="0" fillId="9" borderId="6" xfId="0" applyNumberFormat="1" applyFill="1" applyBorder="1" applyAlignment="1" applyProtection="1">
      <alignment horizontal="center" vertical="center" wrapText="1"/>
      <protection locked="0"/>
    </xf>
    <xf numFmtId="3" fontId="0" fillId="9" borderId="1" xfId="0" applyNumberFormat="1" applyFill="1" applyBorder="1" applyAlignment="1" applyProtection="1">
      <alignment horizontal="center" vertical="center" wrapText="1"/>
      <protection locked="0"/>
    </xf>
    <xf numFmtId="3" fontId="11" fillId="7" borderId="1" xfId="0" applyNumberFormat="1" applyFont="1" applyFill="1" applyBorder="1" applyAlignment="1">
      <alignment vertical="center" shrinkToFit="1"/>
    </xf>
    <xf numFmtId="0" fontId="29" fillId="4" borderId="24" xfId="0" applyFont="1" applyFill="1" applyBorder="1" applyAlignment="1" applyProtection="1">
      <alignment vertical="center" wrapText="1"/>
      <protection locked="0"/>
    </xf>
    <xf numFmtId="0" fontId="29" fillId="4" borderId="13" xfId="0" applyFont="1" applyFill="1" applyBorder="1" applyAlignment="1" applyProtection="1">
      <alignment vertical="center" wrapText="1"/>
      <protection locked="0"/>
    </xf>
    <xf numFmtId="0" fontId="29" fillId="4" borderId="6" xfId="0" applyFont="1" applyFill="1" applyBorder="1" applyAlignment="1" applyProtection="1">
      <alignment vertical="center" wrapText="1"/>
      <protection locked="0"/>
    </xf>
    <xf numFmtId="0" fontId="29" fillId="4" borderId="13" xfId="0" applyFont="1" applyFill="1" applyBorder="1" applyAlignment="1" applyProtection="1">
      <alignment horizontal="center" vertical="center" wrapText="1"/>
      <protection locked="0"/>
    </xf>
    <xf numFmtId="3" fontId="0" fillId="4" borderId="13" xfId="0" applyNumberFormat="1" applyFill="1" applyBorder="1" applyAlignment="1" applyProtection="1">
      <alignment horizontal="right" vertical="center"/>
      <protection locked="0"/>
    </xf>
    <xf numFmtId="0" fontId="0" fillId="4" borderId="13" xfId="0" applyFill="1" applyBorder="1" applyAlignment="1" applyProtection="1">
      <alignment horizontal="center" vertical="center"/>
      <protection locked="0"/>
    </xf>
    <xf numFmtId="3" fontId="0" fillId="4" borderId="13" xfId="0" applyNumberFormat="1" applyFill="1" applyBorder="1" applyAlignment="1" applyProtection="1">
      <alignment vertical="center" shrinkToFit="1"/>
      <protection locked="0"/>
    </xf>
    <xf numFmtId="0" fontId="29" fillId="4" borderId="24" xfId="0" applyFont="1" applyFill="1" applyBorder="1" applyAlignment="1" applyProtection="1">
      <alignment horizontal="center" vertical="center" wrapText="1"/>
      <protection locked="0"/>
    </xf>
    <xf numFmtId="3" fontId="29" fillId="4" borderId="24" xfId="0" applyNumberFormat="1" applyFont="1" applyFill="1" applyBorder="1" applyAlignment="1" applyProtection="1">
      <alignment horizontal="right" vertical="center"/>
      <protection locked="0"/>
    </xf>
    <xf numFmtId="3" fontId="29" fillId="4" borderId="24" xfId="0" applyNumberFormat="1" applyFont="1" applyFill="1" applyBorder="1" applyAlignment="1" applyProtection="1">
      <alignment horizontal="center" vertical="center" shrinkToFit="1"/>
      <protection locked="0"/>
    </xf>
    <xf numFmtId="3" fontId="29" fillId="4" borderId="24" xfId="0" applyNumberFormat="1" applyFont="1" applyFill="1" applyBorder="1" applyAlignment="1" applyProtection="1">
      <alignment vertical="center" shrinkToFit="1"/>
      <protection locked="0"/>
    </xf>
    <xf numFmtId="3" fontId="4" fillId="4" borderId="1" xfId="0" applyNumberFormat="1" applyFont="1" applyFill="1" applyBorder="1" applyAlignment="1">
      <alignment vertical="center" shrinkToFit="1"/>
    </xf>
    <xf numFmtId="3" fontId="11" fillId="7" borderId="3" xfId="0" applyNumberFormat="1" applyFont="1" applyFill="1" applyBorder="1" applyAlignment="1">
      <alignment horizontal="center" vertical="center" shrinkToFit="1"/>
    </xf>
    <xf numFmtId="0" fontId="29" fillId="4" borderId="1" xfId="0" applyFont="1" applyFill="1" applyBorder="1" applyAlignment="1" applyProtection="1">
      <alignment vertical="center" wrapText="1"/>
      <protection locked="0"/>
    </xf>
    <xf numFmtId="3" fontId="0" fillId="4" borderId="24" xfId="0" applyNumberFormat="1" applyFill="1" applyBorder="1" applyAlignment="1" applyProtection="1">
      <alignment horizontal="right" vertical="center"/>
      <protection locked="0"/>
    </xf>
    <xf numFmtId="0" fontId="0" fillId="4" borderId="24" xfId="0" applyFill="1" applyBorder="1" applyAlignment="1" applyProtection="1">
      <alignment horizontal="center" vertical="center"/>
      <protection locked="0"/>
    </xf>
    <xf numFmtId="3" fontId="0" fillId="4" borderId="24" xfId="0" applyNumberFormat="1" applyFill="1" applyBorder="1" applyAlignment="1" applyProtection="1">
      <alignment vertical="center" shrinkToFit="1"/>
      <protection locked="0"/>
    </xf>
    <xf numFmtId="0" fontId="29" fillId="4" borderId="1" xfId="0" applyFont="1" applyFill="1" applyBorder="1" applyAlignment="1" applyProtection="1">
      <alignment horizontal="center" vertical="center" wrapText="1"/>
      <protection locked="0"/>
    </xf>
    <xf numFmtId="3" fontId="0" fillId="4" borderId="1" xfId="0" applyNumberFormat="1" applyFill="1" applyBorder="1" applyAlignment="1" applyProtection="1">
      <alignment horizontal="right" vertical="center"/>
      <protection locked="0"/>
    </xf>
    <xf numFmtId="0" fontId="0" fillId="4" borderId="1" xfId="0" applyFill="1" applyBorder="1" applyAlignment="1" applyProtection="1">
      <alignment horizontal="center" vertical="center"/>
      <protection locked="0"/>
    </xf>
    <xf numFmtId="3" fontId="0" fillId="4" borderId="1" xfId="0" applyNumberFormat="1" applyFill="1" applyBorder="1" applyAlignment="1" applyProtection="1">
      <alignment vertical="center" shrinkToFit="1"/>
      <protection locked="0"/>
    </xf>
    <xf numFmtId="0" fontId="29" fillId="9" borderId="1" xfId="0" applyFont="1" applyFill="1" applyBorder="1" applyAlignment="1" applyProtection="1">
      <alignment vertical="center" wrapText="1"/>
      <protection locked="0"/>
    </xf>
    <xf numFmtId="3" fontId="0" fillId="9" borderId="24" xfId="0" applyNumberFormat="1" applyFill="1" applyBorder="1" applyAlignment="1" applyProtection="1">
      <alignment horizontal="center" vertical="center" wrapText="1"/>
      <protection locked="0"/>
    </xf>
    <xf numFmtId="3" fontId="0" fillId="9" borderId="24" xfId="0" applyNumberFormat="1" applyFill="1" applyBorder="1" applyAlignment="1" applyProtection="1">
      <alignment vertical="center" wrapText="1"/>
      <protection locked="0"/>
    </xf>
    <xf numFmtId="0" fontId="11" fillId="0" borderId="1" xfId="0" applyFont="1" applyBorder="1" applyAlignment="1">
      <alignment vertical="center" wrapText="1"/>
    </xf>
    <xf numFmtId="0" fontId="29" fillId="9" borderId="24" xfId="0" applyFont="1" applyFill="1" applyBorder="1" applyAlignment="1" applyProtection="1">
      <alignment horizontal="center" vertical="center"/>
      <protection locked="0"/>
    </xf>
    <xf numFmtId="0" fontId="29" fillId="9" borderId="1" xfId="0" applyFont="1" applyFill="1" applyBorder="1" applyAlignment="1" applyProtection="1">
      <alignment horizontal="center" vertical="center"/>
      <protection locked="0"/>
    </xf>
    <xf numFmtId="0" fontId="0" fillId="0" borderId="24" xfId="0" applyBorder="1">
      <alignment vertical="center"/>
    </xf>
    <xf numFmtId="0" fontId="0" fillId="9" borderId="1" xfId="0" applyFill="1" applyBorder="1" applyAlignment="1" applyProtection="1">
      <alignment vertical="center" wrapText="1"/>
      <protection locked="0"/>
    </xf>
    <xf numFmtId="0" fontId="3" fillId="7" borderId="24" xfId="0" applyFont="1" applyFill="1" applyBorder="1" applyAlignment="1">
      <alignment horizontal="center" vertical="center" wrapText="1"/>
    </xf>
    <xf numFmtId="0" fontId="3" fillId="7" borderId="24" xfId="0" applyFont="1" applyFill="1" applyBorder="1" applyAlignment="1">
      <alignment vertical="center" wrapText="1"/>
    </xf>
    <xf numFmtId="3" fontId="3" fillId="7" borderId="24" xfId="0" applyNumberFormat="1" applyFont="1" applyFill="1" applyBorder="1">
      <alignment vertical="center"/>
    </xf>
    <xf numFmtId="3" fontId="3" fillId="4" borderId="7" xfId="0" applyNumberFormat="1" applyFont="1" applyFill="1" applyBorder="1" applyProtection="1">
      <alignment vertical="center"/>
      <protection locked="0"/>
    </xf>
    <xf numFmtId="0" fontId="3" fillId="9" borderId="1" xfId="0" applyFont="1" applyFill="1" applyBorder="1" applyAlignment="1" applyProtection="1">
      <alignment horizontal="center" vertical="center" wrapText="1"/>
      <protection locked="0"/>
    </xf>
    <xf numFmtId="0" fontId="3" fillId="9" borderId="1" xfId="0" applyFont="1" applyFill="1" applyBorder="1" applyAlignment="1" applyProtection="1">
      <alignment vertical="center" wrapText="1"/>
      <protection locked="0"/>
    </xf>
    <xf numFmtId="3" fontId="3" fillId="9" borderId="6" xfId="0" applyNumberFormat="1" applyFont="1" applyFill="1" applyBorder="1" applyProtection="1">
      <alignment vertical="center"/>
      <protection locked="0"/>
    </xf>
    <xf numFmtId="3" fontId="3" fillId="9" borderId="1" xfId="0" applyNumberFormat="1" applyFont="1" applyFill="1" applyBorder="1" applyProtection="1">
      <alignment vertical="center"/>
      <protection locked="0"/>
    </xf>
    <xf numFmtId="0" fontId="3" fillId="9" borderId="7" xfId="0" applyFont="1" applyFill="1" applyBorder="1" applyAlignment="1" applyProtection="1">
      <alignment horizontal="center" vertical="center" wrapText="1"/>
      <protection locked="0"/>
    </xf>
    <xf numFmtId="0" fontId="3" fillId="9" borderId="7" xfId="0" applyFont="1" applyFill="1" applyBorder="1" applyAlignment="1" applyProtection="1">
      <alignment vertical="center" wrapText="1"/>
      <protection locked="0"/>
    </xf>
    <xf numFmtId="3" fontId="3" fillId="9" borderId="7" xfId="0" applyNumberFormat="1" applyFont="1" applyFill="1" applyBorder="1" applyProtection="1">
      <alignment vertical="center"/>
      <protection locked="0"/>
    </xf>
    <xf numFmtId="0" fontId="3" fillId="9" borderId="6" xfId="0" applyFont="1" applyFill="1" applyBorder="1" applyAlignment="1" applyProtection="1">
      <alignment vertical="center" wrapText="1"/>
      <protection locked="0"/>
    </xf>
    <xf numFmtId="3" fontId="3" fillId="4" borderId="13" xfId="0" applyNumberFormat="1" applyFont="1" applyFill="1" applyBorder="1" applyProtection="1">
      <alignment vertical="center"/>
      <protection locked="0"/>
    </xf>
    <xf numFmtId="3" fontId="3" fillId="7" borderId="42" xfId="0" applyNumberFormat="1" applyFont="1" applyFill="1" applyBorder="1">
      <alignment vertical="center"/>
    </xf>
    <xf numFmtId="3" fontId="3" fillId="7" borderId="41" xfId="0" applyNumberFormat="1" applyFont="1" applyFill="1" applyBorder="1">
      <alignment vertical="center"/>
    </xf>
    <xf numFmtId="3" fontId="59" fillId="4" borderId="1" xfId="0" applyNumberFormat="1" applyFont="1" applyFill="1" applyBorder="1" applyAlignment="1" applyProtection="1">
      <alignment horizontal="center" vertical="center" wrapText="1"/>
      <protection locked="0"/>
    </xf>
    <xf numFmtId="3" fontId="57" fillId="4" borderId="1" xfId="0" applyNumberFormat="1" applyFont="1" applyFill="1" applyBorder="1" applyAlignment="1" applyProtection="1">
      <alignment horizontal="center" vertical="center"/>
      <protection locked="0"/>
    </xf>
    <xf numFmtId="3" fontId="59" fillId="4" borderId="1" xfId="0" applyNumberFormat="1" applyFont="1" applyFill="1" applyBorder="1" applyAlignment="1" applyProtection="1">
      <alignment horizontal="center" vertical="center"/>
      <protection locked="0"/>
    </xf>
    <xf numFmtId="3" fontId="59" fillId="4" borderId="1" xfId="0" applyNumberFormat="1" applyFont="1" applyFill="1" applyBorder="1" applyAlignment="1" applyProtection="1">
      <alignment horizontal="center" vertical="center" wrapText="1" shrinkToFit="1"/>
      <protection locked="0"/>
    </xf>
    <xf numFmtId="3" fontId="57" fillId="4" borderId="1" xfId="0" applyNumberFormat="1" applyFont="1" applyFill="1" applyBorder="1" applyAlignment="1" applyProtection="1">
      <alignment horizontal="center" vertical="center" wrapText="1"/>
      <protection locked="0"/>
    </xf>
    <xf numFmtId="0" fontId="29" fillId="9" borderId="24" xfId="0" applyFont="1" applyFill="1" applyBorder="1" applyProtection="1">
      <alignment vertical="center"/>
      <protection locked="0"/>
    </xf>
    <xf numFmtId="177" fontId="29" fillId="9" borderId="24" xfId="0" applyNumberFormat="1" applyFont="1" applyFill="1" applyBorder="1" applyAlignment="1" applyProtection="1">
      <alignment vertical="center" wrapText="1"/>
      <protection locked="0"/>
    </xf>
    <xf numFmtId="3" fontId="29" fillId="9" borderId="1" xfId="0" applyNumberFormat="1" applyFont="1" applyFill="1" applyBorder="1" applyAlignment="1" applyProtection="1">
      <alignment vertical="center" shrinkToFit="1"/>
      <protection locked="0"/>
    </xf>
    <xf numFmtId="177" fontId="29" fillId="9" borderId="1" xfId="0" applyNumberFormat="1" applyFont="1" applyFill="1" applyBorder="1" applyAlignment="1" applyProtection="1">
      <alignment vertical="center" wrapText="1"/>
      <protection locked="0"/>
    </xf>
    <xf numFmtId="0" fontId="29" fillId="9" borderId="7" xfId="0" applyFont="1" applyFill="1" applyBorder="1" applyAlignment="1" applyProtection="1">
      <alignment vertical="center" wrapText="1"/>
      <protection locked="0"/>
    </xf>
    <xf numFmtId="0" fontId="29" fillId="9" borderId="7" xfId="0" applyFont="1" applyFill="1" applyBorder="1" applyAlignment="1" applyProtection="1">
      <alignment horizontal="center" vertical="center"/>
      <protection locked="0"/>
    </xf>
    <xf numFmtId="3" fontId="29" fillId="9" borderId="7" xfId="0" applyNumberFormat="1" applyFont="1" applyFill="1" applyBorder="1" applyAlignment="1" applyProtection="1">
      <alignment vertical="center" shrinkToFit="1"/>
      <protection locked="0"/>
    </xf>
    <xf numFmtId="177" fontId="29" fillId="9" borderId="7" xfId="0" applyNumberFormat="1" applyFont="1" applyFill="1" applyBorder="1" applyAlignment="1" applyProtection="1">
      <alignment vertical="center" wrapText="1"/>
      <protection locked="0"/>
    </xf>
    <xf numFmtId="177" fontId="29" fillId="9" borderId="24" xfId="0" applyNumberFormat="1" applyFont="1" applyFill="1" applyBorder="1" applyAlignment="1" applyProtection="1">
      <alignment vertical="center" shrinkToFit="1"/>
      <protection locked="0"/>
    </xf>
    <xf numFmtId="3" fontId="29" fillId="9" borderId="1" xfId="0" applyNumberFormat="1" applyFont="1" applyFill="1" applyBorder="1" applyAlignment="1" applyProtection="1">
      <alignment vertical="center" wrapText="1"/>
      <protection locked="0"/>
    </xf>
    <xf numFmtId="3" fontId="11" fillId="4" borderId="1" xfId="0" applyNumberFormat="1" applyFont="1" applyFill="1" applyBorder="1" applyAlignment="1" applyProtection="1">
      <alignment vertical="center" shrinkToFit="1"/>
      <protection locked="0"/>
    </xf>
    <xf numFmtId="3" fontId="11" fillId="4" borderId="1" xfId="0" applyNumberFormat="1" applyFont="1" applyFill="1" applyBorder="1" applyProtection="1">
      <alignment vertical="center"/>
      <protection locked="0"/>
    </xf>
    <xf numFmtId="3" fontId="40" fillId="4" borderId="1" xfId="0" applyNumberFormat="1" applyFont="1" applyFill="1" applyBorder="1">
      <alignment vertical="center"/>
    </xf>
    <xf numFmtId="176" fontId="29" fillId="9" borderId="1" xfId="0" applyNumberFormat="1" applyFont="1" applyFill="1" applyBorder="1" applyAlignment="1" applyProtection="1">
      <alignment vertical="center" wrapText="1"/>
      <protection locked="0"/>
    </xf>
    <xf numFmtId="3" fontId="10" fillId="0" borderId="0" xfId="0" applyNumberFormat="1" applyFont="1">
      <alignment vertical="center"/>
    </xf>
    <xf numFmtId="3" fontId="9" fillId="0" borderId="0" xfId="0" applyNumberFormat="1" applyFont="1" applyAlignment="1">
      <alignment horizontal="center" vertical="center" wrapText="1"/>
    </xf>
    <xf numFmtId="3" fontId="30" fillId="0" borderId="0" xfId="0" applyNumberFormat="1" applyFont="1">
      <alignment vertical="center"/>
    </xf>
    <xf numFmtId="3" fontId="21" fillId="0" borderId="0" xfId="0" applyNumberFormat="1" applyFont="1">
      <alignment vertical="center"/>
    </xf>
    <xf numFmtId="3" fontId="21" fillId="0" borderId="0" xfId="0" applyNumberFormat="1" applyFont="1" applyAlignment="1">
      <alignment vertical="center" wrapText="1"/>
    </xf>
    <xf numFmtId="3" fontId="21" fillId="0" borderId="0" xfId="0" applyNumberFormat="1" applyFont="1" applyAlignment="1">
      <alignment horizontal="center" vertical="center" wrapText="1"/>
    </xf>
    <xf numFmtId="3" fontId="54" fillId="0" borderId="0" xfId="0" applyNumberFormat="1" applyFont="1">
      <alignment vertical="center"/>
    </xf>
    <xf numFmtId="3" fontId="9" fillId="0" borderId="18" xfId="0" applyNumberFormat="1" applyFont="1" applyBorder="1">
      <alignment vertical="center"/>
    </xf>
    <xf numFmtId="3" fontId="9" fillId="0" borderId="17" xfId="0" applyNumberFormat="1" applyFont="1" applyBorder="1" applyAlignment="1">
      <alignment vertical="center" wrapText="1"/>
    </xf>
    <xf numFmtId="3" fontId="9" fillId="0" borderId="17" xfId="0" applyNumberFormat="1" applyFont="1" applyBorder="1" applyAlignment="1">
      <alignment horizontal="center" vertical="center"/>
    </xf>
    <xf numFmtId="3" fontId="9" fillId="0" borderId="17" xfId="0" applyNumberFormat="1" applyFont="1" applyBorder="1" applyAlignment="1">
      <alignment horizontal="center" vertical="center" wrapText="1"/>
    </xf>
    <xf numFmtId="3" fontId="9" fillId="0" borderId="19" xfId="0" applyNumberFormat="1" applyFont="1" applyBorder="1" applyAlignment="1">
      <alignment vertical="center" wrapText="1"/>
    </xf>
    <xf numFmtId="3" fontId="9" fillId="0" borderId="20" xfId="0" applyNumberFormat="1" applyFont="1" applyBorder="1">
      <alignment vertical="center"/>
    </xf>
    <xf numFmtId="3" fontId="9" fillId="0" borderId="1" xfId="0" applyNumberFormat="1" applyFont="1" applyBorder="1" applyAlignment="1">
      <alignment horizontal="center" vertical="center"/>
    </xf>
    <xf numFmtId="3" fontId="9" fillId="0" borderId="1" xfId="0" applyNumberFormat="1" applyFont="1" applyBorder="1" applyAlignment="1">
      <alignment horizontal="center" vertical="center" wrapText="1"/>
    </xf>
    <xf numFmtId="3" fontId="9" fillId="0" borderId="11" xfId="0" applyNumberFormat="1" applyFont="1" applyBorder="1" applyAlignment="1">
      <alignment horizontal="center" vertical="center"/>
    </xf>
    <xf numFmtId="3" fontId="9" fillId="0" borderId="10" xfId="0" applyNumberFormat="1" applyFont="1" applyBorder="1" applyAlignment="1">
      <alignment horizontal="center" vertical="center" wrapText="1"/>
    </xf>
    <xf numFmtId="3" fontId="9" fillId="0" borderId="21" xfId="0" applyNumberFormat="1" applyFont="1" applyBorder="1">
      <alignment vertical="center"/>
    </xf>
    <xf numFmtId="3" fontId="54" fillId="0" borderId="1" xfId="0" applyNumberFormat="1" applyFont="1" applyBorder="1" applyAlignment="1">
      <alignment horizontal="center" vertical="center"/>
    </xf>
    <xf numFmtId="3" fontId="54" fillId="0" borderId="1" xfId="0" applyNumberFormat="1" applyFont="1" applyBorder="1" applyAlignment="1">
      <alignment horizontal="center" vertical="center" wrapText="1"/>
    </xf>
    <xf numFmtId="3" fontId="9" fillId="3" borderId="7" xfId="0" applyNumberFormat="1" applyFont="1" applyFill="1" applyBorder="1">
      <alignment vertical="center"/>
    </xf>
    <xf numFmtId="3" fontId="30" fillId="0" borderId="1" xfId="0" applyNumberFormat="1" applyFont="1" applyBorder="1" applyAlignment="1">
      <alignment horizontal="center" vertical="center"/>
    </xf>
    <xf numFmtId="3" fontId="0" fillId="0" borderId="1" xfId="0" applyNumberFormat="1" applyBorder="1" applyAlignment="1">
      <alignment horizontal="center" vertical="center"/>
    </xf>
    <xf numFmtId="3" fontId="9" fillId="0" borderId="20" xfId="0" applyNumberFormat="1" applyFont="1" applyBorder="1" applyProtection="1">
      <alignment vertical="center"/>
      <protection locked="0"/>
    </xf>
    <xf numFmtId="3" fontId="9" fillId="0" borderId="13" xfId="0" applyNumberFormat="1" applyFont="1" applyBorder="1" applyProtection="1">
      <alignment vertical="center"/>
      <protection locked="0"/>
    </xf>
    <xf numFmtId="3" fontId="9" fillId="3" borderId="13" xfId="0" applyNumberFormat="1" applyFont="1" applyFill="1" applyBorder="1" applyProtection="1">
      <alignment vertical="center"/>
      <protection locked="0"/>
    </xf>
    <xf numFmtId="3" fontId="9" fillId="0" borderId="13" xfId="0" applyNumberFormat="1" applyFont="1" applyBorder="1" applyAlignment="1" applyProtection="1">
      <alignment horizontal="right" vertical="center"/>
      <protection locked="0"/>
    </xf>
    <xf numFmtId="3" fontId="9" fillId="0" borderId="21" xfId="0" applyNumberFormat="1" applyFont="1" applyBorder="1" applyProtection="1">
      <alignment vertical="center"/>
      <protection locked="0"/>
    </xf>
    <xf numFmtId="3" fontId="30" fillId="0" borderId="0" xfId="0" applyNumberFormat="1" applyFont="1" applyProtection="1">
      <alignment vertical="center"/>
      <protection locked="0"/>
    </xf>
    <xf numFmtId="3" fontId="30" fillId="0" borderId="1" xfId="0" applyNumberFormat="1" applyFont="1" applyBorder="1" applyAlignment="1" applyProtection="1">
      <alignment horizontal="center" vertical="center"/>
      <protection locked="0"/>
    </xf>
    <xf numFmtId="3" fontId="0" fillId="0" borderId="1" xfId="0" applyNumberFormat="1" applyBorder="1" applyAlignment="1" applyProtection="1">
      <alignment horizontal="center" vertical="center"/>
      <protection locked="0"/>
    </xf>
    <xf numFmtId="3" fontId="9" fillId="0" borderId="13" xfId="0" applyNumberFormat="1" applyFont="1" applyBorder="1">
      <alignment vertical="center"/>
    </xf>
    <xf numFmtId="3" fontId="21" fillId="0" borderId="20" xfId="0" applyNumberFormat="1" applyFont="1" applyBorder="1">
      <alignment vertical="center"/>
    </xf>
    <xf numFmtId="3" fontId="21" fillId="0" borderId="13" xfId="0" applyNumberFormat="1" applyFont="1" applyBorder="1">
      <alignment vertical="center"/>
    </xf>
    <xf numFmtId="3" fontId="21" fillId="0" borderId="0" xfId="0" applyNumberFormat="1" applyFont="1" applyProtection="1">
      <alignment vertical="center"/>
      <protection locked="0"/>
    </xf>
    <xf numFmtId="3" fontId="21" fillId="0" borderId="20" xfId="0" applyNumberFormat="1" applyFont="1" applyBorder="1" applyProtection="1">
      <alignment vertical="center"/>
      <protection locked="0"/>
    </xf>
    <xf numFmtId="3" fontId="21" fillId="0" borderId="13" xfId="0" applyNumberFormat="1" applyFont="1" applyBorder="1" applyProtection="1">
      <alignment vertical="center"/>
      <protection locked="0"/>
    </xf>
    <xf numFmtId="3" fontId="9" fillId="3" borderId="15" xfId="0" applyNumberFormat="1" applyFont="1" applyFill="1" applyBorder="1" applyProtection="1">
      <alignment vertical="center"/>
      <protection locked="0"/>
    </xf>
    <xf numFmtId="3" fontId="10" fillId="3" borderId="13" xfId="0" applyNumberFormat="1" applyFont="1" applyFill="1" applyBorder="1" applyProtection="1">
      <alignment vertical="center"/>
      <protection locked="0"/>
    </xf>
    <xf numFmtId="3" fontId="9" fillId="0" borderId="6" xfId="0" applyNumberFormat="1" applyFont="1" applyBorder="1">
      <alignment vertical="center"/>
    </xf>
    <xf numFmtId="3" fontId="10" fillId="3" borderId="2" xfId="0" applyNumberFormat="1" applyFont="1" applyFill="1" applyBorder="1">
      <alignment vertical="center"/>
    </xf>
    <xf numFmtId="3" fontId="10" fillId="3" borderId="24" xfId="0" applyNumberFormat="1" applyFont="1" applyFill="1" applyBorder="1" applyAlignment="1">
      <alignment vertical="center" wrapText="1"/>
    </xf>
    <xf numFmtId="3" fontId="10" fillId="3" borderId="24" xfId="0" applyNumberFormat="1" applyFont="1" applyFill="1" applyBorder="1">
      <alignment vertical="center"/>
    </xf>
    <xf numFmtId="3" fontId="10" fillId="0" borderId="24" xfId="0" applyNumberFormat="1" applyFont="1" applyBorder="1" applyAlignment="1">
      <alignment horizontal="left" vertical="center" wrapText="1"/>
    </xf>
    <xf numFmtId="3" fontId="10" fillId="0" borderId="24" xfId="0" applyNumberFormat="1" applyFont="1" applyBorder="1" applyAlignment="1">
      <alignment horizontal="center" vertical="center" wrapText="1"/>
    </xf>
    <xf numFmtId="3" fontId="9" fillId="0" borderId="22" xfId="0" applyNumberFormat="1" applyFont="1" applyBorder="1">
      <alignment vertical="center"/>
    </xf>
    <xf numFmtId="3" fontId="9" fillId="0" borderId="16" xfId="0" applyNumberFormat="1" applyFont="1" applyBorder="1" applyAlignment="1">
      <alignment vertical="center" wrapText="1"/>
    </xf>
    <xf numFmtId="3" fontId="9" fillId="0" borderId="16" xfId="0" applyNumberFormat="1" applyFont="1" applyBorder="1" applyAlignment="1">
      <alignment horizontal="center" vertical="center"/>
    </xf>
    <xf numFmtId="3" fontId="9" fillId="0" borderId="16" xfId="0" applyNumberFormat="1" applyFont="1" applyBorder="1" applyAlignment="1">
      <alignment horizontal="center" vertical="center" wrapText="1"/>
    </xf>
    <xf numFmtId="3" fontId="9" fillId="0" borderId="23" xfId="0" applyNumberFormat="1" applyFont="1" applyBorder="1">
      <alignment vertical="center"/>
    </xf>
    <xf numFmtId="3" fontId="21" fillId="0" borderId="0" xfId="0" applyNumberFormat="1" applyFont="1" applyAlignment="1">
      <alignment vertical="top"/>
    </xf>
    <xf numFmtId="3" fontId="21" fillId="0" borderId="0" xfId="0" applyNumberFormat="1" applyFont="1" applyAlignment="1">
      <alignment horizontal="center" vertical="top"/>
    </xf>
    <xf numFmtId="3" fontId="9" fillId="9" borderId="24" xfId="0" applyNumberFormat="1" applyFont="1" applyFill="1" applyBorder="1" applyAlignment="1" applyProtection="1">
      <alignment vertical="center" wrapText="1"/>
      <protection locked="0"/>
    </xf>
    <xf numFmtId="3" fontId="9" fillId="9" borderId="24" xfId="0" applyNumberFormat="1" applyFont="1" applyFill="1" applyBorder="1" applyProtection="1">
      <alignment vertical="center"/>
      <protection locked="0"/>
    </xf>
    <xf numFmtId="3" fontId="9" fillId="9" borderId="24" xfId="0" applyNumberFormat="1" applyFont="1" applyFill="1" applyBorder="1" applyAlignment="1" applyProtection="1">
      <alignment horizontal="left" vertical="center" wrapText="1"/>
      <protection locked="0"/>
    </xf>
    <xf numFmtId="3" fontId="9" fillId="9" borderId="24" xfId="0" applyNumberFormat="1" applyFont="1" applyFill="1" applyBorder="1" applyAlignment="1" applyProtection="1">
      <alignment vertical="center" shrinkToFit="1"/>
      <protection locked="0"/>
    </xf>
    <xf numFmtId="3" fontId="9" fillId="9" borderId="24" xfId="0" applyNumberFormat="1" applyFont="1" applyFill="1" applyBorder="1" applyAlignment="1" applyProtection="1">
      <alignment horizontal="center" vertical="center" shrinkToFit="1"/>
      <protection locked="0"/>
    </xf>
    <xf numFmtId="3" fontId="9" fillId="9" borderId="1" xfId="0" applyNumberFormat="1" applyFont="1" applyFill="1" applyBorder="1" applyAlignment="1" applyProtection="1">
      <alignment vertical="center" wrapText="1"/>
      <protection locked="0"/>
    </xf>
    <xf numFmtId="3" fontId="9" fillId="9" borderId="1" xfId="0" applyNumberFormat="1" applyFont="1" applyFill="1" applyBorder="1" applyProtection="1">
      <alignment vertical="center"/>
      <protection locked="0"/>
    </xf>
    <xf numFmtId="3" fontId="9" fillId="9" borderId="1" xfId="0" applyNumberFormat="1" applyFont="1" applyFill="1" applyBorder="1" applyAlignment="1" applyProtection="1">
      <alignment horizontal="left" vertical="center" wrapText="1"/>
      <protection locked="0"/>
    </xf>
    <xf numFmtId="3" fontId="9" fillId="9" borderId="1" xfId="0" applyNumberFormat="1" applyFont="1" applyFill="1" applyBorder="1" applyAlignment="1" applyProtection="1">
      <alignment vertical="center" shrinkToFit="1"/>
      <protection locked="0"/>
    </xf>
    <xf numFmtId="3" fontId="9" fillId="9" borderId="1" xfId="0" applyNumberFormat="1" applyFont="1" applyFill="1" applyBorder="1" applyAlignment="1" applyProtection="1">
      <alignment horizontal="center" vertical="center" shrinkToFit="1"/>
      <protection locked="0"/>
    </xf>
    <xf numFmtId="3" fontId="9" fillId="9" borderId="7" xfId="0" applyNumberFormat="1" applyFont="1" applyFill="1" applyBorder="1" applyAlignment="1" applyProtection="1">
      <alignment vertical="center" wrapText="1"/>
      <protection locked="0"/>
    </xf>
    <xf numFmtId="3" fontId="9" fillId="9" borderId="7" xfId="0" applyNumberFormat="1" applyFont="1" applyFill="1" applyBorder="1" applyProtection="1">
      <alignment vertical="center"/>
      <protection locked="0"/>
    </xf>
    <xf numFmtId="3" fontId="9" fillId="9" borderId="7" xfId="0" applyNumberFormat="1" applyFont="1" applyFill="1" applyBorder="1" applyAlignment="1" applyProtection="1">
      <alignment horizontal="left" vertical="center" wrapText="1"/>
      <protection locked="0"/>
    </xf>
    <xf numFmtId="3" fontId="9" fillId="9" borderId="7" xfId="0" applyNumberFormat="1" applyFont="1" applyFill="1" applyBorder="1" applyAlignment="1" applyProtection="1">
      <alignment vertical="center" shrinkToFit="1"/>
      <protection locked="0"/>
    </xf>
    <xf numFmtId="3" fontId="9" fillId="9" borderId="7" xfId="0" applyNumberFormat="1" applyFont="1" applyFill="1" applyBorder="1" applyAlignment="1" applyProtection="1">
      <alignment horizontal="center" vertical="center" shrinkToFit="1"/>
      <protection locked="0"/>
    </xf>
    <xf numFmtId="3" fontId="9" fillId="0" borderId="7" xfId="0" applyNumberFormat="1" applyFont="1" applyBorder="1" applyAlignment="1">
      <alignment vertical="center" wrapText="1"/>
    </xf>
    <xf numFmtId="3" fontId="9" fillId="7" borderId="2" xfId="0" applyNumberFormat="1" applyFont="1" applyFill="1" applyBorder="1">
      <alignment vertical="center"/>
    </xf>
    <xf numFmtId="3" fontId="9" fillId="7" borderId="9" xfId="0" applyNumberFormat="1" applyFont="1" applyFill="1" applyBorder="1">
      <alignment vertical="center"/>
    </xf>
    <xf numFmtId="3" fontId="9" fillId="7" borderId="9" xfId="0" applyNumberFormat="1" applyFont="1" applyFill="1" applyBorder="1" applyAlignment="1">
      <alignment horizontal="left" vertical="center" wrapText="1"/>
    </xf>
    <xf numFmtId="3" fontId="9" fillId="7" borderId="9" xfId="0" applyNumberFormat="1" applyFont="1" applyFill="1" applyBorder="1" applyAlignment="1">
      <alignment vertical="center" shrinkToFit="1"/>
    </xf>
    <xf numFmtId="3" fontId="9" fillId="7" borderId="3" xfId="0" applyNumberFormat="1" applyFont="1" applyFill="1" applyBorder="1" applyAlignment="1">
      <alignment horizontal="center" vertical="center" shrinkToFit="1"/>
    </xf>
    <xf numFmtId="3" fontId="9" fillId="4" borderId="1" xfId="0" applyNumberFormat="1" applyFont="1" applyFill="1" applyBorder="1" applyAlignment="1" applyProtection="1">
      <alignment horizontal="center" vertical="center" wrapText="1"/>
      <protection locked="0"/>
    </xf>
    <xf numFmtId="3" fontId="9" fillId="7" borderId="1" xfId="0" applyNumberFormat="1" applyFont="1" applyFill="1" applyBorder="1" applyAlignment="1">
      <alignment horizontal="center" vertical="center" shrinkToFit="1"/>
    </xf>
    <xf numFmtId="3" fontId="9" fillId="0" borderId="6" xfId="0" applyNumberFormat="1" applyFont="1" applyBorder="1" applyAlignment="1" applyProtection="1">
      <alignment horizontal="right" vertical="center"/>
      <protection locked="0"/>
    </xf>
    <xf numFmtId="0" fontId="17" fillId="0" borderId="7" xfId="0" applyFont="1" applyBorder="1" applyAlignment="1">
      <alignment horizontal="left" vertical="center"/>
    </xf>
    <xf numFmtId="0" fontId="17" fillId="6" borderId="2" xfId="0" applyFont="1" applyFill="1" applyBorder="1" applyAlignment="1">
      <alignment vertical="center" wrapText="1"/>
    </xf>
    <xf numFmtId="3" fontId="17" fillId="6" borderId="9" xfId="0" applyNumberFormat="1" applyFont="1" applyFill="1" applyBorder="1" applyAlignment="1">
      <alignment vertical="center" shrinkToFit="1"/>
    </xf>
    <xf numFmtId="0" fontId="17" fillId="6" borderId="9" xfId="0" applyFont="1" applyFill="1" applyBorder="1">
      <alignment vertical="center"/>
    </xf>
    <xf numFmtId="178" fontId="17" fillId="6" borderId="3" xfId="0" applyNumberFormat="1" applyFont="1" applyFill="1" applyBorder="1" applyAlignment="1">
      <alignment vertical="center" shrinkToFit="1"/>
    </xf>
    <xf numFmtId="0" fontId="23" fillId="0" borderId="1" xfId="0" applyFont="1" applyBorder="1" applyAlignment="1">
      <alignment vertical="center" wrapText="1"/>
    </xf>
    <xf numFmtId="0" fontId="23" fillId="9" borderId="24" xfId="0" applyFont="1" applyFill="1" applyBorder="1" applyAlignment="1" applyProtection="1">
      <alignment vertical="center" wrapText="1"/>
      <protection locked="0"/>
    </xf>
    <xf numFmtId="3" fontId="23" fillId="9" borderId="24" xfId="0" applyNumberFormat="1" applyFont="1" applyFill="1" applyBorder="1" applyAlignment="1" applyProtection="1">
      <alignment vertical="center" shrinkToFit="1"/>
      <protection locked="0"/>
    </xf>
    <xf numFmtId="0" fontId="23" fillId="9" borderId="1" xfId="0" applyFont="1" applyFill="1" applyBorder="1" applyAlignment="1" applyProtection="1">
      <alignment vertical="center" wrapText="1"/>
      <protection locked="0"/>
    </xf>
    <xf numFmtId="3" fontId="23" fillId="9" borderId="1" xfId="0" applyNumberFormat="1" applyFont="1" applyFill="1" applyBorder="1" applyAlignment="1" applyProtection="1">
      <alignment vertical="center" shrinkToFit="1"/>
      <protection locked="0"/>
    </xf>
    <xf numFmtId="0" fontId="23" fillId="9" borderId="2" xfId="0" applyFont="1" applyFill="1" applyBorder="1" applyAlignment="1" applyProtection="1">
      <alignment vertical="center" wrapText="1"/>
      <protection locked="0"/>
    </xf>
    <xf numFmtId="0" fontId="23" fillId="9" borderId="7" xfId="0" applyFont="1" applyFill="1" applyBorder="1" applyAlignment="1" applyProtection="1">
      <alignment vertical="center" wrapText="1"/>
      <protection locked="0"/>
    </xf>
    <xf numFmtId="3" fontId="23" fillId="9" borderId="7" xfId="0" applyNumberFormat="1" applyFont="1" applyFill="1" applyBorder="1" applyAlignment="1" applyProtection="1">
      <alignment vertical="center" shrinkToFit="1"/>
      <protection locked="0"/>
    </xf>
    <xf numFmtId="0" fontId="23" fillId="9" borderId="10" xfId="0" applyFont="1" applyFill="1" applyBorder="1" applyAlignment="1" applyProtection="1">
      <alignment vertical="center" wrapText="1"/>
      <protection locked="0"/>
    </xf>
    <xf numFmtId="3" fontId="17" fillId="4" borderId="1" xfId="0" applyNumberFormat="1" applyFont="1" applyFill="1" applyBorder="1" applyAlignment="1" applyProtection="1">
      <alignment vertical="center" shrinkToFit="1"/>
      <protection locked="0"/>
    </xf>
    <xf numFmtId="3" fontId="17" fillId="4" borderId="7" xfId="0" applyNumberFormat="1" applyFont="1" applyFill="1" applyBorder="1" applyAlignment="1" applyProtection="1">
      <alignment vertical="center" shrinkToFit="1"/>
      <protection locked="0"/>
    </xf>
    <xf numFmtId="3" fontId="40" fillId="4" borderId="1" xfId="0" applyNumberFormat="1" applyFont="1" applyFill="1" applyBorder="1" applyAlignment="1">
      <alignment vertical="center" shrinkToFit="1"/>
    </xf>
    <xf numFmtId="176" fontId="40" fillId="4" borderId="1" xfId="3" applyNumberFormat="1" applyFont="1" applyFill="1" applyBorder="1" applyAlignment="1" applyProtection="1">
      <alignment horizontal="right" vertical="center" shrinkToFit="1"/>
    </xf>
    <xf numFmtId="176" fontId="40" fillId="4" borderId="1" xfId="0" applyNumberFormat="1" applyFont="1" applyFill="1" applyBorder="1" applyAlignment="1">
      <alignment horizontal="right" vertical="center" shrinkToFit="1"/>
    </xf>
    <xf numFmtId="179" fontId="9" fillId="4" borderId="1" xfId="0" applyNumberFormat="1" applyFont="1" applyFill="1" applyBorder="1" applyAlignment="1" applyProtection="1">
      <alignment vertical="center" shrinkToFit="1"/>
      <protection hidden="1"/>
    </xf>
    <xf numFmtId="183" fontId="9" fillId="0" borderId="6" xfId="0" applyNumberFormat="1" applyFont="1" applyBorder="1" applyAlignment="1" applyProtection="1">
      <alignment horizontal="right" vertical="center"/>
      <protection locked="0"/>
    </xf>
    <xf numFmtId="183" fontId="9" fillId="0" borderId="41" xfId="0" applyNumberFormat="1" applyFont="1" applyBorder="1" applyAlignment="1" applyProtection="1">
      <alignment horizontal="right" vertical="center"/>
      <protection locked="0"/>
    </xf>
    <xf numFmtId="0" fontId="9" fillId="7" borderId="2" xfId="0" applyFont="1" applyFill="1" applyBorder="1" applyAlignment="1">
      <alignment horizontal="left" vertical="center" wrapText="1"/>
    </xf>
    <xf numFmtId="183" fontId="9" fillId="7" borderId="3" xfId="0" applyNumberFormat="1" applyFont="1" applyFill="1" applyBorder="1" applyAlignment="1">
      <alignment horizontal="right" vertical="center"/>
    </xf>
    <xf numFmtId="183" fontId="9" fillId="7" borderId="1" xfId="0" applyNumberFormat="1" applyFont="1" applyFill="1" applyBorder="1" applyAlignment="1">
      <alignment horizontal="right" vertical="center"/>
    </xf>
    <xf numFmtId="183" fontId="9" fillId="0" borderId="13" xfId="0" applyNumberFormat="1" applyFont="1" applyBorder="1" applyAlignment="1" applyProtection="1">
      <alignment horizontal="right" vertical="center"/>
      <protection locked="0"/>
    </xf>
    <xf numFmtId="0" fontId="9" fillId="9" borderId="24" xfId="0" applyFont="1" applyFill="1" applyBorder="1" applyAlignment="1" applyProtection="1">
      <alignment vertical="center" wrapText="1"/>
      <protection locked="0"/>
    </xf>
    <xf numFmtId="0" fontId="9" fillId="9" borderId="24" xfId="0" applyFont="1" applyFill="1" applyBorder="1" applyAlignment="1" applyProtection="1">
      <alignment horizontal="left" vertical="center" wrapText="1"/>
      <protection locked="0"/>
    </xf>
    <xf numFmtId="183" fontId="9" fillId="9" borderId="24" xfId="0" applyNumberFormat="1" applyFont="1" applyFill="1" applyBorder="1" applyAlignment="1" applyProtection="1">
      <alignment horizontal="right" vertical="center"/>
      <protection locked="0"/>
    </xf>
    <xf numFmtId="0" fontId="9" fillId="9" borderId="1" xfId="0" applyFont="1" applyFill="1" applyBorder="1" applyAlignment="1" applyProtection="1">
      <alignment vertical="center" wrapText="1"/>
      <protection locked="0"/>
    </xf>
    <xf numFmtId="0" fontId="9" fillId="9" borderId="1" xfId="0" applyFont="1" applyFill="1" applyBorder="1" applyAlignment="1" applyProtection="1">
      <alignment horizontal="left" vertical="center" wrapText="1"/>
      <protection locked="0"/>
    </xf>
    <xf numFmtId="183" fontId="9" fillId="9" borderId="2" xfId="0" applyNumberFormat="1" applyFont="1" applyFill="1" applyBorder="1" applyAlignment="1" applyProtection="1">
      <alignment horizontal="right" vertical="center"/>
      <protection locked="0"/>
    </xf>
    <xf numFmtId="0" fontId="9" fillId="9" borderId="7" xfId="0" applyFont="1" applyFill="1" applyBorder="1" applyAlignment="1" applyProtection="1">
      <alignment vertical="center" wrapText="1"/>
      <protection locked="0"/>
    </xf>
    <xf numFmtId="38" fontId="9" fillId="9" borderId="1" xfId="3" applyFont="1" applyFill="1" applyBorder="1" applyAlignment="1" applyProtection="1">
      <alignment vertical="center" wrapText="1"/>
      <protection locked="0"/>
    </xf>
    <xf numFmtId="0" fontId="9" fillId="9" borderId="3" xfId="0" applyFont="1" applyFill="1" applyBorder="1" applyAlignment="1" applyProtection="1">
      <alignment horizontal="left" vertical="center" wrapText="1"/>
      <protection locked="0"/>
    </xf>
    <xf numFmtId="183" fontId="9" fillId="9" borderId="1" xfId="0" applyNumberFormat="1" applyFont="1" applyFill="1" applyBorder="1" applyAlignment="1" applyProtection="1">
      <alignment horizontal="right" vertical="center"/>
      <protection locked="0"/>
    </xf>
    <xf numFmtId="38" fontId="9" fillId="9" borderId="7" xfId="3" applyFont="1" applyFill="1" applyBorder="1" applyAlignment="1" applyProtection="1">
      <alignment vertical="center" wrapText="1"/>
      <protection locked="0"/>
    </xf>
    <xf numFmtId="0" fontId="29" fillId="0" borderId="3" xfId="0" applyFont="1" applyBorder="1" applyAlignment="1">
      <alignment vertical="center" wrapText="1"/>
    </xf>
    <xf numFmtId="38" fontId="29" fillId="0" borderId="3" xfId="3" applyFont="1" applyFill="1" applyBorder="1" applyAlignment="1" applyProtection="1">
      <alignment vertical="center" wrapText="1"/>
    </xf>
    <xf numFmtId="183" fontId="9" fillId="4" borderId="24" xfId="0" applyNumberFormat="1" applyFont="1" applyFill="1" applyBorder="1" applyAlignment="1" applyProtection="1">
      <alignment horizontal="center" vertical="center"/>
      <protection locked="0"/>
    </xf>
    <xf numFmtId="183" fontId="9" fillId="4" borderId="3" xfId="0" applyNumberFormat="1" applyFont="1" applyFill="1" applyBorder="1" applyAlignment="1" applyProtection="1">
      <alignment horizontal="center" vertical="center"/>
      <protection locked="0"/>
    </xf>
    <xf numFmtId="183" fontId="9" fillId="4" borderId="1" xfId="0" applyNumberFormat="1" applyFont="1" applyFill="1" applyBorder="1" applyAlignment="1" applyProtection="1">
      <alignment horizontal="center" vertical="center"/>
      <protection locked="0"/>
    </xf>
    <xf numFmtId="183" fontId="10" fillId="4" borderId="3" xfId="0" applyNumberFormat="1" applyFont="1" applyFill="1" applyBorder="1" applyAlignment="1" applyProtection="1">
      <alignment horizontal="center" vertical="center"/>
      <protection locked="0"/>
    </xf>
    <xf numFmtId="0" fontId="9" fillId="3" borderId="10" xfId="0" applyFont="1" applyFill="1" applyBorder="1">
      <alignment vertical="center"/>
    </xf>
    <xf numFmtId="0" fontId="9" fillId="0" borderId="41" xfId="0" applyFont="1" applyBorder="1" applyAlignment="1" applyProtection="1">
      <alignment vertical="center" wrapText="1"/>
      <protection locked="0"/>
    </xf>
    <xf numFmtId="0" fontId="17" fillId="6" borderId="9" xfId="0" applyFont="1" applyFill="1" applyBorder="1" applyAlignment="1">
      <alignment vertical="center" wrapText="1"/>
    </xf>
    <xf numFmtId="3" fontId="17" fillId="6" borderId="3" xfId="0" applyNumberFormat="1" applyFont="1" applyFill="1" applyBorder="1" applyAlignment="1">
      <alignment vertical="center" shrinkToFit="1"/>
    </xf>
    <xf numFmtId="0" fontId="17" fillId="9" borderId="24" xfId="0" applyFont="1" applyFill="1" applyBorder="1" applyAlignment="1" applyProtection="1">
      <alignment vertical="center" wrapText="1"/>
      <protection locked="0"/>
    </xf>
    <xf numFmtId="3" fontId="17" fillId="9" borderId="24" xfId="0" applyNumberFormat="1" applyFont="1" applyFill="1" applyBorder="1" applyAlignment="1" applyProtection="1">
      <alignment vertical="center" shrinkToFit="1"/>
      <protection locked="0"/>
    </xf>
    <xf numFmtId="0" fontId="17" fillId="9" borderId="36" xfId="0" applyFont="1" applyFill="1" applyBorder="1" applyAlignment="1" applyProtection="1">
      <alignment vertical="center" wrapText="1"/>
      <protection locked="0"/>
    </xf>
    <xf numFmtId="0" fontId="17" fillId="9" borderId="7" xfId="0" applyFont="1" applyFill="1" applyBorder="1" applyAlignment="1" applyProtection="1">
      <alignment vertical="center" wrapText="1"/>
      <protection locked="0"/>
    </xf>
    <xf numFmtId="3" fontId="17" fillId="9" borderId="7" xfId="0" applyNumberFormat="1" applyFont="1" applyFill="1" applyBorder="1" applyAlignment="1" applyProtection="1">
      <alignment vertical="center" shrinkToFit="1"/>
      <protection locked="0"/>
    </xf>
    <xf numFmtId="0" fontId="17" fillId="9" borderId="10" xfId="0" applyFont="1" applyFill="1" applyBorder="1" applyAlignment="1" applyProtection="1">
      <alignment vertical="center" wrapText="1"/>
      <protection locked="0"/>
    </xf>
    <xf numFmtId="0" fontId="17" fillId="9" borderId="1" xfId="0" applyFont="1" applyFill="1" applyBorder="1" applyAlignment="1" applyProtection="1">
      <alignment vertical="center" wrapText="1"/>
      <protection locked="0"/>
    </xf>
    <xf numFmtId="3" fontId="17" fillId="9" borderId="1" xfId="0" applyNumberFormat="1" applyFont="1" applyFill="1" applyBorder="1" applyAlignment="1" applyProtection="1">
      <alignment vertical="center" shrinkToFit="1"/>
      <protection locked="0"/>
    </xf>
    <xf numFmtId="0" fontId="17" fillId="9" borderId="2" xfId="0" applyFont="1" applyFill="1" applyBorder="1" applyAlignment="1" applyProtection="1">
      <alignment vertical="center" wrapText="1"/>
      <protection locked="0"/>
    </xf>
    <xf numFmtId="3" fontId="17" fillId="4" borderId="24" xfId="0" applyNumberFormat="1" applyFont="1" applyFill="1" applyBorder="1" applyAlignment="1" applyProtection="1">
      <alignment vertical="center" shrinkToFit="1"/>
      <protection locked="0"/>
    </xf>
    <xf numFmtId="176" fontId="29" fillId="9" borderId="24" xfId="0" applyNumberFormat="1" applyFont="1" applyFill="1" applyBorder="1" applyAlignment="1" applyProtection="1">
      <alignment vertical="center" wrapText="1"/>
      <protection locked="0"/>
    </xf>
    <xf numFmtId="0" fontId="69" fillId="0" borderId="49" xfId="0" applyFont="1" applyBorder="1">
      <alignment vertical="center"/>
    </xf>
    <xf numFmtId="0" fontId="70" fillId="0" borderId="49" xfId="0" applyFont="1" applyBorder="1">
      <alignment vertical="center"/>
    </xf>
    <xf numFmtId="0" fontId="70" fillId="0" borderId="0" xfId="0" applyFont="1">
      <alignment vertical="center"/>
    </xf>
    <xf numFmtId="0" fontId="67" fillId="0" borderId="49" xfId="0" applyFont="1" applyBorder="1" applyAlignment="1">
      <alignment horizontal="center" vertical="center"/>
    </xf>
    <xf numFmtId="0" fontId="67" fillId="0" borderId="0" xfId="0" applyFont="1" applyAlignment="1">
      <alignment horizontal="center" vertical="center"/>
    </xf>
    <xf numFmtId="0" fontId="39" fillId="0" borderId="49" xfId="0" applyFont="1" applyBorder="1">
      <alignment vertical="center"/>
    </xf>
    <xf numFmtId="0" fontId="69" fillId="0" borderId="0" xfId="0" applyFont="1" applyAlignment="1">
      <alignment horizontal="left" vertical="center"/>
    </xf>
    <xf numFmtId="0" fontId="69" fillId="0" borderId="0" xfId="0" applyFont="1">
      <alignment vertical="center"/>
    </xf>
    <xf numFmtId="0" fontId="0" fillId="9" borderId="1" xfId="0" applyFill="1" applyBorder="1">
      <alignment vertical="center"/>
    </xf>
    <xf numFmtId="0" fontId="0" fillId="4" borderId="1" xfId="0" applyFill="1" applyBorder="1">
      <alignment vertical="center"/>
    </xf>
    <xf numFmtId="0" fontId="71" fillId="0" borderId="0" xfId="0" applyFont="1">
      <alignment vertical="center"/>
    </xf>
    <xf numFmtId="0" fontId="47" fillId="8" borderId="24" xfId="0" applyFont="1" applyFill="1" applyBorder="1" applyAlignment="1" applyProtection="1">
      <alignment horizontal="center" vertical="center" wrapText="1"/>
      <protection locked="0"/>
    </xf>
    <xf numFmtId="0" fontId="47" fillId="9" borderId="24" xfId="0" applyFont="1" applyFill="1" applyBorder="1" applyAlignment="1" applyProtection="1">
      <alignment horizontal="center" vertical="center" wrapText="1"/>
      <protection locked="0"/>
    </xf>
    <xf numFmtId="0" fontId="47" fillId="9" borderId="24" xfId="0" applyFont="1" applyFill="1" applyBorder="1" applyAlignment="1" applyProtection="1">
      <alignment vertical="center" wrapText="1"/>
      <protection locked="0"/>
    </xf>
    <xf numFmtId="0" fontId="47" fillId="9" borderId="24" xfId="0" applyFont="1" applyFill="1" applyBorder="1" applyAlignment="1" applyProtection="1">
      <alignment horizontal="left" vertical="center" wrapText="1"/>
      <protection locked="0"/>
    </xf>
    <xf numFmtId="0" fontId="47" fillId="9" borderId="42" xfId="0" applyFont="1" applyFill="1" applyBorder="1" applyAlignment="1" applyProtection="1">
      <alignment horizontal="left" vertical="center" wrapText="1"/>
      <protection locked="0"/>
    </xf>
    <xf numFmtId="0" fontId="47" fillId="0" borderId="16" xfId="0" applyFont="1" applyBorder="1" applyAlignment="1" applyProtection="1">
      <alignment horizontal="left" vertical="center" wrapText="1"/>
      <protection locked="0"/>
    </xf>
    <xf numFmtId="0" fontId="47" fillId="0" borderId="16" xfId="0" applyFont="1" applyBorder="1" applyAlignment="1" applyProtection="1">
      <alignment horizontal="right" vertical="center"/>
      <protection locked="0"/>
    </xf>
    <xf numFmtId="0" fontId="47" fillId="0" borderId="0" xfId="0" applyFont="1" applyAlignment="1" applyProtection="1">
      <alignment horizontal="left" vertical="center" wrapText="1"/>
      <protection locked="0"/>
    </xf>
    <xf numFmtId="0" fontId="47" fillId="0" borderId="0" xfId="0" applyFont="1" applyAlignment="1" applyProtection="1">
      <alignment horizontal="right" vertical="center"/>
      <protection locked="0"/>
    </xf>
    <xf numFmtId="0" fontId="63" fillId="0" borderId="1" xfId="0" applyFont="1" applyBorder="1" applyAlignment="1">
      <alignment horizontal="center" vertical="center" wrapText="1"/>
    </xf>
    <xf numFmtId="0" fontId="4" fillId="0" borderId="1" xfId="0" applyFont="1" applyBorder="1" applyAlignment="1">
      <alignment horizontal="center" vertical="center"/>
    </xf>
    <xf numFmtId="3" fontId="4" fillId="4" borderId="2" xfId="0" applyNumberFormat="1" applyFont="1" applyFill="1" applyBorder="1" applyAlignment="1">
      <alignment vertical="center" shrinkToFit="1"/>
    </xf>
    <xf numFmtId="3" fontId="4" fillId="4" borderId="1" xfId="0" applyNumberFormat="1" applyFont="1" applyFill="1" applyBorder="1" applyAlignment="1">
      <alignment vertical="center" wrapText="1"/>
    </xf>
    <xf numFmtId="3" fontId="11" fillId="7" borderId="9" xfId="0" applyNumberFormat="1" applyFont="1" applyFill="1" applyBorder="1" applyAlignment="1">
      <alignment horizontal="center" vertical="center" wrapText="1" shrinkToFit="1"/>
    </xf>
    <xf numFmtId="3" fontId="11" fillId="7" borderId="3" xfId="0" applyNumberFormat="1" applyFont="1" applyFill="1" applyBorder="1" applyAlignment="1">
      <alignment vertical="center" wrapText="1" shrinkToFit="1"/>
    </xf>
    <xf numFmtId="0" fontId="29" fillId="4" borderId="42" xfId="0" applyFont="1" applyFill="1" applyBorder="1" applyAlignment="1" applyProtection="1">
      <alignment vertical="center" wrapText="1"/>
      <protection locked="0"/>
    </xf>
    <xf numFmtId="3" fontId="10" fillId="4" borderId="1" xfId="3" applyNumberFormat="1" applyFont="1" applyFill="1" applyBorder="1" applyAlignment="1" applyProtection="1">
      <alignment vertical="center" shrinkToFit="1"/>
    </xf>
    <xf numFmtId="3" fontId="9" fillId="7" borderId="1" xfId="0" applyNumberFormat="1" applyFont="1" applyFill="1" applyBorder="1" applyAlignment="1">
      <alignment horizontal="center" vertical="center" wrapText="1"/>
    </xf>
    <xf numFmtId="3" fontId="3" fillId="4" borderId="1" xfId="0" applyNumberFormat="1" applyFont="1" applyFill="1" applyBorder="1" applyProtection="1">
      <alignment vertical="center"/>
      <protection locked="0"/>
    </xf>
    <xf numFmtId="183" fontId="9" fillId="4" borderId="7" xfId="0" applyNumberFormat="1" applyFont="1" applyFill="1" applyBorder="1" applyAlignment="1" applyProtection="1">
      <alignment horizontal="right" vertical="center"/>
      <protection locked="0"/>
    </xf>
    <xf numFmtId="183" fontId="10" fillId="4" borderId="1" xfId="0" applyNumberFormat="1" applyFont="1" applyFill="1" applyBorder="1" applyAlignment="1" applyProtection="1">
      <alignment horizontal="right" vertical="center"/>
      <protection locked="0"/>
    </xf>
    <xf numFmtId="0" fontId="4" fillId="0" borderId="1" xfId="0" applyFont="1" applyBorder="1" applyAlignment="1">
      <alignment horizontal="center" vertical="center" wrapText="1"/>
    </xf>
    <xf numFmtId="3" fontId="47" fillId="9" borderId="1" xfId="0" applyNumberFormat="1" applyFont="1" applyFill="1" applyBorder="1" applyAlignment="1" applyProtection="1">
      <alignment horizontal="right" vertical="center"/>
      <protection locked="0"/>
    </xf>
    <xf numFmtId="3" fontId="47" fillId="9" borderId="24" xfId="0" applyNumberFormat="1" applyFont="1" applyFill="1" applyBorder="1" applyAlignment="1" applyProtection="1">
      <alignment horizontal="right" vertical="center"/>
      <protection locked="0"/>
    </xf>
    <xf numFmtId="3" fontId="47" fillId="9" borderId="1" xfId="0" applyNumberFormat="1" applyFont="1" applyFill="1" applyBorder="1" applyAlignment="1" applyProtection="1">
      <alignment vertical="center" wrapText="1"/>
      <protection locked="0"/>
    </xf>
    <xf numFmtId="3" fontId="47" fillId="9" borderId="24" xfId="0" applyNumberFormat="1" applyFont="1" applyFill="1" applyBorder="1" applyAlignment="1" applyProtection="1">
      <alignment vertical="center" wrapText="1"/>
      <protection locked="0"/>
    </xf>
    <xf numFmtId="3" fontId="47" fillId="0" borderId="24" xfId="0" applyNumberFormat="1" applyFont="1" applyBorder="1">
      <alignment vertical="center"/>
    </xf>
    <xf numFmtId="3" fontId="47" fillId="9" borderId="1" xfId="0" applyNumberFormat="1" applyFont="1" applyFill="1" applyBorder="1" applyAlignment="1" applyProtection="1">
      <alignment horizontal="right" vertical="center" wrapText="1"/>
      <protection locked="0"/>
    </xf>
    <xf numFmtId="3" fontId="47" fillId="9" borderId="7" xfId="0" applyNumberFormat="1" applyFont="1" applyFill="1" applyBorder="1" applyAlignment="1" applyProtection="1">
      <alignment horizontal="right" vertical="center"/>
      <protection locked="0"/>
    </xf>
    <xf numFmtId="3" fontId="47" fillId="9" borderId="42" xfId="0" applyNumberFormat="1" applyFont="1" applyFill="1" applyBorder="1" applyAlignment="1" applyProtection="1">
      <alignment horizontal="right" vertical="center"/>
      <protection locked="0"/>
    </xf>
    <xf numFmtId="3" fontId="47" fillId="4" borderId="1" xfId="0" applyNumberFormat="1" applyFont="1" applyFill="1" applyBorder="1" applyAlignment="1" applyProtection="1">
      <alignment horizontal="right" vertical="center"/>
      <protection locked="0"/>
    </xf>
    <xf numFmtId="3" fontId="50" fillId="7" borderId="9" xfId="0" applyNumberFormat="1" applyFont="1" applyFill="1" applyBorder="1" applyAlignment="1">
      <alignment horizontal="center" vertical="center" wrapText="1"/>
    </xf>
    <xf numFmtId="3" fontId="73" fillId="9" borderId="2" xfId="0" applyNumberFormat="1" applyFont="1" applyFill="1" applyBorder="1" applyAlignment="1" applyProtection="1">
      <alignment horizontal="center" vertical="center"/>
      <protection locked="0"/>
    </xf>
    <xf numFmtId="3" fontId="50" fillId="0" borderId="24" xfId="0" applyNumberFormat="1" applyFont="1" applyBorder="1" applyAlignment="1">
      <alignment horizontal="center" vertical="center"/>
    </xf>
    <xf numFmtId="3" fontId="50" fillId="7" borderId="3" xfId="0" applyNumberFormat="1" applyFont="1" applyFill="1" applyBorder="1" applyAlignment="1">
      <alignment vertical="center" wrapText="1"/>
    </xf>
    <xf numFmtId="3" fontId="73" fillId="9" borderId="2" xfId="0" applyNumberFormat="1" applyFont="1" applyFill="1" applyBorder="1" applyAlignment="1" applyProtection="1">
      <alignment vertical="center" shrinkToFit="1"/>
      <protection locked="0"/>
    </xf>
    <xf numFmtId="3" fontId="50" fillId="0" borderId="36" xfId="0" applyNumberFormat="1" applyFont="1" applyBorder="1">
      <alignment vertical="center"/>
    </xf>
    <xf numFmtId="3" fontId="50" fillId="7" borderId="3" xfId="0" applyNumberFormat="1" applyFont="1" applyFill="1" applyBorder="1" applyAlignment="1">
      <alignment vertical="center" shrinkToFit="1"/>
    </xf>
    <xf numFmtId="3" fontId="73" fillId="0" borderId="41" xfId="0" applyNumberFormat="1" applyFont="1" applyBorder="1" applyAlignment="1" applyProtection="1">
      <alignment vertical="center" shrinkToFit="1"/>
      <protection locked="0"/>
    </xf>
    <xf numFmtId="3" fontId="73" fillId="0" borderId="13" xfId="0" applyNumberFormat="1" applyFont="1" applyBorder="1" applyAlignment="1" applyProtection="1">
      <alignment vertical="center" shrinkToFit="1"/>
      <protection locked="0"/>
    </xf>
    <xf numFmtId="3" fontId="4" fillId="4" borderId="1" xfId="0" applyNumberFormat="1" applyFont="1" applyFill="1" applyBorder="1" applyAlignment="1">
      <alignment horizontal="right" vertical="center" shrinkToFit="1"/>
    </xf>
    <xf numFmtId="0" fontId="74" fillId="0" borderId="16" xfId="0" applyFont="1" applyBorder="1">
      <alignment vertical="center"/>
    </xf>
    <xf numFmtId="0" fontId="74" fillId="0" borderId="0" xfId="0" applyFont="1">
      <alignment vertical="center"/>
    </xf>
    <xf numFmtId="0" fontId="73" fillId="0" borderId="1" xfId="0" applyFont="1" applyBorder="1" applyAlignment="1">
      <alignment horizontal="center" vertical="center" wrapText="1"/>
    </xf>
    <xf numFmtId="3" fontId="75" fillId="0" borderId="3" xfId="0" applyNumberFormat="1" applyFont="1" applyBorder="1" applyAlignment="1">
      <alignment horizontal="center" vertical="center" wrapText="1"/>
    </xf>
    <xf numFmtId="3" fontId="3" fillId="6" borderId="1" xfId="0" applyNumberFormat="1" applyFont="1" applyFill="1" applyBorder="1" applyAlignment="1">
      <alignment vertical="center" wrapText="1"/>
    </xf>
    <xf numFmtId="3" fontId="74" fillId="0" borderId="16" xfId="0" applyNumberFormat="1" applyFont="1" applyBorder="1">
      <alignment vertical="center"/>
    </xf>
    <xf numFmtId="3" fontId="74" fillId="0" borderId="0" xfId="0" applyNumberFormat="1" applyFont="1">
      <alignment vertical="center"/>
    </xf>
    <xf numFmtId="3" fontId="3" fillId="0" borderId="17" xfId="0" applyNumberFormat="1" applyFont="1" applyBorder="1" applyAlignment="1">
      <alignment horizontal="right" vertical="center"/>
    </xf>
    <xf numFmtId="3" fontId="3" fillId="0" borderId="0" xfId="0" applyNumberFormat="1" applyFont="1" applyAlignment="1">
      <alignment horizontal="right" vertical="center"/>
    </xf>
    <xf numFmtId="3" fontId="75" fillId="0" borderId="1" xfId="0" applyNumberFormat="1" applyFont="1" applyBorder="1" applyAlignment="1">
      <alignment horizontal="center" vertical="center" wrapText="1"/>
    </xf>
    <xf numFmtId="3" fontId="3" fillId="6" borderId="1" xfId="0" applyNumberFormat="1" applyFont="1" applyFill="1" applyBorder="1" applyAlignment="1">
      <alignment horizontal="center" vertical="center" wrapText="1"/>
    </xf>
    <xf numFmtId="3" fontId="3" fillId="0" borderId="0" xfId="0" applyNumberFormat="1" applyFont="1" applyAlignment="1">
      <alignment horizontal="center" vertical="center"/>
    </xf>
    <xf numFmtId="3" fontId="68" fillId="0" borderId="0" xfId="0" applyNumberFormat="1" applyFont="1" applyAlignment="1">
      <alignment horizontal="center" vertical="center" wrapText="1"/>
    </xf>
    <xf numFmtId="3" fontId="3" fillId="0" borderId="17" xfId="0" applyNumberFormat="1" applyFont="1" applyBorder="1" applyAlignment="1">
      <alignment horizontal="center" vertical="center"/>
    </xf>
    <xf numFmtId="3" fontId="73" fillId="0" borderId="1" xfId="0" applyNumberFormat="1" applyFont="1" applyBorder="1" applyAlignment="1">
      <alignment horizontal="center" vertical="center"/>
    </xf>
    <xf numFmtId="3" fontId="74" fillId="0" borderId="16" xfId="0" applyNumberFormat="1" applyFont="1" applyBorder="1" applyAlignment="1">
      <alignment horizontal="center" vertical="center"/>
    </xf>
    <xf numFmtId="3" fontId="74" fillId="0" borderId="0" xfId="0" applyNumberFormat="1" applyFont="1" applyAlignment="1">
      <alignment horizontal="center" vertical="center"/>
    </xf>
    <xf numFmtId="3" fontId="73" fillId="0" borderId="1" xfId="0" applyNumberFormat="1" applyFont="1" applyBorder="1" applyAlignment="1">
      <alignment horizontal="center" vertical="center" wrapText="1"/>
    </xf>
    <xf numFmtId="3" fontId="50" fillId="0" borderId="24" xfId="0" applyNumberFormat="1" applyFont="1" applyBorder="1" applyAlignment="1">
      <alignment horizontal="center" vertical="center" wrapText="1"/>
    </xf>
    <xf numFmtId="3" fontId="3" fillId="0" borderId="16" xfId="0" applyNumberFormat="1" applyFont="1" applyBorder="1" applyAlignment="1">
      <alignment horizontal="center" vertical="center"/>
    </xf>
    <xf numFmtId="3" fontId="50" fillId="0" borderId="16" xfId="0" applyNumberFormat="1" applyFont="1" applyBorder="1" applyAlignment="1">
      <alignment horizontal="center" vertical="center"/>
    </xf>
    <xf numFmtId="3" fontId="3" fillId="0" borderId="19" xfId="0" applyNumberFormat="1" applyFont="1" applyBorder="1">
      <alignment vertical="center"/>
    </xf>
    <xf numFmtId="3" fontId="3" fillId="0" borderId="21" xfId="0" applyNumberFormat="1" applyFont="1" applyBorder="1">
      <alignment vertical="center"/>
    </xf>
    <xf numFmtId="3" fontId="3" fillId="0" borderId="23" xfId="0" applyNumberFormat="1" applyFont="1" applyBorder="1">
      <alignment vertical="center"/>
    </xf>
    <xf numFmtId="0" fontId="3" fillId="0" borderId="0" xfId="0" applyFont="1" applyAlignment="1">
      <alignment horizontal="center" vertical="center"/>
    </xf>
    <xf numFmtId="0" fontId="68" fillId="0" borderId="0" xfId="0" applyFont="1" applyAlignment="1">
      <alignment horizontal="left" vertical="center" wrapText="1"/>
    </xf>
    <xf numFmtId="0" fontId="68" fillId="0" borderId="0" xfId="0" applyFont="1" applyAlignment="1">
      <alignment vertical="center" wrapText="1"/>
    </xf>
    <xf numFmtId="3" fontId="68" fillId="0" borderId="0" xfId="0" applyNumberFormat="1" applyFont="1" applyAlignment="1">
      <alignment horizontal="left" vertical="center" wrapText="1"/>
    </xf>
    <xf numFmtId="0" fontId="68" fillId="0" borderId="0" xfId="0" applyFont="1" applyAlignment="1">
      <alignment horizontal="center" vertical="center" wrapText="1"/>
    </xf>
    <xf numFmtId="0" fontId="3" fillId="0" borderId="17" xfId="0" applyFont="1" applyBorder="1" applyAlignment="1">
      <alignment horizontal="center" vertical="center"/>
    </xf>
    <xf numFmtId="0" fontId="3" fillId="0" borderId="19" xfId="0" applyFont="1" applyBorder="1">
      <alignment vertical="center"/>
    </xf>
    <xf numFmtId="0" fontId="3" fillId="0" borderId="21" xfId="0" applyFont="1" applyBorder="1">
      <alignment vertical="center"/>
    </xf>
    <xf numFmtId="0" fontId="73" fillId="0" borderId="1" xfId="0" applyFont="1" applyBorder="1" applyAlignment="1">
      <alignment horizontal="center" vertical="center"/>
    </xf>
    <xf numFmtId="3" fontId="73" fillId="0" borderId="7" xfId="0" applyNumberFormat="1" applyFont="1" applyBorder="1" applyAlignment="1">
      <alignment horizontal="center" vertical="center" wrapText="1"/>
    </xf>
    <xf numFmtId="3" fontId="73" fillId="0" borderId="3" xfId="0" applyNumberFormat="1" applyFont="1" applyBorder="1" applyAlignment="1">
      <alignment horizontal="center" vertical="center" wrapText="1"/>
    </xf>
    <xf numFmtId="0" fontId="50" fillId="0" borderId="12" xfId="0" applyFont="1" applyBorder="1" applyAlignment="1">
      <alignment vertical="center" wrapText="1"/>
    </xf>
    <xf numFmtId="0" fontId="50" fillId="7" borderId="2" xfId="0" applyFont="1" applyFill="1" applyBorder="1" applyAlignment="1">
      <alignment vertical="center" wrapText="1"/>
    </xf>
    <xf numFmtId="0" fontId="50" fillId="7" borderId="9" xfId="0" applyFont="1" applyFill="1" applyBorder="1" applyAlignment="1">
      <alignment horizontal="center" vertical="center" wrapText="1"/>
    </xf>
    <xf numFmtId="0" fontId="50" fillId="7" borderId="2" xfId="0" applyFont="1" applyFill="1" applyBorder="1" applyAlignment="1">
      <alignment horizontal="center" vertical="center"/>
    </xf>
    <xf numFmtId="0" fontId="50" fillId="7" borderId="3" xfId="0" applyFont="1" applyFill="1" applyBorder="1" applyAlignment="1">
      <alignment horizontal="center" vertical="center"/>
    </xf>
    <xf numFmtId="0" fontId="50" fillId="7" borderId="1" xfId="0" applyFont="1" applyFill="1" applyBorder="1" applyAlignment="1">
      <alignment horizontal="center" vertical="center"/>
    </xf>
    <xf numFmtId="0" fontId="73" fillId="9" borderId="24" xfId="0" applyFont="1" applyFill="1" applyBorder="1" applyAlignment="1" applyProtection="1">
      <alignment vertical="center" wrapText="1"/>
      <protection locked="0"/>
    </xf>
    <xf numFmtId="0" fontId="73" fillId="9" borderId="24" xfId="0" applyFont="1" applyFill="1" applyBorder="1" applyAlignment="1" applyProtection="1">
      <alignment horizontal="left" vertical="center" wrapText="1"/>
      <protection locked="0"/>
    </xf>
    <xf numFmtId="0" fontId="73" fillId="9" borderId="24" xfId="0" applyFont="1" applyFill="1" applyBorder="1" applyAlignment="1" applyProtection="1">
      <alignment horizontal="center" vertical="center" wrapText="1"/>
      <protection locked="0"/>
    </xf>
    <xf numFmtId="0" fontId="73" fillId="9" borderId="24" xfId="0" applyFont="1" applyFill="1" applyBorder="1" applyAlignment="1" applyProtection="1">
      <alignment horizontal="center" vertical="center"/>
      <protection locked="0"/>
    </xf>
    <xf numFmtId="0" fontId="73" fillId="4" borderId="24" xfId="0" applyFont="1" applyFill="1" applyBorder="1" applyAlignment="1" applyProtection="1">
      <alignment horizontal="center" vertical="center" wrapText="1"/>
      <protection locked="0"/>
    </xf>
    <xf numFmtId="0" fontId="3" fillId="0" borderId="21" xfId="0" applyFont="1" applyBorder="1" applyProtection="1">
      <alignment vertical="center"/>
      <protection locked="0"/>
    </xf>
    <xf numFmtId="0" fontId="73" fillId="4" borderId="24" xfId="0" applyFont="1" applyFill="1" applyBorder="1" applyAlignment="1" applyProtection="1">
      <alignment vertical="center" wrapText="1"/>
      <protection locked="0"/>
    </xf>
    <xf numFmtId="0" fontId="73" fillId="9" borderId="1" xfId="0" applyFont="1" applyFill="1" applyBorder="1" applyAlignment="1" applyProtection="1">
      <alignment vertical="center" wrapText="1"/>
      <protection locked="0"/>
    </xf>
    <xf numFmtId="0" fontId="73" fillId="9" borderId="1" xfId="0" applyFont="1" applyFill="1" applyBorder="1" applyAlignment="1" applyProtection="1">
      <alignment horizontal="left" vertical="center" wrapText="1"/>
      <protection locked="0"/>
    </xf>
    <xf numFmtId="0" fontId="73" fillId="9" borderId="1" xfId="0" applyFont="1" applyFill="1" applyBorder="1" applyAlignment="1" applyProtection="1">
      <alignment horizontal="center" vertical="center" wrapText="1"/>
      <protection locked="0"/>
    </xf>
    <xf numFmtId="0" fontId="73" fillId="9" borderId="1" xfId="0" applyFont="1" applyFill="1" applyBorder="1" applyAlignment="1" applyProtection="1">
      <alignment horizontal="center" vertical="center"/>
      <protection locked="0"/>
    </xf>
    <xf numFmtId="55" fontId="73" fillId="9" borderId="3" xfId="0" applyNumberFormat="1" applyFont="1" applyFill="1" applyBorder="1" applyAlignment="1" applyProtection="1">
      <alignment horizontal="center" vertical="center" wrapText="1"/>
      <protection locked="0"/>
    </xf>
    <xf numFmtId="0" fontId="73" fillId="4" borderId="1" xfId="0" applyFont="1" applyFill="1" applyBorder="1" applyAlignment="1" applyProtection="1">
      <alignment horizontal="center" vertical="center" wrapText="1"/>
      <protection locked="0"/>
    </xf>
    <xf numFmtId="0" fontId="73" fillId="4" borderId="1" xfId="0" applyFont="1" applyFill="1" applyBorder="1" applyAlignment="1" applyProtection="1">
      <alignment vertical="center" wrapText="1"/>
      <protection locked="0"/>
    </xf>
    <xf numFmtId="0" fontId="73" fillId="9" borderId="3" xfId="0" applyFont="1" applyFill="1" applyBorder="1" applyAlignment="1" applyProtection="1">
      <alignment horizontal="center" vertical="center" wrapText="1"/>
      <protection locked="0"/>
    </xf>
    <xf numFmtId="0" fontId="50" fillId="0" borderId="3" xfId="0" applyFont="1" applyBorder="1" applyAlignment="1">
      <alignment vertical="center" wrapText="1"/>
    </xf>
    <xf numFmtId="0" fontId="50" fillId="7" borderId="1" xfId="0" applyFont="1" applyFill="1" applyBorder="1">
      <alignment vertical="center"/>
    </xf>
    <xf numFmtId="0" fontId="73" fillId="9" borderId="37" xfId="0" applyFont="1" applyFill="1" applyBorder="1" applyAlignment="1" applyProtection="1">
      <alignment horizontal="center" vertical="center" wrapText="1"/>
      <protection locked="0"/>
    </xf>
    <xf numFmtId="3" fontId="50" fillId="7" borderId="3" xfId="0" applyNumberFormat="1" applyFont="1" applyFill="1" applyBorder="1" applyAlignment="1">
      <alignment horizontal="center" vertical="center" shrinkToFit="1"/>
    </xf>
    <xf numFmtId="3" fontId="50" fillId="7" borderId="1" xfId="0" applyNumberFormat="1" applyFont="1" applyFill="1" applyBorder="1" applyAlignment="1">
      <alignment horizontal="left" vertical="center" shrinkToFit="1"/>
    </xf>
    <xf numFmtId="3" fontId="50" fillId="7" borderId="1" xfId="0" applyNumberFormat="1" applyFont="1" applyFill="1" applyBorder="1" applyAlignment="1">
      <alignment vertical="center" shrinkToFit="1"/>
    </xf>
    <xf numFmtId="0" fontId="50" fillId="0" borderId="24" xfId="0" applyFont="1" applyBorder="1" applyAlignment="1">
      <alignment vertical="center" wrapText="1"/>
    </xf>
    <xf numFmtId="0" fontId="50" fillId="0" borderId="24" xfId="0" applyFont="1" applyBorder="1" applyAlignment="1">
      <alignment horizontal="center" vertical="center" wrapText="1"/>
    </xf>
    <xf numFmtId="0" fontId="50" fillId="0" borderId="24" xfId="0" applyFont="1" applyBorder="1" applyAlignment="1">
      <alignment horizontal="center" vertical="center"/>
    </xf>
    <xf numFmtId="3" fontId="4" fillId="0" borderId="36" xfId="0" applyNumberFormat="1" applyFont="1" applyBorder="1" applyAlignment="1">
      <alignment horizontal="center" vertical="center" wrapText="1"/>
    </xf>
    <xf numFmtId="0" fontId="50" fillId="0" borderId="37" xfId="0" applyFont="1" applyBorder="1" applyAlignment="1">
      <alignment horizontal="center" vertical="center" wrapText="1"/>
    </xf>
    <xf numFmtId="0" fontId="74" fillId="0" borderId="16" xfId="0" applyFont="1" applyBorder="1" applyAlignment="1">
      <alignment horizontal="center" vertical="center"/>
    </xf>
    <xf numFmtId="0" fontId="3" fillId="0" borderId="16" xfId="0" applyFont="1" applyBorder="1" applyAlignment="1">
      <alignment horizontal="center" vertical="center"/>
    </xf>
    <xf numFmtId="0" fontId="3" fillId="0" borderId="23" xfId="0" applyFont="1" applyBorder="1">
      <alignment vertical="center"/>
    </xf>
    <xf numFmtId="0" fontId="74" fillId="0" borderId="0" xfId="0" applyFont="1" applyAlignment="1">
      <alignment horizontal="center" vertical="center"/>
    </xf>
    <xf numFmtId="0" fontId="50" fillId="0" borderId="17" xfId="0" applyFont="1" applyBorder="1">
      <alignment vertical="center"/>
    </xf>
    <xf numFmtId="0" fontId="76" fillId="0" borderId="20" xfId="0" applyFont="1" applyBorder="1">
      <alignment vertical="center"/>
    </xf>
    <xf numFmtId="0" fontId="76" fillId="0" borderId="0" xfId="0" applyFont="1">
      <alignment vertical="center"/>
    </xf>
    <xf numFmtId="0" fontId="73" fillId="0" borderId="9" xfId="0" applyFont="1" applyBorder="1" applyAlignment="1">
      <alignment horizontal="center" vertical="center" wrapText="1"/>
    </xf>
    <xf numFmtId="0" fontId="65" fillId="0" borderId="1" xfId="0" applyFont="1" applyBorder="1" applyAlignment="1">
      <alignment horizontal="center" vertical="center" wrapText="1"/>
    </xf>
    <xf numFmtId="178" fontId="50" fillId="0" borderId="1" xfId="0" applyNumberFormat="1" applyFont="1" applyBorder="1" applyAlignment="1">
      <alignment horizontal="center" vertical="center" wrapText="1" shrinkToFit="1"/>
    </xf>
    <xf numFmtId="0" fontId="4" fillId="0" borderId="24" xfId="0" applyFont="1" applyBorder="1" applyAlignment="1">
      <alignment horizontal="center" vertical="center" wrapText="1"/>
    </xf>
    <xf numFmtId="3" fontId="75" fillId="0" borderId="7" xfId="0" applyNumberFormat="1" applyFont="1" applyBorder="1" applyAlignment="1">
      <alignment horizontal="center" vertical="center" wrapText="1"/>
    </xf>
    <xf numFmtId="3" fontId="3" fillId="0" borderId="1" xfId="0" applyNumberFormat="1" applyFont="1" applyBorder="1" applyAlignment="1">
      <alignment vertical="center" wrapText="1"/>
    </xf>
    <xf numFmtId="0" fontId="50" fillId="0" borderId="34" xfId="0" applyFont="1" applyBorder="1" applyAlignment="1">
      <alignment horizontal="center" vertical="center"/>
    </xf>
    <xf numFmtId="0" fontId="50" fillId="0" borderId="16" xfId="0" applyFont="1" applyBorder="1" applyAlignment="1">
      <alignment horizontal="center" vertical="center"/>
    </xf>
    <xf numFmtId="0" fontId="50" fillId="0" borderId="16" xfId="0" applyFont="1" applyBorder="1">
      <alignment vertical="center"/>
    </xf>
    <xf numFmtId="0" fontId="50" fillId="0" borderId="23" xfId="0" applyFont="1" applyBorder="1">
      <alignment vertical="center"/>
    </xf>
    <xf numFmtId="0" fontId="30" fillId="0" borderId="21" xfId="0" applyFont="1" applyBorder="1">
      <alignment vertical="center"/>
    </xf>
    <xf numFmtId="3" fontId="3" fillId="0" borderId="20" xfId="0" applyNumberFormat="1" applyFont="1" applyBorder="1">
      <alignment vertical="center"/>
    </xf>
    <xf numFmtId="0" fontId="68" fillId="0" borderId="9" xfId="0" applyFont="1" applyBorder="1">
      <alignment vertical="center"/>
    </xf>
    <xf numFmtId="0" fontId="50" fillId="0" borderId="10" xfId="0" applyFont="1" applyBorder="1" applyAlignment="1">
      <alignment horizontal="left" vertical="center"/>
    </xf>
    <xf numFmtId="0" fontId="73" fillId="0" borderId="13" xfId="0" applyFont="1" applyBorder="1" applyProtection="1">
      <alignment vertical="center"/>
      <protection locked="0"/>
    </xf>
    <xf numFmtId="0" fontId="50" fillId="0" borderId="10" xfId="0" applyFont="1" applyBorder="1">
      <alignment vertical="center"/>
    </xf>
    <xf numFmtId="178" fontId="50" fillId="0" borderId="1" xfId="0" applyNumberFormat="1" applyFont="1" applyBorder="1" applyAlignment="1">
      <alignment horizontal="center" vertical="center" shrinkToFit="1"/>
    </xf>
    <xf numFmtId="0" fontId="73" fillId="0" borderId="15" xfId="0" applyFont="1" applyBorder="1">
      <alignment vertical="center"/>
    </xf>
    <xf numFmtId="0" fontId="73" fillId="0" borderId="15" xfId="0" applyFont="1" applyBorder="1" applyProtection="1">
      <alignment vertical="center"/>
      <protection locked="0"/>
    </xf>
    <xf numFmtId="0" fontId="50" fillId="0" borderId="15" xfId="0" applyFont="1" applyBorder="1">
      <alignment vertical="center"/>
    </xf>
    <xf numFmtId="0" fontId="77" fillId="0" borderId="17" xfId="0" applyFont="1" applyBorder="1">
      <alignment vertical="center"/>
    </xf>
    <xf numFmtId="0" fontId="73" fillId="0" borderId="15" xfId="0" applyFont="1" applyBorder="1" applyAlignment="1" applyProtection="1">
      <alignment vertical="center" wrapText="1"/>
      <protection locked="0"/>
    </xf>
    <xf numFmtId="0" fontId="68" fillId="0" borderId="2" xfId="0" applyFont="1" applyBorder="1">
      <alignment vertical="center"/>
    </xf>
    <xf numFmtId="0" fontId="78" fillId="0" borderId="2" xfId="0" applyFont="1" applyBorder="1">
      <alignment vertical="center"/>
    </xf>
    <xf numFmtId="0" fontId="3" fillId="9" borderId="9" xfId="0" applyFont="1" applyFill="1" applyBorder="1" applyProtection="1">
      <alignment vertical="center"/>
      <protection locked="0"/>
    </xf>
    <xf numFmtId="3" fontId="3" fillId="9" borderId="9" xfId="0" applyNumberFormat="1" applyFont="1" applyFill="1" applyBorder="1" applyAlignment="1" applyProtection="1">
      <alignment horizontal="center" vertical="center"/>
      <protection locked="0"/>
    </xf>
    <xf numFmtId="3" fontId="3" fillId="9" borderId="9" xfId="0" applyNumberFormat="1" applyFont="1" applyFill="1" applyBorder="1" applyAlignment="1" applyProtection="1">
      <alignment horizontal="right" vertical="center"/>
      <protection locked="0"/>
    </xf>
    <xf numFmtId="0" fontId="3" fillId="9" borderId="9" xfId="0" applyFont="1" applyFill="1" applyBorder="1" applyAlignment="1" applyProtection="1">
      <alignment horizontal="center" vertical="center"/>
      <protection locked="0"/>
    </xf>
    <xf numFmtId="3" fontId="3" fillId="9" borderId="9" xfId="0" applyNumberFormat="1" applyFont="1" applyFill="1" applyBorder="1" applyProtection="1">
      <alignment vertical="center"/>
      <protection locked="0"/>
    </xf>
    <xf numFmtId="3" fontId="3" fillId="9" borderId="3" xfId="0" applyNumberFormat="1" applyFont="1" applyFill="1" applyBorder="1" applyProtection="1">
      <alignment vertical="center"/>
      <protection locked="0"/>
    </xf>
    <xf numFmtId="0" fontId="4" fillId="9" borderId="2" xfId="0" applyFont="1" applyFill="1" applyBorder="1" applyProtection="1">
      <alignment vertical="center"/>
      <protection locked="0"/>
    </xf>
    <xf numFmtId="3" fontId="9" fillId="0" borderId="7" xfId="0" applyNumberFormat="1" applyFont="1" applyBorder="1" applyAlignment="1">
      <alignment horizontal="center" vertical="center" wrapText="1"/>
    </xf>
    <xf numFmtId="9" fontId="0" fillId="0" borderId="24" xfId="0" applyNumberFormat="1" applyBorder="1" applyAlignment="1" applyProtection="1">
      <alignment horizontal="center" vertical="center"/>
      <protection locked="0"/>
    </xf>
    <xf numFmtId="0" fontId="17" fillId="0" borderId="7" xfId="0" applyFont="1" applyBorder="1">
      <alignment vertical="center"/>
    </xf>
    <xf numFmtId="0" fontId="53" fillId="0" borderId="7" xfId="0" applyFont="1" applyBorder="1">
      <alignment vertical="center"/>
    </xf>
    <xf numFmtId="0" fontId="9" fillId="0" borderId="7" xfId="0" applyFont="1" applyBorder="1" applyAlignment="1" applyProtection="1">
      <alignment horizontal="center" vertical="center" wrapText="1"/>
      <protection locked="0"/>
    </xf>
    <xf numFmtId="0" fontId="9" fillId="0" borderId="13" xfId="0" applyFont="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3" fontId="4" fillId="4" borderId="1" xfId="0" applyNumberFormat="1" applyFont="1" applyFill="1" applyBorder="1" applyProtection="1">
      <alignment vertical="center"/>
      <protection locked="0"/>
    </xf>
    <xf numFmtId="3" fontId="4" fillId="0" borderId="24" xfId="0" applyNumberFormat="1" applyFont="1" applyBorder="1" applyProtection="1">
      <alignment vertical="center"/>
      <protection locked="0"/>
    </xf>
    <xf numFmtId="3" fontId="9" fillId="7" borderId="9" xfId="0" applyNumberFormat="1" applyFont="1" applyFill="1" applyBorder="1" applyAlignment="1">
      <alignment vertical="center" wrapText="1"/>
    </xf>
    <xf numFmtId="0" fontId="10" fillId="3" borderId="24" xfId="0" applyFont="1" applyFill="1" applyBorder="1" applyAlignment="1">
      <alignment vertical="center" wrapText="1"/>
    </xf>
    <xf numFmtId="0" fontId="9" fillId="0" borderId="16" xfId="0" applyFont="1" applyBorder="1" applyAlignment="1">
      <alignment vertical="center" wrapText="1"/>
    </xf>
    <xf numFmtId="0" fontId="0" fillId="0" borderId="19" xfId="0" applyBorder="1" applyProtection="1">
      <alignment vertical="center"/>
      <protection locked="0"/>
    </xf>
    <xf numFmtId="0" fontId="0" fillId="0" borderId="23" xfId="0" applyBorder="1" applyProtection="1">
      <alignment vertical="center"/>
      <protection locked="0"/>
    </xf>
    <xf numFmtId="0" fontId="47" fillId="9" borderId="1" xfId="0" applyFont="1" applyFill="1" applyBorder="1" applyAlignment="1" applyProtection="1">
      <alignment horizontal="center" vertical="center" wrapText="1"/>
      <protection locked="0"/>
    </xf>
    <xf numFmtId="3" fontId="47" fillId="4" borderId="1" xfId="0" applyNumberFormat="1" applyFont="1" applyFill="1" applyBorder="1" applyAlignment="1" applyProtection="1">
      <alignment horizontal="right" vertical="center" wrapText="1"/>
      <protection locked="0"/>
    </xf>
    <xf numFmtId="0" fontId="55" fillId="0" borderId="1" xfId="0" applyFont="1" applyBorder="1" applyAlignment="1">
      <alignment horizontal="center" vertical="center" wrapText="1"/>
    </xf>
    <xf numFmtId="38" fontId="45" fillId="0" borderId="1" xfId="3" applyFont="1" applyBorder="1" applyAlignment="1" applyProtection="1">
      <alignment horizontal="center" vertical="center" wrapText="1"/>
    </xf>
    <xf numFmtId="0" fontId="9" fillId="0" borderId="2" xfId="0" applyFont="1" applyBorder="1" applyAlignment="1" applyProtection="1">
      <alignment horizontal="center" vertical="center"/>
      <protection locked="0"/>
    </xf>
    <xf numFmtId="0" fontId="9" fillId="0" borderId="1" xfId="0" applyFont="1" applyBorder="1" applyAlignment="1" applyProtection="1">
      <alignment horizontal="center" vertical="center" wrapText="1"/>
      <protection locked="0"/>
    </xf>
    <xf numFmtId="0" fontId="10" fillId="0" borderId="0" xfId="0" applyFont="1" applyAlignment="1" applyProtection="1">
      <alignment vertical="center" wrapText="1"/>
      <protection locked="0"/>
    </xf>
    <xf numFmtId="0" fontId="10" fillId="0" borderId="16" xfId="0" applyFont="1" applyBorder="1" applyAlignment="1" applyProtection="1">
      <protection locked="0"/>
    </xf>
    <xf numFmtId="0" fontId="9" fillId="0" borderId="18" xfId="0" applyFont="1" applyBorder="1" applyProtection="1">
      <alignment vertical="center"/>
      <protection locked="0"/>
    </xf>
    <xf numFmtId="0" fontId="9" fillId="0" borderId="17" xfId="0" applyFont="1" applyBorder="1" applyAlignment="1" applyProtection="1">
      <alignment horizontal="left" vertical="center"/>
      <protection locked="0"/>
    </xf>
    <xf numFmtId="0" fontId="9" fillId="0" borderId="17" xfId="0" applyFont="1" applyBorder="1" applyProtection="1">
      <alignment vertical="center"/>
      <protection locked="0"/>
    </xf>
    <xf numFmtId="0" fontId="9" fillId="0" borderId="22" xfId="0" applyFont="1" applyBorder="1" applyProtection="1">
      <alignment vertical="center"/>
      <protection locked="0"/>
    </xf>
    <xf numFmtId="0" fontId="9" fillId="0" borderId="16" xfId="0" applyFont="1" applyBorder="1" applyProtection="1">
      <alignment vertical="center"/>
      <protection locked="0"/>
    </xf>
    <xf numFmtId="0" fontId="13" fillId="0" borderId="28" xfId="0" applyFont="1" applyBorder="1" applyProtection="1">
      <alignment vertical="center"/>
      <protection locked="0"/>
    </xf>
    <xf numFmtId="0" fontId="23" fillId="0" borderId="12"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12" fillId="0" borderId="29" xfId="0" applyFont="1" applyBorder="1" applyProtection="1">
      <alignment vertical="center"/>
      <protection locked="0"/>
    </xf>
    <xf numFmtId="0" fontId="12" fillId="0" borderId="0" xfId="0" applyFont="1" applyProtection="1">
      <alignment vertical="center"/>
      <protection locked="0"/>
    </xf>
    <xf numFmtId="0" fontId="25" fillId="0" borderId="15" xfId="0" applyFont="1" applyBorder="1" applyAlignment="1" applyProtection="1">
      <alignment horizontal="center" vertical="center" wrapText="1"/>
      <protection locked="0"/>
    </xf>
    <xf numFmtId="0" fontId="17" fillId="0" borderId="6" xfId="0" applyFont="1" applyBorder="1" applyAlignment="1" applyProtection="1">
      <alignment vertical="center" wrapText="1"/>
      <protection locked="0"/>
    </xf>
    <xf numFmtId="0" fontId="17" fillId="0" borderId="5" xfId="0" applyFont="1" applyBorder="1" applyAlignment="1" applyProtection="1">
      <alignment vertical="center" wrapText="1"/>
      <protection locked="0"/>
    </xf>
    <xf numFmtId="0" fontId="13" fillId="0" borderId="13" xfId="0" applyFont="1" applyBorder="1" applyAlignment="1" applyProtection="1">
      <alignment horizontal="center" vertical="center" wrapText="1"/>
      <protection locked="0"/>
    </xf>
    <xf numFmtId="0" fontId="13" fillId="0" borderId="6"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14" fillId="0" borderId="28" xfId="0" applyFont="1" applyBorder="1" applyProtection="1">
      <alignment vertical="center"/>
      <protection locked="0"/>
    </xf>
    <xf numFmtId="179" fontId="0" fillId="0" borderId="1" xfId="0" applyNumberFormat="1" applyBorder="1">
      <alignment vertical="center"/>
    </xf>
    <xf numFmtId="0" fontId="13" fillId="6" borderId="1" xfId="0" applyFont="1" applyFill="1" applyBorder="1">
      <alignment vertical="center"/>
    </xf>
    <xf numFmtId="3" fontId="5" fillId="6" borderId="1" xfId="0" applyNumberFormat="1" applyFont="1" applyFill="1" applyBorder="1">
      <alignment vertical="center"/>
    </xf>
    <xf numFmtId="0" fontId="5" fillId="6" borderId="1" xfId="0" applyFont="1" applyFill="1" applyBorder="1">
      <alignment vertical="center"/>
    </xf>
    <xf numFmtId="176" fontId="12" fillId="0" borderId="1" xfId="0" applyNumberFormat="1" applyFont="1" applyBorder="1">
      <alignment vertical="center"/>
    </xf>
    <xf numFmtId="0" fontId="32" fillId="0" borderId="0" xfId="0" applyFont="1" applyAlignment="1">
      <alignment horizontal="left" vertical="center"/>
    </xf>
    <xf numFmtId="0" fontId="9" fillId="0" borderId="32" xfId="0" applyFont="1" applyBorder="1">
      <alignment vertical="center"/>
    </xf>
    <xf numFmtId="182" fontId="42" fillId="0" borderId="1" xfId="0" applyNumberFormat="1" applyFont="1" applyBorder="1" applyProtection="1">
      <alignment vertical="center"/>
      <protection locked="0"/>
    </xf>
    <xf numFmtId="0" fontId="0" fillId="8" borderId="1" xfId="0" applyFill="1" applyBorder="1">
      <alignment vertical="center"/>
    </xf>
    <xf numFmtId="0" fontId="0" fillId="8" borderId="1" xfId="0" applyFill="1" applyBorder="1" applyAlignment="1">
      <alignment horizontal="center" vertical="center"/>
    </xf>
    <xf numFmtId="0" fontId="31" fillId="5" borderId="24" xfId="0" applyFont="1" applyFill="1" applyBorder="1" applyAlignment="1">
      <alignment horizontal="center" vertical="center" wrapText="1"/>
    </xf>
    <xf numFmtId="0" fontId="31" fillId="9" borderId="24" xfId="0" applyFont="1" applyFill="1" applyBorder="1" applyAlignment="1" applyProtection="1">
      <alignment horizontal="center" vertical="center" wrapText="1"/>
      <protection locked="0"/>
    </xf>
    <xf numFmtId="0" fontId="31" fillId="0" borderId="6" xfId="0" applyFont="1" applyBorder="1" applyAlignment="1" applyProtection="1">
      <alignment horizontal="center" vertical="center" wrapText="1"/>
      <protection locked="0"/>
    </xf>
    <xf numFmtId="0" fontId="73" fillId="0" borderId="2" xfId="0" applyFont="1" applyBorder="1" applyAlignment="1">
      <alignment horizontal="center" vertical="center" wrapText="1"/>
    </xf>
    <xf numFmtId="3" fontId="73" fillId="4" borderId="7" xfId="0" applyNumberFormat="1" applyFont="1" applyFill="1" applyBorder="1" applyAlignment="1">
      <alignment vertical="center" shrinkToFit="1"/>
    </xf>
    <xf numFmtId="3" fontId="50" fillId="7" borderId="2" xfId="0" applyNumberFormat="1" applyFont="1" applyFill="1" applyBorder="1" applyAlignment="1">
      <alignment horizontal="center" vertical="center" shrinkToFit="1"/>
    </xf>
    <xf numFmtId="3" fontId="73" fillId="9" borderId="24" xfId="0" applyNumberFormat="1" applyFont="1" applyFill="1" applyBorder="1" applyAlignment="1" applyProtection="1">
      <alignment horizontal="center" vertical="center"/>
      <protection locked="0"/>
    </xf>
    <xf numFmtId="3" fontId="73" fillId="9" borderId="36" xfId="0" applyNumberFormat="1" applyFont="1" applyFill="1" applyBorder="1" applyProtection="1">
      <alignment vertical="center"/>
      <protection locked="0"/>
    </xf>
    <xf numFmtId="3" fontId="73" fillId="9" borderId="1" xfId="0" applyNumberFormat="1" applyFont="1" applyFill="1" applyBorder="1" applyAlignment="1" applyProtection="1">
      <alignment horizontal="center" vertical="center"/>
      <protection locked="0"/>
    </xf>
    <xf numFmtId="3" fontId="73" fillId="9" borderId="2" xfId="0" applyNumberFormat="1" applyFont="1" applyFill="1" applyBorder="1" applyProtection="1">
      <alignment vertical="center"/>
      <protection locked="0"/>
    </xf>
    <xf numFmtId="3" fontId="50" fillId="7" borderId="2" xfId="0" applyNumberFormat="1" applyFont="1" applyFill="1" applyBorder="1" applyAlignment="1">
      <alignment horizontal="center" vertical="center" wrapText="1" shrinkToFit="1"/>
    </xf>
    <xf numFmtId="3" fontId="73" fillId="9" borderId="14" xfId="0" applyNumberFormat="1" applyFont="1" applyFill="1" applyBorder="1" applyAlignment="1" applyProtection="1">
      <alignment horizontal="center" vertical="center"/>
      <protection locked="0"/>
    </xf>
    <xf numFmtId="3" fontId="73" fillId="6" borderId="1" xfId="0" applyNumberFormat="1" applyFont="1" applyFill="1" applyBorder="1" applyAlignment="1" applyProtection="1">
      <alignment horizontal="center" vertical="center" wrapText="1"/>
      <protection locked="0"/>
    </xf>
    <xf numFmtId="3" fontId="73" fillId="6" borderId="1" xfId="0" applyNumberFormat="1" applyFont="1" applyFill="1" applyBorder="1" applyAlignment="1" applyProtection="1">
      <alignment vertical="center" wrapText="1"/>
      <protection locked="0"/>
    </xf>
    <xf numFmtId="3" fontId="73" fillId="9" borderId="24" xfId="0" applyNumberFormat="1" applyFont="1" applyFill="1" applyBorder="1" applyAlignment="1" applyProtection="1">
      <alignment vertical="center" wrapText="1"/>
      <protection locked="0"/>
    </xf>
    <xf numFmtId="176" fontId="73" fillId="9" borderId="24" xfId="0" applyNumberFormat="1" applyFont="1" applyFill="1" applyBorder="1" applyAlignment="1" applyProtection="1">
      <alignment vertical="center" wrapText="1"/>
      <protection locked="0"/>
    </xf>
    <xf numFmtId="3" fontId="73" fillId="9" borderId="1" xfId="0" applyNumberFormat="1" applyFont="1" applyFill="1" applyBorder="1" applyAlignment="1" applyProtection="1">
      <alignment vertical="center" wrapText="1"/>
      <protection locked="0"/>
    </xf>
    <xf numFmtId="176" fontId="73" fillId="9" borderId="1" xfId="0" applyNumberFormat="1" applyFont="1" applyFill="1" applyBorder="1" applyAlignment="1" applyProtection="1">
      <alignment vertical="center" wrapText="1"/>
      <protection locked="0"/>
    </xf>
    <xf numFmtId="3" fontId="73" fillId="9" borderId="24" xfId="0" applyNumberFormat="1" applyFont="1" applyFill="1" applyBorder="1" applyProtection="1">
      <alignment vertical="center"/>
      <protection locked="0"/>
    </xf>
    <xf numFmtId="3" fontId="73" fillId="9" borderId="1" xfId="0" applyNumberFormat="1" applyFont="1" applyFill="1" applyBorder="1" applyProtection="1">
      <alignment vertical="center"/>
      <protection locked="0"/>
    </xf>
    <xf numFmtId="3" fontId="73" fillId="9" borderId="1" xfId="0" applyNumberFormat="1" applyFont="1" applyFill="1" applyBorder="1" applyAlignment="1" applyProtection="1">
      <alignment vertical="center" shrinkToFit="1"/>
      <protection locked="0"/>
    </xf>
    <xf numFmtId="38" fontId="29" fillId="9" borderId="24" xfId="3" applyFont="1" applyFill="1" applyBorder="1" applyProtection="1">
      <alignment vertical="center"/>
      <protection locked="0"/>
    </xf>
    <xf numFmtId="38" fontId="29" fillId="9" borderId="1" xfId="3" applyFont="1" applyFill="1" applyBorder="1" applyAlignment="1" applyProtection="1">
      <alignment vertical="center" wrapText="1"/>
      <protection locked="0"/>
    </xf>
    <xf numFmtId="38" fontId="11" fillId="4" borderId="1" xfId="3" applyFont="1" applyFill="1" applyBorder="1" applyAlignment="1" applyProtection="1">
      <alignment vertical="center" shrinkToFit="1"/>
      <protection locked="0"/>
    </xf>
    <xf numFmtId="0" fontId="79" fillId="0" borderId="13" xfId="0" applyFont="1" applyBorder="1" applyAlignment="1">
      <alignment horizontal="center" vertical="center" wrapText="1"/>
    </xf>
    <xf numFmtId="0" fontId="79" fillId="0" borderId="13" xfId="0" applyFont="1" applyBorder="1" applyAlignment="1">
      <alignment horizontal="center" vertical="top" wrapText="1"/>
    </xf>
    <xf numFmtId="3" fontId="0" fillId="0" borderId="7" xfId="0" applyNumberFormat="1" applyBorder="1" applyAlignment="1">
      <alignment horizontal="center" vertical="center" wrapText="1"/>
    </xf>
    <xf numFmtId="0" fontId="67" fillId="8" borderId="43" xfId="0" applyFont="1" applyFill="1" applyBorder="1" applyAlignment="1">
      <alignment horizontal="center" vertical="center"/>
    </xf>
    <xf numFmtId="0" fontId="67" fillId="8" borderId="44" xfId="0" applyFont="1" applyFill="1" applyBorder="1" applyAlignment="1">
      <alignment horizontal="center" vertical="center"/>
    </xf>
    <xf numFmtId="0" fontId="67" fillId="8" borderId="46" xfId="0" applyFont="1" applyFill="1" applyBorder="1" applyAlignment="1">
      <alignment horizontal="center" vertical="center"/>
    </xf>
    <xf numFmtId="0" fontId="67" fillId="8" borderId="47" xfId="0" applyFont="1" applyFill="1" applyBorder="1" applyAlignment="1">
      <alignment horizontal="center" vertical="center"/>
    </xf>
    <xf numFmtId="0" fontId="67" fillId="8" borderId="45" xfId="0" applyFont="1" applyFill="1" applyBorder="1" applyAlignment="1">
      <alignment horizontal="center" vertical="center"/>
    </xf>
    <xf numFmtId="0" fontId="67" fillId="8" borderId="50" xfId="0" applyFont="1" applyFill="1" applyBorder="1" applyAlignment="1">
      <alignment horizontal="center" vertical="center"/>
    </xf>
    <xf numFmtId="0" fontId="47" fillId="8" borderId="2" xfId="0" applyFont="1" applyFill="1" applyBorder="1" applyAlignment="1">
      <alignment horizontal="center" vertical="center" wrapText="1"/>
    </xf>
    <xf numFmtId="0" fontId="47" fillId="8" borderId="9" xfId="0" applyFont="1" applyFill="1" applyBorder="1" applyAlignment="1">
      <alignment horizontal="center" vertical="center" wrapText="1"/>
    </xf>
    <xf numFmtId="0" fontId="47" fillId="8" borderId="3" xfId="0" applyFont="1" applyFill="1" applyBorder="1" applyAlignment="1">
      <alignment horizontal="center" vertical="center" wrapText="1"/>
    </xf>
    <xf numFmtId="0" fontId="47" fillId="0" borderId="2"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13"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2" xfId="0" applyFont="1" applyBorder="1" applyAlignment="1">
      <alignment horizontal="left" vertical="center" wrapText="1"/>
    </xf>
    <xf numFmtId="0" fontId="47" fillId="0" borderId="3" xfId="0" applyFont="1" applyBorder="1" applyAlignment="1">
      <alignment horizontal="left" vertical="center" wrapText="1"/>
    </xf>
    <xf numFmtId="0" fontId="47" fillId="0" borderId="9" xfId="0" applyFont="1" applyBorder="1" applyAlignment="1">
      <alignment horizontal="left" vertical="center" wrapText="1"/>
    </xf>
    <xf numFmtId="0" fontId="47" fillId="0" borderId="2" xfId="0" applyFont="1" applyBorder="1" applyAlignment="1">
      <alignment vertical="center" wrapText="1"/>
    </xf>
    <xf numFmtId="0" fontId="47" fillId="0" borderId="3" xfId="0" applyFont="1" applyBorder="1" applyAlignment="1">
      <alignment vertical="center" wrapText="1"/>
    </xf>
    <xf numFmtId="0" fontId="4" fillId="0" borderId="2" xfId="0" applyFont="1" applyBorder="1" applyAlignment="1">
      <alignment horizontal="center" vertical="center"/>
    </xf>
    <xf numFmtId="0" fontId="4" fillId="0" borderId="9" xfId="0" applyFont="1" applyBorder="1" applyAlignment="1">
      <alignment horizontal="center" vertical="center"/>
    </xf>
    <xf numFmtId="0" fontId="4" fillId="0" borderId="3" xfId="0" applyFont="1" applyBorder="1" applyAlignment="1">
      <alignment horizontal="center" vertical="center"/>
    </xf>
    <xf numFmtId="3" fontId="0" fillId="0" borderId="7" xfId="0" applyNumberFormat="1" applyBorder="1" applyAlignment="1">
      <alignment horizontal="center" vertical="center" wrapText="1"/>
    </xf>
    <xf numFmtId="3" fontId="0" fillId="0" borderId="13" xfId="0" applyNumberFormat="1" applyBorder="1" applyAlignment="1">
      <alignment horizontal="center" vertical="center" wrapText="1"/>
    </xf>
    <xf numFmtId="0" fontId="0" fillId="0" borderId="1" xfId="0" applyBorder="1" applyAlignment="1">
      <alignment horizontal="center" vertical="center"/>
    </xf>
    <xf numFmtId="0" fontId="3" fillId="0" borderId="7" xfId="0" applyFont="1" applyBorder="1" applyAlignment="1">
      <alignment horizontal="center" vertical="center" wrapText="1"/>
    </xf>
    <xf numFmtId="0" fontId="3" fillId="0" borderId="6" xfId="0" applyFont="1" applyBorder="1" applyAlignment="1">
      <alignment horizontal="center" vertical="center" wrapText="1"/>
    </xf>
    <xf numFmtId="3" fontId="3" fillId="0" borderId="7" xfId="0" applyNumberFormat="1" applyFont="1" applyBorder="1" applyAlignment="1">
      <alignment horizontal="center" vertical="center"/>
    </xf>
    <xf numFmtId="3" fontId="3" fillId="0" borderId="6" xfId="0" applyNumberFormat="1" applyFont="1" applyBorder="1" applyAlignment="1">
      <alignment horizontal="center" vertical="center"/>
    </xf>
    <xf numFmtId="3" fontId="3" fillId="0" borderId="7" xfId="0" applyNumberFormat="1" applyFont="1" applyBorder="1" applyAlignment="1">
      <alignment horizontal="center" vertical="center" wrapText="1"/>
    </xf>
    <xf numFmtId="3" fontId="3" fillId="0" borderId="6" xfId="0" applyNumberFormat="1" applyFont="1" applyBorder="1" applyAlignment="1">
      <alignment horizontal="center" vertical="center" wrapText="1"/>
    </xf>
    <xf numFmtId="3" fontId="0" fillId="0" borderId="6" xfId="0" applyNumberFormat="1" applyBorder="1" applyAlignment="1">
      <alignment horizontal="center" vertical="center" wrapText="1"/>
    </xf>
    <xf numFmtId="0" fontId="9" fillId="0" borderId="0" xfId="0" applyFont="1" applyAlignment="1">
      <alignment horizontal="left" vertical="center" wrapText="1"/>
    </xf>
    <xf numFmtId="0" fontId="28" fillId="0" borderId="7" xfId="0" applyFont="1" applyBorder="1" applyAlignment="1">
      <alignment horizontal="center" vertical="center" wrapText="1"/>
    </xf>
    <xf numFmtId="0" fontId="28" fillId="0" borderId="6" xfId="0" applyFont="1" applyBorder="1" applyAlignment="1">
      <alignment horizontal="center" vertical="center" wrapText="1"/>
    </xf>
    <xf numFmtId="3" fontId="3" fillId="4" borderId="2" xfId="0" applyNumberFormat="1" applyFont="1" applyFill="1" applyBorder="1" applyProtection="1">
      <alignment vertical="center"/>
      <protection locked="0"/>
    </xf>
    <xf numFmtId="0" fontId="3" fillId="4" borderId="3" xfId="0" applyFont="1" applyFill="1" applyBorder="1" applyProtection="1">
      <alignment vertical="center"/>
      <protection locked="0"/>
    </xf>
    <xf numFmtId="0" fontId="73" fillId="0" borderId="2" xfId="0" applyFont="1" applyBorder="1" applyAlignment="1">
      <alignment horizontal="center" vertical="center" wrapText="1"/>
    </xf>
    <xf numFmtId="0" fontId="73" fillId="0" borderId="3" xfId="0" applyFont="1" applyBorder="1" applyAlignment="1">
      <alignment horizontal="center" vertical="center" wrapText="1"/>
    </xf>
    <xf numFmtId="0" fontId="0" fillId="0" borderId="1" xfId="0" applyBorder="1" applyAlignment="1">
      <alignment horizontal="center" vertical="center" wrapText="1"/>
    </xf>
    <xf numFmtId="0" fontId="17" fillId="0" borderId="2" xfId="0" applyFont="1" applyBorder="1">
      <alignment vertical="center"/>
    </xf>
    <xf numFmtId="0" fontId="17" fillId="0" borderId="9" xfId="0" applyFont="1" applyBorder="1">
      <alignment vertical="center"/>
    </xf>
    <xf numFmtId="3" fontId="9" fillId="4" borderId="2" xfId="0" applyNumberFormat="1" applyFont="1" applyFill="1" applyBorder="1" applyProtection="1">
      <alignment vertical="center"/>
      <protection locked="0"/>
    </xf>
    <xf numFmtId="0" fontId="0" fillId="4" borderId="3" xfId="0" applyFill="1" applyBorder="1" applyProtection="1">
      <alignment vertical="center"/>
      <protection locked="0"/>
    </xf>
    <xf numFmtId="0" fontId="28" fillId="0" borderId="1" xfId="0" applyFont="1" applyBorder="1" applyAlignment="1">
      <alignment horizontal="center" vertical="center" wrapText="1"/>
    </xf>
    <xf numFmtId="0" fontId="29" fillId="0" borderId="1" xfId="0" applyFont="1" applyBorder="1" applyAlignment="1">
      <alignment horizontal="center" vertical="center" wrapText="1"/>
    </xf>
    <xf numFmtId="3" fontId="29" fillId="0" borderId="1" xfId="0" applyNumberFormat="1" applyFont="1" applyBorder="1" applyAlignment="1">
      <alignment horizontal="center" vertical="center"/>
    </xf>
    <xf numFmtId="0" fontId="28" fillId="0" borderId="10"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5" xfId="0" applyFont="1" applyBorder="1" applyAlignment="1">
      <alignment horizontal="center" vertical="center" wrapText="1"/>
    </xf>
    <xf numFmtId="3" fontId="29" fillId="0" borderId="7" xfId="0" applyNumberFormat="1" applyFont="1" applyBorder="1" applyAlignment="1">
      <alignment horizontal="center" vertical="center"/>
    </xf>
    <xf numFmtId="3" fontId="29" fillId="0" borderId="6" xfId="0" applyNumberFormat="1" applyFont="1" applyBorder="1" applyAlignment="1">
      <alignment horizontal="center" vertical="center"/>
    </xf>
    <xf numFmtId="0" fontId="29" fillId="0" borderId="7" xfId="0" applyFont="1" applyBorder="1" applyAlignment="1">
      <alignment horizontal="center" vertical="center" wrapText="1"/>
    </xf>
    <xf numFmtId="0" fontId="29" fillId="0" borderId="6" xfId="0" applyFont="1" applyBorder="1" applyAlignment="1">
      <alignment horizontal="center" vertical="center" wrapText="1"/>
    </xf>
    <xf numFmtId="0" fontId="3" fillId="2" borderId="1" xfId="0" applyFont="1" applyFill="1" applyBorder="1" applyAlignment="1">
      <alignment horizontal="center" vertical="center" wrapText="1"/>
    </xf>
    <xf numFmtId="0" fontId="30" fillId="0" borderId="1" xfId="0" applyFont="1" applyBorder="1" applyAlignment="1">
      <alignment horizontal="center" vertical="center" wrapText="1"/>
    </xf>
    <xf numFmtId="0" fontId="30" fillId="0" borderId="1" xfId="0" applyFont="1" applyBorder="1" applyAlignment="1">
      <alignment horizontal="center" vertical="center"/>
    </xf>
    <xf numFmtId="0" fontId="44"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9" fillId="0" borderId="7" xfId="0" applyFont="1" applyBorder="1" applyAlignment="1">
      <alignment horizontal="center" vertical="center"/>
    </xf>
    <xf numFmtId="0" fontId="9" fillId="0" borderId="6" xfId="0" applyFont="1" applyBorder="1" applyAlignment="1">
      <alignment horizontal="center" vertical="center"/>
    </xf>
    <xf numFmtId="3" fontId="9" fillId="4" borderId="1" xfId="0" applyNumberFormat="1" applyFont="1" applyFill="1" applyBorder="1">
      <alignment vertical="center"/>
    </xf>
    <xf numFmtId="0" fontId="0" fillId="4" borderId="1" xfId="0" applyFill="1" applyBorder="1">
      <alignment vertical="center"/>
    </xf>
    <xf numFmtId="3" fontId="9" fillId="4" borderId="2" xfId="0" applyNumberFormat="1" applyFont="1" applyFill="1" applyBorder="1">
      <alignment vertical="center"/>
    </xf>
    <xf numFmtId="3" fontId="9" fillId="4" borderId="3" xfId="0" applyNumberFormat="1" applyFont="1" applyFill="1" applyBorder="1">
      <alignment vertical="center"/>
    </xf>
    <xf numFmtId="0" fontId="17" fillId="0" borderId="3" xfId="0" applyFont="1" applyBorder="1">
      <alignment vertical="center"/>
    </xf>
    <xf numFmtId="0" fontId="30" fillId="0" borderId="7" xfId="0" applyFont="1" applyBorder="1" applyAlignment="1">
      <alignment horizontal="center" vertical="center" wrapText="1"/>
    </xf>
    <xf numFmtId="0" fontId="30" fillId="0" borderId="6" xfId="0" applyFont="1" applyBorder="1" applyAlignment="1">
      <alignment horizontal="center" vertical="center" wrapText="1"/>
    </xf>
    <xf numFmtId="0" fontId="62" fillId="0" borderId="2" xfId="0" applyFont="1" applyBorder="1" applyAlignment="1" applyProtection="1">
      <alignment horizontal="left" vertical="center" wrapText="1"/>
      <protection locked="0"/>
    </xf>
    <xf numFmtId="0" fontId="62" fillId="0" borderId="9" xfId="0" applyFont="1" applyBorder="1" applyAlignment="1" applyProtection="1">
      <alignment horizontal="left" vertical="center" wrapText="1"/>
      <protection locked="0"/>
    </xf>
    <xf numFmtId="0" fontId="62" fillId="0" borderId="3" xfId="0" applyFont="1" applyBorder="1" applyAlignment="1" applyProtection="1">
      <alignment horizontal="left" vertical="center" wrapText="1"/>
      <protection locked="0"/>
    </xf>
    <xf numFmtId="0" fontId="56" fillId="0" borderId="2" xfId="0" applyFont="1" applyBorder="1" applyAlignment="1">
      <alignment horizontal="center" vertical="center" wrapText="1"/>
    </xf>
    <xf numFmtId="0" fontId="56" fillId="0" borderId="3" xfId="0" applyFont="1" applyBorder="1" applyAlignment="1">
      <alignment horizontal="center" vertical="center" wrapText="1"/>
    </xf>
    <xf numFmtId="56" fontId="56" fillId="0" borderId="1" xfId="0" quotePrefix="1" applyNumberFormat="1" applyFont="1" applyBorder="1" applyAlignment="1">
      <alignment horizontal="center" vertical="center"/>
    </xf>
    <xf numFmtId="0" fontId="56" fillId="0" borderId="1" xfId="0" applyFont="1" applyBorder="1" applyAlignment="1">
      <alignment horizontal="center" vertical="center"/>
    </xf>
    <xf numFmtId="0" fontId="56" fillId="0" borderId="1" xfId="0" quotePrefix="1" applyFont="1" applyBorder="1" applyAlignment="1">
      <alignment horizontal="center" vertical="center"/>
    </xf>
    <xf numFmtId="3" fontId="57" fillId="8" borderId="7" xfId="0" applyNumberFormat="1" applyFont="1" applyFill="1" applyBorder="1" applyAlignment="1">
      <alignment horizontal="center" vertical="center"/>
    </xf>
    <xf numFmtId="3" fontId="57" fillId="8" borderId="6" xfId="0" applyNumberFormat="1" applyFont="1" applyFill="1" applyBorder="1" applyAlignment="1">
      <alignment horizontal="center" vertical="center"/>
    </xf>
    <xf numFmtId="3" fontId="59" fillId="8" borderId="7" xfId="0" applyNumberFormat="1" applyFont="1" applyFill="1" applyBorder="1" applyAlignment="1">
      <alignment horizontal="center" vertical="center"/>
    </xf>
    <xf numFmtId="3" fontId="59" fillId="8" borderId="6" xfId="0" applyNumberFormat="1" applyFont="1" applyFill="1" applyBorder="1" applyAlignment="1">
      <alignment horizontal="center" vertical="center"/>
    </xf>
    <xf numFmtId="3" fontId="57" fillId="8" borderId="7" xfId="0" applyNumberFormat="1" applyFont="1" applyFill="1" applyBorder="1" applyAlignment="1">
      <alignment horizontal="center" vertical="center" wrapText="1"/>
    </xf>
    <xf numFmtId="3" fontId="57" fillId="8" borderId="6" xfId="0" applyNumberFormat="1" applyFont="1" applyFill="1" applyBorder="1" applyAlignment="1">
      <alignment horizontal="center" vertical="center" wrapText="1"/>
    </xf>
    <xf numFmtId="3" fontId="57" fillId="8" borderId="2" xfId="0" applyNumberFormat="1" applyFont="1" applyFill="1" applyBorder="1" applyAlignment="1">
      <alignment horizontal="center" vertical="center"/>
    </xf>
    <xf numFmtId="3" fontId="57" fillId="8" borderId="9" xfId="0" applyNumberFormat="1" applyFont="1" applyFill="1" applyBorder="1" applyAlignment="1">
      <alignment horizontal="center" vertical="center"/>
    </xf>
    <xf numFmtId="3" fontId="57" fillId="8" borderId="3" xfId="0" applyNumberFormat="1" applyFont="1" applyFill="1" applyBorder="1" applyAlignment="1">
      <alignment horizontal="center" vertical="center"/>
    </xf>
    <xf numFmtId="0" fontId="17" fillId="0" borderId="2" xfId="0" applyFont="1" applyBorder="1" applyAlignment="1">
      <alignment horizontal="left" vertical="center"/>
    </xf>
    <xf numFmtId="0" fontId="17" fillId="0" borderId="9" xfId="0" applyFont="1" applyBorder="1" applyAlignment="1">
      <alignment horizontal="left" vertical="center"/>
    </xf>
    <xf numFmtId="0" fontId="17" fillId="0" borderId="3" xfId="0" applyFont="1" applyBorder="1" applyAlignment="1">
      <alignment horizontal="left" vertical="center"/>
    </xf>
    <xf numFmtId="176" fontId="21" fillId="0" borderId="8" xfId="0" applyNumberFormat="1" applyFont="1" applyBorder="1" applyAlignment="1" applyProtection="1">
      <alignment horizontal="right" vertical="center"/>
      <protection locked="0"/>
    </xf>
    <xf numFmtId="0" fontId="28" fillId="0" borderId="0" xfId="0" applyFont="1" applyAlignment="1">
      <alignment horizontal="center" vertical="center" wrapText="1"/>
    </xf>
    <xf numFmtId="0" fontId="29" fillId="0" borderId="0" xfId="0" applyFont="1" applyAlignment="1">
      <alignment horizontal="center" vertical="center" wrapText="1"/>
    </xf>
    <xf numFmtId="9" fontId="21" fillId="0" borderId="10" xfId="0" applyNumberFormat="1" applyFont="1" applyBorder="1" applyAlignment="1" applyProtection="1">
      <alignment horizontal="right" vertical="center"/>
      <protection locked="0"/>
    </xf>
    <xf numFmtId="9" fontId="21" fillId="0" borderId="12" xfId="0" applyNumberFormat="1" applyFont="1" applyBorder="1" applyAlignment="1" applyProtection="1">
      <alignment horizontal="right" vertical="center"/>
      <protection locked="0"/>
    </xf>
    <xf numFmtId="3" fontId="21" fillId="0" borderId="6" xfId="0" applyNumberFormat="1" applyFont="1" applyBorder="1" applyAlignment="1" applyProtection="1">
      <alignment horizontal="right" vertical="center"/>
      <protection locked="0"/>
    </xf>
    <xf numFmtId="0" fontId="36" fillId="0" borderId="0" xfId="0" applyFont="1" applyAlignment="1">
      <alignment horizontal="left" vertical="top" wrapText="1"/>
    </xf>
    <xf numFmtId="0" fontId="36" fillId="0" borderId="0" xfId="0" applyFont="1" applyAlignment="1">
      <alignment horizontal="left" vertical="top"/>
    </xf>
    <xf numFmtId="0" fontId="35" fillId="0" borderId="11" xfId="0" applyFont="1" applyBorder="1" applyAlignment="1">
      <alignment horizontal="left"/>
    </xf>
    <xf numFmtId="0" fontId="36" fillId="0" borderId="11" xfId="0" applyFont="1" applyBorder="1" applyAlignment="1">
      <alignment horizontal="left"/>
    </xf>
    <xf numFmtId="0" fontId="21" fillId="0" borderId="0" xfId="0" applyFont="1" applyAlignment="1">
      <alignment horizontal="left" vertical="center" wrapText="1"/>
    </xf>
    <xf numFmtId="3" fontId="21" fillId="0" borderId="8" xfId="0" applyNumberFormat="1" applyFont="1" applyBorder="1" applyAlignment="1" applyProtection="1">
      <alignment horizontal="right" vertical="center"/>
      <protection locked="0"/>
    </xf>
    <xf numFmtId="0" fontId="21" fillId="0" borderId="11" xfId="0" applyFont="1" applyBorder="1" applyAlignment="1">
      <alignment horizontal="left" vertical="center" wrapText="1"/>
    </xf>
    <xf numFmtId="9" fontId="21" fillId="0" borderId="10" xfId="0" applyNumberFormat="1" applyFont="1" applyBorder="1" applyAlignment="1">
      <alignment horizontal="right" vertical="center"/>
    </xf>
    <xf numFmtId="9" fontId="21" fillId="0" borderId="12" xfId="0" applyNumberFormat="1" applyFont="1" applyBorder="1" applyAlignment="1">
      <alignment horizontal="right" vertical="center"/>
    </xf>
    <xf numFmtId="3" fontId="21" fillId="0" borderId="6" xfId="0" applyNumberFormat="1" applyFont="1" applyBorder="1" applyAlignment="1">
      <alignment horizontal="right" vertical="center"/>
    </xf>
    <xf numFmtId="0" fontId="21" fillId="0" borderId="16" xfId="0" applyFont="1" applyBorder="1" applyAlignment="1">
      <alignment horizontal="left" vertical="center" wrapText="1"/>
    </xf>
    <xf numFmtId="176" fontId="21" fillId="0" borderId="8" xfId="0" applyNumberFormat="1" applyFont="1" applyBorder="1" applyAlignment="1">
      <alignment horizontal="right" vertical="center"/>
    </xf>
    <xf numFmtId="0" fontId="21" fillId="0" borderId="0" xfId="0" applyFont="1" applyAlignment="1">
      <alignment horizontal="center" vertical="center"/>
    </xf>
    <xf numFmtId="3" fontId="21" fillId="0" borderId="8" xfId="0" applyNumberFormat="1" applyFont="1" applyBorder="1" applyAlignment="1">
      <alignment horizontal="right" vertical="center"/>
    </xf>
    <xf numFmtId="0" fontId="9" fillId="0" borderId="1" xfId="0" applyFont="1" applyBorder="1" applyAlignment="1" applyProtection="1">
      <alignment vertical="center" shrinkToFit="1"/>
      <protection locked="0"/>
    </xf>
    <xf numFmtId="0" fontId="9" fillId="0" borderId="2" xfId="0" applyFont="1" applyBorder="1" applyAlignment="1" applyProtection="1">
      <alignment horizontal="center" vertical="center"/>
      <protection locked="0"/>
    </xf>
    <xf numFmtId="0" fontId="9" fillId="0" borderId="9" xfId="0"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0" fontId="9" fillId="0" borderId="2" xfId="0" applyFont="1" applyBorder="1" applyProtection="1">
      <alignment vertical="center"/>
      <protection locked="0"/>
    </xf>
    <xf numFmtId="0" fontId="9" fillId="0" borderId="9" xfId="0" applyFont="1" applyBorder="1" applyProtection="1">
      <alignment vertical="center"/>
      <protection locked="0"/>
    </xf>
    <xf numFmtId="0" fontId="9" fillId="0" borderId="3" xfId="0" applyFont="1" applyBorder="1" applyProtection="1">
      <alignment vertical="center"/>
      <protection locked="0"/>
    </xf>
    <xf numFmtId="0" fontId="9" fillId="0" borderId="7" xfId="0" applyFont="1" applyBorder="1" applyAlignment="1" applyProtection="1">
      <alignment horizontal="center" vertical="center" wrapText="1"/>
      <protection locked="0"/>
    </xf>
    <xf numFmtId="0" fontId="9" fillId="0" borderId="13" xfId="0" applyFont="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181" fontId="9" fillId="3" borderId="2" xfId="0" applyNumberFormat="1" applyFont="1" applyFill="1" applyBorder="1" applyAlignment="1" applyProtection="1">
      <alignment horizontal="center" vertical="center" shrinkToFit="1"/>
      <protection locked="0"/>
    </xf>
    <xf numFmtId="181" fontId="9" fillId="3" borderId="3" xfId="0" applyNumberFormat="1" applyFont="1" applyFill="1" applyBorder="1" applyAlignment="1" applyProtection="1">
      <alignment horizontal="center" vertical="center" shrinkToFit="1"/>
      <protection locked="0"/>
    </xf>
    <xf numFmtId="0" fontId="9" fillId="0" borderId="2" xfId="0" applyFont="1" applyBorder="1" applyAlignment="1">
      <alignment horizontal="center" vertical="center" wrapText="1"/>
    </xf>
    <xf numFmtId="0" fontId="9" fillId="0" borderId="9" xfId="0" applyFont="1" applyBorder="1" applyAlignment="1">
      <alignment horizontal="center" vertical="center" wrapText="1"/>
    </xf>
    <xf numFmtId="0" fontId="9" fillId="0" borderId="3" xfId="0" applyFont="1" applyBorder="1" applyAlignment="1">
      <alignment horizontal="center" vertical="center" wrapText="1"/>
    </xf>
    <xf numFmtId="0" fontId="9" fillId="0" borderId="7" xfId="0" applyFont="1" applyBorder="1" applyAlignment="1">
      <alignment horizontal="center" vertical="center" wrapText="1"/>
    </xf>
    <xf numFmtId="0" fontId="9" fillId="0" borderId="6" xfId="0" applyFont="1" applyBorder="1" applyAlignment="1">
      <alignment horizontal="center" vertical="center" wrapText="1"/>
    </xf>
    <xf numFmtId="0" fontId="41" fillId="0" borderId="4" xfId="0" applyFont="1" applyBorder="1" applyAlignment="1" applyProtection="1">
      <alignment horizontal="center" vertical="center" wrapText="1"/>
      <protection locked="0"/>
    </xf>
    <xf numFmtId="0" fontId="41" fillId="0" borderId="8" xfId="0" applyFont="1" applyBorder="1" applyAlignment="1" applyProtection="1">
      <alignment horizontal="center" vertical="center" wrapText="1"/>
      <protection locked="0"/>
    </xf>
    <xf numFmtId="0" fontId="41" fillId="0" borderId="5" xfId="0" applyFont="1" applyBorder="1" applyAlignment="1" applyProtection="1">
      <alignment horizontal="center" vertical="center" wrapText="1"/>
      <protection locked="0"/>
    </xf>
    <xf numFmtId="0" fontId="9" fillId="0" borderId="1" xfId="0" applyFont="1" applyBorder="1" applyAlignment="1">
      <alignment horizontal="center" vertical="center"/>
    </xf>
    <xf numFmtId="0" fontId="9" fillId="0" borderId="12" xfId="0" applyFont="1" applyBorder="1" applyAlignment="1">
      <alignment horizontal="center" vertical="center"/>
    </xf>
    <xf numFmtId="0" fontId="9" fillId="0" borderId="5" xfId="0" applyFont="1" applyBorder="1" applyAlignment="1">
      <alignment horizontal="center" vertical="center"/>
    </xf>
    <xf numFmtId="0" fontId="9" fillId="0" borderId="1" xfId="0" applyFont="1" applyBorder="1" applyAlignment="1">
      <alignment horizontal="center" vertical="center" wrapText="1"/>
    </xf>
    <xf numFmtId="0" fontId="9" fillId="0" borderId="11" xfId="0" applyFont="1" applyBorder="1" applyAlignment="1">
      <alignment horizontal="center" vertical="center" wrapText="1"/>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1" xfId="0" applyBorder="1" applyAlignment="1" applyProtection="1">
      <alignment vertical="center" wrapText="1"/>
      <protection locked="0"/>
    </xf>
    <xf numFmtId="182" fontId="0" fillId="0" borderId="1" xfId="0" applyNumberFormat="1" applyBorder="1" applyAlignment="1" applyProtection="1">
      <alignment vertical="center" wrapText="1"/>
      <protection locked="0"/>
    </xf>
    <xf numFmtId="0" fontId="0" fillId="0" borderId="1" xfId="0" applyBorder="1" applyAlignment="1" applyProtection="1">
      <alignment horizontal="right" vertical="center" wrapText="1"/>
      <protection locked="0"/>
    </xf>
    <xf numFmtId="0" fontId="0" fillId="0" borderId="2" xfId="0" applyBorder="1" applyAlignment="1" applyProtection="1">
      <alignment vertical="center" wrapText="1"/>
      <protection locked="0"/>
    </xf>
    <xf numFmtId="0" fontId="0" fillId="0" borderId="9" xfId="0" applyBorder="1" applyAlignment="1" applyProtection="1">
      <alignment vertical="center" wrapText="1"/>
      <protection locked="0"/>
    </xf>
    <xf numFmtId="0" fontId="0" fillId="0" borderId="3" xfId="0" applyBorder="1" applyAlignment="1" applyProtection="1">
      <alignment vertical="center" wrapText="1"/>
      <protection locked="0"/>
    </xf>
    <xf numFmtId="182" fontId="0" fillId="0" borderId="2" xfId="0" applyNumberFormat="1" applyBorder="1" applyAlignment="1" applyProtection="1">
      <alignment vertical="center" wrapText="1"/>
      <protection locked="0"/>
    </xf>
    <xf numFmtId="182" fontId="0" fillId="0" borderId="9" xfId="0" applyNumberFormat="1" applyBorder="1" applyAlignment="1" applyProtection="1">
      <alignment vertical="center" wrapText="1"/>
      <protection locked="0"/>
    </xf>
    <xf numFmtId="182" fontId="0" fillId="0" borderId="3" xfId="0" applyNumberFormat="1" applyBorder="1" applyAlignment="1" applyProtection="1">
      <alignment vertical="center" wrapText="1"/>
      <protection locked="0"/>
    </xf>
    <xf numFmtId="0" fontId="0" fillId="0" borderId="2" xfId="0" applyBorder="1" applyAlignment="1" applyProtection="1">
      <alignment horizontal="right" vertical="center" wrapText="1"/>
      <protection locked="0"/>
    </xf>
    <xf numFmtId="0" fontId="0" fillId="0" borderId="9" xfId="0" applyBorder="1" applyAlignment="1" applyProtection="1">
      <alignment horizontal="right" vertical="center" wrapText="1"/>
      <protection locked="0"/>
    </xf>
    <xf numFmtId="0" fontId="0" fillId="0" borderId="3" xfId="0" applyBorder="1" applyAlignment="1" applyProtection="1">
      <alignment horizontal="right" vertical="center" wrapText="1"/>
      <protection locked="0"/>
    </xf>
    <xf numFmtId="0" fontId="17" fillId="0" borderId="1" xfId="0" applyFont="1" applyBorder="1" applyAlignment="1">
      <alignment horizontal="center" vertical="center"/>
    </xf>
    <xf numFmtId="0" fontId="40" fillId="0" borderId="2" xfId="0" applyFont="1" applyBorder="1" applyAlignment="1">
      <alignment horizontal="center" vertical="center" wrapText="1"/>
    </xf>
    <xf numFmtId="0" fontId="40" fillId="0" borderId="3" xfId="0" applyFont="1" applyBorder="1" applyAlignment="1">
      <alignment horizontal="center" vertical="center" wrapText="1"/>
    </xf>
    <xf numFmtId="0" fontId="17" fillId="0" borderId="1" xfId="0" applyFont="1" applyBorder="1" applyAlignment="1">
      <alignment horizontal="center" vertical="center" wrapText="1"/>
    </xf>
    <xf numFmtId="0" fontId="9" fillId="0" borderId="11" xfId="0" applyFont="1" applyBorder="1" applyAlignment="1">
      <alignment horizontal="left" vertical="center"/>
    </xf>
    <xf numFmtId="176" fontId="42" fillId="0" borderId="1" xfId="0" applyNumberFormat="1" applyFont="1" applyBorder="1" applyAlignment="1" applyProtection="1">
      <alignment horizontal="right" vertical="center"/>
      <protection locked="0"/>
    </xf>
    <xf numFmtId="176" fontId="42" fillId="0" borderId="1" xfId="0" applyNumberFormat="1" applyFont="1" applyBorder="1" applyAlignment="1" applyProtection="1">
      <alignment horizontal="right" vertical="center"/>
      <protection hidden="1"/>
    </xf>
    <xf numFmtId="184" fontId="0" fillId="0" borderId="1" xfId="0" applyNumberFormat="1" applyBorder="1" applyAlignment="1" applyProtection="1">
      <alignment vertical="center" wrapText="1"/>
      <protection locked="0"/>
    </xf>
    <xf numFmtId="0" fontId="0" fillId="0" borderId="0" xfId="0" applyAlignment="1">
      <alignment horizontal="left" vertical="center" wrapText="1"/>
    </xf>
    <xf numFmtId="0" fontId="0" fillId="0" borderId="2" xfId="0" applyBorder="1" applyAlignment="1">
      <alignment horizontal="left" vertical="center"/>
    </xf>
    <xf numFmtId="0" fontId="0" fillId="0" borderId="9" xfId="0" applyBorder="1" applyAlignment="1">
      <alignment horizontal="left" vertical="center"/>
    </xf>
    <xf numFmtId="0" fontId="0" fillId="0" borderId="1" xfId="0" applyBorder="1" applyAlignment="1" applyProtection="1">
      <alignment horizontal="left" vertical="center" wrapText="1"/>
      <protection locked="0"/>
    </xf>
  </cellXfs>
  <cellStyles count="10">
    <cellStyle name="桁区切り" xfId="3" builtinId="6"/>
    <cellStyle name="標準" xfId="0" builtinId="0"/>
    <cellStyle name="標準 2" xfId="1" xr:uid="{96F25A72-F47E-4E85-8C3B-65F6C9D882A8}"/>
    <cellStyle name="標準 2 2" xfId="4" xr:uid="{3D5C525E-B010-49D2-9129-96C283BE7106}"/>
    <cellStyle name="標準 2 3" xfId="5" xr:uid="{57B32D2C-ACB7-4B65-895A-8631EB87B5BA}"/>
    <cellStyle name="標準 2 4" xfId="8" xr:uid="{8E8A78D4-703F-4696-B1D8-6D99732A1C22}"/>
    <cellStyle name="標準 3" xfId="2" xr:uid="{2E2DEECB-4E2B-4D2D-8F7F-AEE515DB4ADD}"/>
    <cellStyle name="標準 4" xfId="6" xr:uid="{CA954E5A-8450-4C1D-8C75-15DC384E3C9A}"/>
    <cellStyle name="標準 7" xfId="7" xr:uid="{26F7F622-3E1A-40B8-BFAF-2F3F062F6301}"/>
    <cellStyle name="標準 9" xfId="9" xr:uid="{A78AA44E-E09B-48EC-A15E-CC2499432072}"/>
  </cellStyles>
  <dxfs count="1820">
    <dxf>
      <fill>
        <patternFill>
          <bgColor theme="0"/>
        </patternFill>
      </fill>
    </dxf>
    <dxf>
      <fill>
        <patternFill>
          <bgColor theme="0"/>
        </patternFill>
      </fill>
    </dxf>
    <dxf>
      <fill>
        <patternFill>
          <bgColor theme="7"/>
        </patternFill>
      </fill>
    </dxf>
    <dxf>
      <fill>
        <patternFill>
          <bgColor theme="7"/>
        </patternFill>
      </fill>
    </dxf>
    <dxf>
      <fill>
        <patternFill>
          <bgColor theme="0"/>
        </patternFill>
      </fill>
    </dxf>
    <dxf>
      <fill>
        <patternFill>
          <bgColor theme="7"/>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8" tint="0.79998168889431442"/>
        </patternFill>
      </fill>
    </dxf>
    <dxf>
      <border>
        <left/>
        <top style="thin">
          <color auto="1"/>
        </top>
        <bottom style="thin">
          <color auto="1"/>
        </bottom>
        <vertical/>
        <horizontal/>
      </border>
    </dxf>
    <dxf>
      <fill>
        <patternFill>
          <bgColor theme="5" tint="0.79998168889431442"/>
        </patternFill>
      </fill>
    </dxf>
    <dxf>
      <fill>
        <patternFill>
          <bgColor rgb="FFFF0000"/>
        </patternFill>
      </fill>
    </dxf>
    <dxf>
      <font>
        <color rgb="FFFF0000"/>
      </font>
    </dxf>
    <dxf>
      <border>
        <vertical/>
        <horizontal/>
      </border>
    </dxf>
    <dxf>
      <border>
        <bottom style="thin">
          <color auto="1"/>
        </bottom>
        <vertical/>
        <horizontal/>
      </border>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patternFill>
      </fill>
    </dxf>
    <dxf>
      <fill>
        <patternFill>
          <bgColor theme="0"/>
        </patternFill>
      </fill>
    </dxf>
    <dxf>
      <fill>
        <patternFill>
          <bgColor theme="7"/>
        </patternFill>
      </fill>
    </dxf>
    <dxf>
      <fill>
        <patternFill>
          <bgColor theme="0"/>
        </patternFill>
      </fill>
    </dxf>
    <dxf>
      <fill>
        <patternFill>
          <bgColor theme="0"/>
        </patternFill>
      </fill>
    </dxf>
    <dxf>
      <fill>
        <patternFill>
          <bgColor rgb="FFFF0000"/>
        </patternFill>
      </fill>
    </dxf>
    <dxf>
      <fill>
        <patternFill>
          <bgColor theme="5" tint="0.79998168889431442"/>
        </patternFill>
      </fill>
    </dxf>
    <dxf>
      <fill>
        <patternFill>
          <bgColor theme="0"/>
        </patternFill>
      </fill>
    </dxf>
    <dxf>
      <border>
        <bottom style="thin">
          <color auto="1"/>
        </bottom>
        <vertical/>
        <horizontal/>
      </border>
    </dxf>
    <dxf>
      <fill>
        <patternFill>
          <bgColor theme="0"/>
        </patternFill>
      </fill>
    </dxf>
    <dxf>
      <fill>
        <patternFill>
          <bgColor theme="7"/>
        </patternFill>
      </fill>
    </dxf>
    <dxf>
      <fill>
        <patternFill patternType="none">
          <bgColor auto="1"/>
        </patternFill>
      </fill>
      <border>
        <top style="thin">
          <color auto="1"/>
        </top>
        <vertical/>
        <horizontal/>
      </border>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border>
        <left/>
        <top style="thin">
          <color auto="1"/>
        </top>
        <bottom style="thin">
          <color auto="1"/>
        </bottom>
        <vertical/>
        <horizontal/>
      </border>
    </dxf>
    <dxf>
      <fill>
        <patternFill>
          <bgColor rgb="FFFF0000"/>
        </patternFill>
      </fill>
    </dxf>
    <dxf>
      <font>
        <color rgb="FFFF0000"/>
      </font>
    </dxf>
    <dxf>
      <fill>
        <patternFill>
          <bgColor theme="0"/>
        </patternFill>
      </fill>
      <border>
        <right/>
        <top style="thin">
          <color auto="1"/>
        </top>
        <vertical/>
        <horizontal/>
      </border>
    </dxf>
    <dxf>
      <border>
        <top/>
        <vertical/>
        <horizontal/>
      </border>
    </dxf>
    <dxf>
      <border>
        <bottom style="thin">
          <color auto="1"/>
        </bottom>
        <vertical/>
        <horizontal/>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patternFill>
      </fill>
    </dxf>
    <dxf>
      <fill>
        <patternFill>
          <bgColor theme="0"/>
        </patternFill>
      </fill>
    </dxf>
    <dxf>
      <fill>
        <patternFill>
          <bgColor theme="7"/>
        </patternFill>
      </fill>
    </dxf>
    <dxf>
      <fill>
        <patternFill>
          <bgColor theme="0"/>
        </patternFill>
      </fill>
    </dxf>
    <dxf>
      <fill>
        <patternFill>
          <bgColor theme="7"/>
        </patternFill>
      </fill>
    </dxf>
    <dxf>
      <fill>
        <patternFill>
          <bgColor theme="0"/>
        </patternFill>
      </fill>
    </dxf>
    <dxf>
      <fill>
        <patternFill>
          <bgColor theme="8" tint="0.79998168889431442"/>
        </patternFill>
      </fill>
    </dxf>
    <dxf>
      <border>
        <left/>
        <top style="thin">
          <color auto="1"/>
        </top>
        <bottom style="thin">
          <color auto="1"/>
        </bottom>
        <vertical/>
        <horizontal/>
      </border>
    </dxf>
    <dxf>
      <fill>
        <patternFill>
          <bgColor theme="5" tint="0.79998168889431442"/>
        </patternFill>
      </fill>
    </dxf>
    <dxf>
      <fill>
        <patternFill>
          <bgColor rgb="FFFF0000"/>
        </patternFill>
      </fill>
    </dxf>
    <dxf>
      <border>
        <bottom style="thin">
          <color auto="1"/>
        </bottom>
        <vertical/>
        <horizontal/>
      </border>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ill>
        <patternFill>
          <bgColor theme="0"/>
        </patternFill>
      </fill>
      <border>
        <vertical/>
        <horizontal/>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top style="thin">
          <color auto="1"/>
        </top>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5" tint="0.79998168889431442"/>
        </patternFill>
      </fill>
    </dxf>
    <dxf>
      <fill>
        <patternFill>
          <bgColor theme="0"/>
        </patternFill>
      </fill>
    </dxf>
    <dxf>
      <fill>
        <patternFill>
          <bgColor theme="5" tint="0.79998168889431442"/>
        </patternFill>
      </fill>
    </dxf>
    <dxf>
      <fill>
        <patternFill>
          <bgColor theme="7"/>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ont>
        <color theme="0" tint="-0.499984740745262"/>
      </font>
      <fill>
        <patternFill>
          <bgColor theme="5" tint="0.79998168889431442"/>
        </patternFill>
      </fill>
      <border>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patternFill>
      </fill>
    </dxf>
    <dxf>
      <fill>
        <patternFill>
          <bgColor theme="0"/>
        </patternFill>
      </fill>
    </dxf>
    <dxf>
      <fill>
        <patternFill>
          <bgColor theme="0"/>
        </patternFill>
      </fill>
    </dxf>
    <dxf>
      <fill>
        <patternFill>
          <bgColor rgb="FFFF0000"/>
        </patternFill>
      </fill>
    </dxf>
    <dxf>
      <fill>
        <patternFill>
          <bgColor theme="5" tint="0.79998168889431442"/>
        </patternFill>
      </fill>
    </dxf>
    <dxf>
      <fill>
        <patternFill>
          <bgColor theme="0"/>
        </patternFill>
      </fill>
    </dxf>
    <dxf>
      <fill>
        <patternFill>
          <bgColor theme="8" tint="0.79998168889431442"/>
        </patternFill>
      </fill>
    </dxf>
    <dxf>
      <fill>
        <patternFill>
          <bgColor theme="7"/>
        </patternFill>
      </fill>
    </dxf>
    <dxf>
      <fill>
        <patternFill>
          <bgColor theme="5" tint="0.79998168889431442"/>
        </patternFill>
      </fill>
    </dxf>
    <dxf>
      <fill>
        <patternFill>
          <bgColor theme="8" tint="0.79998168889431442"/>
        </patternFill>
      </fill>
    </dxf>
    <dxf>
      <fill>
        <patternFill>
          <bgColor theme="7"/>
        </patternFill>
      </fill>
    </dxf>
    <dxf>
      <fill>
        <patternFill>
          <bgColor theme="5" tint="0.79998168889431442"/>
        </patternFill>
      </fill>
    </dxf>
    <dxf>
      <fill>
        <patternFill>
          <bgColor theme="5" tint="0.79998168889431442"/>
        </patternFill>
      </fill>
    </dxf>
    <dxf>
      <fill>
        <patternFill>
          <bgColor theme="0"/>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7"/>
        </patternFill>
      </fill>
    </dxf>
    <dxf>
      <fill>
        <patternFill>
          <bgColor theme="7"/>
        </patternFill>
      </fill>
    </dxf>
    <dxf>
      <fill>
        <patternFill>
          <bgColor theme="7"/>
        </patternFill>
      </fill>
    </dxf>
    <dxf>
      <fill>
        <patternFill>
          <bgColor theme="0"/>
        </patternFill>
      </fill>
    </dxf>
    <dxf>
      <fill>
        <patternFill>
          <bgColor theme="8" tint="0.79998168889431442"/>
        </patternFill>
      </fill>
    </dxf>
    <dxf>
      <fill>
        <patternFill>
          <bgColor theme="7"/>
        </patternFill>
      </fill>
    </dxf>
    <dxf>
      <fill>
        <patternFill>
          <bgColor theme="8" tint="0.79998168889431442"/>
        </patternFill>
      </fill>
    </dxf>
    <dxf>
      <fill>
        <patternFill>
          <bgColor theme="7"/>
        </patternFill>
      </fill>
    </dxf>
    <dxf>
      <fill>
        <patternFill>
          <bgColor theme="0"/>
        </patternFill>
      </fill>
    </dxf>
    <dxf>
      <fill>
        <patternFill>
          <bgColor theme="7"/>
        </patternFill>
      </fill>
    </dxf>
    <dxf>
      <fill>
        <patternFill>
          <bgColor theme="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border>
        <top style="thin">
          <color auto="1"/>
        </top>
        <vertical/>
        <horizontal/>
      </border>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border>
        <top style="thin">
          <color auto="1"/>
        </top>
        <vertical/>
        <horizontal/>
      </border>
    </dxf>
    <dxf>
      <fill>
        <patternFill>
          <bgColor theme="0"/>
        </patternFill>
      </fill>
    </dxf>
    <dxf>
      <fill>
        <patternFill>
          <bgColor rgb="FFFF0000"/>
        </patternFill>
      </fill>
    </dxf>
    <dxf>
      <fill>
        <patternFill>
          <bgColor theme="0"/>
        </patternFill>
      </fill>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rgb="FFFF000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0"/>
        </patternFill>
      </fill>
    </dxf>
    <dxf>
      <fill>
        <patternFill>
          <bgColor rgb="FFFF0000"/>
        </patternFill>
      </fill>
    </dxf>
    <dxf>
      <fill>
        <patternFill>
          <bgColor rgb="FFFF0000"/>
        </patternFill>
      </fill>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0"/>
        </patternFill>
      </fill>
    </dxf>
    <dxf>
      <fill>
        <patternFill>
          <bgColor theme="0"/>
        </patternFill>
      </fill>
      <border>
        <top style="thin">
          <color auto="1"/>
        </top>
        <vertical/>
        <horizontal/>
      </border>
    </dxf>
    <dxf>
      <fill>
        <patternFill>
          <bgColor theme="0"/>
        </patternFill>
      </fill>
      <border>
        <top style="thin">
          <color auto="1"/>
        </top>
        <vertical/>
        <horizontal/>
      </border>
    </dxf>
    <dxf>
      <fill>
        <patternFill>
          <bgColor theme="0"/>
        </patternFill>
      </fill>
    </dxf>
    <dxf>
      <border>
        <bottom style="thin">
          <color auto="1"/>
        </bottom>
        <vertical/>
        <horizontal/>
      </border>
    </dxf>
    <dxf>
      <border>
        <bottom style="thin">
          <color auto="1"/>
        </bottom>
        <vertical/>
        <horizontal/>
      </border>
    </dxf>
    <dxf>
      <fill>
        <patternFill>
          <bgColor rgb="FFFF0000"/>
        </patternFill>
      </fill>
    </dxf>
    <dxf>
      <fill>
        <patternFill>
          <bgColor theme="9" tint="0.59996337778862885"/>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9" tint="0.59996337778862885"/>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34998626667073579"/>
      </font>
      <fill>
        <patternFill>
          <bgColor theme="5" tint="0.79998168889431442"/>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rgb="FFFF0000"/>
        </patternFill>
      </fill>
    </dxf>
    <dxf>
      <fill>
        <patternFill>
          <bgColor theme="7"/>
        </patternFill>
      </fill>
    </dxf>
    <dxf>
      <fill>
        <patternFill>
          <bgColor theme="8" tint="0.79998168889431442"/>
        </patternFill>
      </fill>
    </dxf>
    <dxf>
      <fill>
        <patternFill>
          <bgColor theme="7"/>
        </patternFill>
      </fill>
    </dxf>
    <dxf>
      <fill>
        <patternFill>
          <bgColor theme="7"/>
        </patternFill>
      </fill>
    </dxf>
    <dxf>
      <fill>
        <patternFill>
          <bgColor rgb="FFFF0000"/>
        </patternFill>
      </fill>
    </dxf>
    <dxf>
      <fill>
        <patternFill>
          <bgColor theme="5" tint="0.79998168889431442"/>
        </patternFill>
      </fill>
    </dxf>
    <dxf>
      <fill>
        <patternFill>
          <bgColor theme="7"/>
        </patternFill>
      </fill>
    </dxf>
    <dxf>
      <fill>
        <patternFill>
          <bgColor theme="0"/>
        </patternFill>
      </fill>
    </dxf>
    <dxf>
      <fill>
        <patternFill>
          <bgColor theme="7"/>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patternFill>
      </fill>
    </dxf>
    <dxf>
      <fill>
        <patternFill>
          <bgColor theme="0"/>
        </patternFill>
      </fill>
    </dxf>
    <dxf>
      <fill>
        <patternFill>
          <bgColor theme="0"/>
        </patternFill>
      </fill>
    </dxf>
    <dxf>
      <fill>
        <patternFill>
          <bgColor rgb="FFFF0000"/>
        </patternFill>
      </fill>
    </dxf>
    <dxf>
      <fill>
        <patternFill>
          <bgColor theme="0"/>
        </patternFill>
      </fill>
    </dxf>
    <dxf>
      <fill>
        <patternFill>
          <bgColor theme="8"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theme="0"/>
        </patternFill>
      </fill>
    </dxf>
    <dxf>
      <fill>
        <patternFill>
          <bgColor theme="7"/>
        </patternFill>
      </fill>
    </dxf>
    <dxf>
      <fill>
        <patternFill>
          <bgColor theme="0" tint="-4.9989318521683403E-2"/>
        </patternFill>
      </fill>
    </dxf>
    <dxf>
      <fill>
        <patternFill>
          <bgColor theme="0"/>
        </patternFill>
      </fill>
    </dxf>
    <dxf>
      <fill>
        <patternFill>
          <bgColor theme="7"/>
        </patternFill>
      </fill>
    </dxf>
    <dxf>
      <fill>
        <patternFill>
          <bgColor theme="0"/>
        </patternFill>
      </fill>
    </dxf>
    <dxf>
      <fill>
        <patternFill>
          <bgColor rgb="FFFF0000"/>
        </patternFill>
      </fill>
    </dxf>
    <dxf>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FF99FF"/>
      <color rgb="FF66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2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9.xml.rels><?xml version="1.0" encoding="UTF-8" standalone="yes"?>
<Relationships xmlns="http://schemas.openxmlformats.org/package/2006/relationships"><Relationship Id="rId8" Type="http://schemas.openxmlformats.org/officeDocument/2006/relationships/image" Target="../media/image27.emf"/><Relationship Id="rId3" Type="http://schemas.openxmlformats.org/officeDocument/2006/relationships/image" Target="../media/image24.svg"/><Relationship Id="rId7" Type="http://schemas.openxmlformats.org/officeDocument/2006/relationships/image" Target="../media/image26.emf"/><Relationship Id="rId2" Type="http://schemas.openxmlformats.org/officeDocument/2006/relationships/image" Target="../media/image23.png"/><Relationship Id="rId1" Type="http://schemas.openxmlformats.org/officeDocument/2006/relationships/image" Target="../media/image8.png"/><Relationship Id="rId6" Type="http://schemas.openxmlformats.org/officeDocument/2006/relationships/image" Target="../media/image25.emf"/><Relationship Id="rId11" Type="http://schemas.openxmlformats.org/officeDocument/2006/relationships/image" Target="../media/image30.emf"/><Relationship Id="rId5" Type="http://schemas.openxmlformats.org/officeDocument/2006/relationships/image" Target="../media/image12.png"/><Relationship Id="rId10" Type="http://schemas.openxmlformats.org/officeDocument/2006/relationships/image" Target="../media/image29.emf"/><Relationship Id="rId4" Type="http://schemas.openxmlformats.org/officeDocument/2006/relationships/image" Target="../media/image11.png"/><Relationship Id="rId9" Type="http://schemas.openxmlformats.org/officeDocument/2006/relationships/image" Target="../media/image28.emf"/></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6.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8.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8.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8.png"/></Relationships>
</file>

<file path=xl/drawings/_rels/drawing24.xml.rels><?xml version="1.0" encoding="UTF-8" standalone="yes"?>
<Relationships xmlns="http://schemas.openxmlformats.org/package/2006/relationships"><Relationship Id="rId8" Type="http://schemas.openxmlformats.org/officeDocument/2006/relationships/image" Target="../media/image30.emf"/><Relationship Id="rId3" Type="http://schemas.openxmlformats.org/officeDocument/2006/relationships/image" Target="../media/image12.png"/><Relationship Id="rId7" Type="http://schemas.openxmlformats.org/officeDocument/2006/relationships/image" Target="../media/image29.emf"/><Relationship Id="rId2" Type="http://schemas.openxmlformats.org/officeDocument/2006/relationships/image" Target="../media/image11.png"/><Relationship Id="rId1" Type="http://schemas.openxmlformats.org/officeDocument/2006/relationships/image" Target="../media/image8.png"/><Relationship Id="rId6" Type="http://schemas.openxmlformats.org/officeDocument/2006/relationships/image" Target="../media/image28.emf"/><Relationship Id="rId5" Type="http://schemas.openxmlformats.org/officeDocument/2006/relationships/image" Target="../media/image27.emf"/><Relationship Id="rId4" Type="http://schemas.openxmlformats.org/officeDocument/2006/relationships/image" Target="../media/image26.emf"/><Relationship Id="rId9" Type="http://schemas.openxmlformats.org/officeDocument/2006/relationships/image" Target="../media/image2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8.png"/><Relationship Id="rId5" Type="http://schemas.openxmlformats.org/officeDocument/2006/relationships/image" Target="../media/image14.emf"/><Relationship Id="rId4" Type="http://schemas.openxmlformats.org/officeDocument/2006/relationships/image" Target="../media/image13.emf"/></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2.png"/><Relationship Id="rId1" Type="http://schemas.openxmlformats.org/officeDocument/2006/relationships/image" Target="../media/image8.png"/><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2.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6.png"/><Relationship Id="rId1" Type="http://schemas.openxmlformats.org/officeDocument/2006/relationships/image" Target="../media/image8.png"/><Relationship Id="rId5" Type="http://schemas.openxmlformats.org/officeDocument/2006/relationships/image" Target="../media/image17.png"/><Relationship Id="rId4"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8.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449036</xdr:colOff>
      <xdr:row>89</xdr:row>
      <xdr:rowOff>85716</xdr:rowOff>
    </xdr:from>
    <xdr:to>
      <xdr:col>5</xdr:col>
      <xdr:colOff>1250414</xdr:colOff>
      <xdr:row>104</xdr:row>
      <xdr:rowOff>42145</xdr:rowOff>
    </xdr:to>
    <xdr:pic>
      <xdr:nvPicPr>
        <xdr:cNvPr id="2" name="図 1">
          <a:extLst>
            <a:ext uri="{FF2B5EF4-FFF2-40B4-BE49-F238E27FC236}">
              <a16:creationId xmlns:a16="http://schemas.microsoft.com/office/drawing/2014/main" id="{3EC21AD2-F250-4C9C-B9F7-3AC6DDAE8D10}"/>
            </a:ext>
          </a:extLst>
        </xdr:cNvPr>
        <xdr:cNvPicPr>
          <a:picLocks noChangeAspect="1"/>
        </xdr:cNvPicPr>
      </xdr:nvPicPr>
      <xdr:blipFill rotWithShape="1">
        <a:blip xmlns:r="http://schemas.openxmlformats.org/officeDocument/2006/relationships" r:embed="rId1"/>
        <a:srcRect t="52265" b="2137"/>
        <a:stretch/>
      </xdr:blipFill>
      <xdr:spPr>
        <a:xfrm>
          <a:off x="1134836" y="5838816"/>
          <a:ext cx="6887853" cy="3728329"/>
        </a:xfrm>
        <a:prstGeom prst="rect">
          <a:avLst/>
        </a:prstGeom>
      </xdr:spPr>
    </xdr:pic>
    <xdr:clientData/>
  </xdr:twoCellAnchor>
  <xdr:twoCellAnchor>
    <xdr:from>
      <xdr:col>2</xdr:col>
      <xdr:colOff>855419</xdr:colOff>
      <xdr:row>95</xdr:row>
      <xdr:rowOff>35430</xdr:rowOff>
    </xdr:from>
    <xdr:to>
      <xdr:col>3</xdr:col>
      <xdr:colOff>263796</xdr:colOff>
      <xdr:row>95</xdr:row>
      <xdr:rowOff>291821</xdr:rowOff>
    </xdr:to>
    <xdr:sp macro="" textlink="">
      <xdr:nvSpPr>
        <xdr:cNvPr id="3" name="四角形: 角を丸くする 2">
          <a:extLst>
            <a:ext uri="{FF2B5EF4-FFF2-40B4-BE49-F238E27FC236}">
              <a16:creationId xmlns:a16="http://schemas.microsoft.com/office/drawing/2014/main" id="{9751F1F4-37A3-475B-908A-AD7C97BDC099}"/>
            </a:ext>
          </a:extLst>
        </xdr:cNvPr>
        <xdr:cNvSpPr/>
      </xdr:nvSpPr>
      <xdr:spPr>
        <a:xfrm>
          <a:off x="1760294" y="23876505"/>
          <a:ext cx="522802" cy="256391"/>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292371</xdr:colOff>
      <xdr:row>94</xdr:row>
      <xdr:rowOff>63179</xdr:rowOff>
    </xdr:from>
    <xdr:to>
      <xdr:col>5</xdr:col>
      <xdr:colOff>1509349</xdr:colOff>
      <xdr:row>95</xdr:row>
      <xdr:rowOff>60960</xdr:rowOff>
    </xdr:to>
    <xdr:cxnSp macro="">
      <xdr:nvCxnSpPr>
        <xdr:cNvPr id="4" name="直線矢印コネクタ 3">
          <a:extLst>
            <a:ext uri="{FF2B5EF4-FFF2-40B4-BE49-F238E27FC236}">
              <a16:creationId xmlns:a16="http://schemas.microsoft.com/office/drawing/2014/main" id="{CB45333D-E79D-4710-B2AF-1801A9EF7596}"/>
            </a:ext>
          </a:extLst>
        </xdr:cNvPr>
        <xdr:cNvCxnSpPr/>
      </xdr:nvCxnSpPr>
      <xdr:spPr>
        <a:xfrm flipH="1">
          <a:off x="2778396" y="7073579"/>
          <a:ext cx="5503228" cy="302581"/>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108859</xdr:colOff>
      <xdr:row>18</xdr:row>
      <xdr:rowOff>155469</xdr:rowOff>
    </xdr:from>
    <xdr:to>
      <xdr:col>4</xdr:col>
      <xdr:colOff>3524250</xdr:colOff>
      <xdr:row>25</xdr:row>
      <xdr:rowOff>227627</xdr:rowOff>
    </xdr:to>
    <xdr:pic>
      <xdr:nvPicPr>
        <xdr:cNvPr id="5" name="図 4">
          <a:extLst>
            <a:ext uri="{FF2B5EF4-FFF2-40B4-BE49-F238E27FC236}">
              <a16:creationId xmlns:a16="http://schemas.microsoft.com/office/drawing/2014/main" id="{58DDC2F9-CBEB-EC9C-FB78-54F79FAF9330}"/>
            </a:ext>
          </a:extLst>
        </xdr:cNvPr>
        <xdr:cNvPicPr>
          <a:picLocks noChangeAspect="1"/>
        </xdr:cNvPicPr>
      </xdr:nvPicPr>
      <xdr:blipFill rotWithShape="1">
        <a:blip xmlns:r="http://schemas.openxmlformats.org/officeDocument/2006/relationships" r:embed="rId2"/>
        <a:srcRect r="50180"/>
        <a:stretch/>
      </xdr:blipFill>
      <xdr:spPr>
        <a:xfrm>
          <a:off x="517073" y="7503326"/>
          <a:ext cx="5674177" cy="1786658"/>
        </a:xfrm>
        <a:prstGeom prst="rect">
          <a:avLst/>
        </a:prstGeom>
      </xdr:spPr>
    </xdr:pic>
    <xdr:clientData/>
  </xdr:twoCellAnchor>
  <xdr:twoCellAnchor editAs="oneCell">
    <xdr:from>
      <xdr:col>1</xdr:col>
      <xdr:colOff>81643</xdr:colOff>
      <xdr:row>28</xdr:row>
      <xdr:rowOff>108857</xdr:rowOff>
    </xdr:from>
    <xdr:to>
      <xdr:col>4</xdr:col>
      <xdr:colOff>2326820</xdr:colOff>
      <xdr:row>48</xdr:row>
      <xdr:rowOff>214689</xdr:rowOff>
    </xdr:to>
    <xdr:pic>
      <xdr:nvPicPr>
        <xdr:cNvPr id="6" name="図 5">
          <a:extLst>
            <a:ext uri="{FF2B5EF4-FFF2-40B4-BE49-F238E27FC236}">
              <a16:creationId xmlns:a16="http://schemas.microsoft.com/office/drawing/2014/main" id="{7C2B7EB7-4BD1-309A-542E-782F9FB10C89}"/>
            </a:ext>
          </a:extLst>
        </xdr:cNvPr>
        <xdr:cNvPicPr>
          <a:picLocks noChangeAspect="1"/>
        </xdr:cNvPicPr>
      </xdr:nvPicPr>
      <xdr:blipFill>
        <a:blip xmlns:r="http://schemas.openxmlformats.org/officeDocument/2006/relationships" r:embed="rId3"/>
        <a:stretch>
          <a:fillRect/>
        </a:stretch>
      </xdr:blipFill>
      <xdr:spPr>
        <a:xfrm>
          <a:off x="489857" y="9933214"/>
          <a:ext cx="4503963" cy="5004404"/>
        </a:xfrm>
        <a:prstGeom prst="rect">
          <a:avLst/>
        </a:prstGeom>
      </xdr:spPr>
    </xdr:pic>
    <xdr:clientData/>
  </xdr:twoCellAnchor>
  <xdr:twoCellAnchor editAs="oneCell">
    <xdr:from>
      <xdr:col>1</xdr:col>
      <xdr:colOff>122465</xdr:colOff>
      <xdr:row>51</xdr:row>
      <xdr:rowOff>95250</xdr:rowOff>
    </xdr:from>
    <xdr:to>
      <xdr:col>4</xdr:col>
      <xdr:colOff>3769179</xdr:colOff>
      <xdr:row>71</xdr:row>
      <xdr:rowOff>160722</xdr:rowOff>
    </xdr:to>
    <xdr:pic>
      <xdr:nvPicPr>
        <xdr:cNvPr id="7" name="図 6">
          <a:extLst>
            <a:ext uri="{FF2B5EF4-FFF2-40B4-BE49-F238E27FC236}">
              <a16:creationId xmlns:a16="http://schemas.microsoft.com/office/drawing/2014/main" id="{DD4FC1FA-8C5C-31F2-BBAD-ACF18E548C19}"/>
            </a:ext>
          </a:extLst>
        </xdr:cNvPr>
        <xdr:cNvPicPr>
          <a:picLocks noChangeAspect="1"/>
        </xdr:cNvPicPr>
      </xdr:nvPicPr>
      <xdr:blipFill>
        <a:blip xmlns:r="http://schemas.openxmlformats.org/officeDocument/2006/relationships" r:embed="rId4"/>
        <a:stretch>
          <a:fillRect/>
        </a:stretch>
      </xdr:blipFill>
      <xdr:spPr>
        <a:xfrm>
          <a:off x="530679" y="15689036"/>
          <a:ext cx="5905500" cy="4964044"/>
        </a:xfrm>
        <a:prstGeom prst="rect">
          <a:avLst/>
        </a:prstGeom>
      </xdr:spPr>
    </xdr:pic>
    <xdr:clientData/>
  </xdr:twoCellAnchor>
  <xdr:twoCellAnchor editAs="oneCell">
    <xdr:from>
      <xdr:col>1</xdr:col>
      <xdr:colOff>136073</xdr:colOff>
      <xdr:row>75</xdr:row>
      <xdr:rowOff>204107</xdr:rowOff>
    </xdr:from>
    <xdr:to>
      <xdr:col>6</xdr:col>
      <xdr:colOff>4054929</xdr:colOff>
      <xdr:row>82</xdr:row>
      <xdr:rowOff>109083</xdr:rowOff>
    </xdr:to>
    <xdr:pic>
      <xdr:nvPicPr>
        <xdr:cNvPr id="8" name="図 7">
          <a:extLst>
            <a:ext uri="{FF2B5EF4-FFF2-40B4-BE49-F238E27FC236}">
              <a16:creationId xmlns:a16="http://schemas.microsoft.com/office/drawing/2014/main" id="{F645BD8C-0B58-3BED-8AAA-4388341FB027}"/>
            </a:ext>
          </a:extLst>
        </xdr:cNvPr>
        <xdr:cNvPicPr>
          <a:picLocks noChangeAspect="1"/>
        </xdr:cNvPicPr>
      </xdr:nvPicPr>
      <xdr:blipFill rotWithShape="1">
        <a:blip xmlns:r="http://schemas.openxmlformats.org/officeDocument/2006/relationships" r:embed="rId5"/>
        <a:srcRect r="27824"/>
        <a:stretch/>
      </xdr:blipFill>
      <xdr:spPr>
        <a:xfrm>
          <a:off x="544287" y="22737536"/>
          <a:ext cx="11674928" cy="1619476"/>
        </a:xfrm>
        <a:prstGeom prst="rect">
          <a:avLst/>
        </a:prstGeom>
      </xdr:spPr>
    </xdr:pic>
    <xdr:clientData/>
  </xdr:twoCellAnchor>
  <xdr:twoCellAnchor>
    <xdr:from>
      <xdr:col>1</xdr:col>
      <xdr:colOff>42863</xdr:colOff>
      <xdr:row>19</xdr:row>
      <xdr:rowOff>190499</xdr:rowOff>
    </xdr:from>
    <xdr:to>
      <xdr:col>1</xdr:col>
      <xdr:colOff>304801</xdr:colOff>
      <xdr:row>20</xdr:row>
      <xdr:rowOff>171449</xdr:rowOff>
    </xdr:to>
    <xdr:sp macro="" textlink="">
      <xdr:nvSpPr>
        <xdr:cNvPr id="9" name="正方形/長方形 8">
          <a:extLst>
            <a:ext uri="{FF2B5EF4-FFF2-40B4-BE49-F238E27FC236}">
              <a16:creationId xmlns:a16="http://schemas.microsoft.com/office/drawing/2014/main" id="{9FCC802F-439F-934E-9AE9-43FBD6194F25}"/>
            </a:ext>
          </a:extLst>
        </xdr:cNvPr>
        <xdr:cNvSpPr/>
      </xdr:nvSpPr>
      <xdr:spPr>
        <a:xfrm>
          <a:off x="261938" y="5429249"/>
          <a:ext cx="261938" cy="219075"/>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endParaRPr kumimoji="1" lang="ja-JP" altLang="en-US" sz="1400" b="0">
            <a:solidFill>
              <a:sysClr val="windowText" lastClr="000000"/>
            </a:solidFill>
            <a:latin typeface="ＭＳ ゴシック" panose="020B0609070205080204" pitchFamily="49" charset="-128"/>
            <a:ea typeface="ＭＳ ゴシック" panose="020B0609070205080204" pitchFamily="49" charset="-128"/>
            <a:cs typeface="+mn-cs"/>
          </a:endParaRPr>
        </a:p>
      </xdr:txBody>
    </xdr:sp>
    <xdr:clientData/>
  </xdr:twoCellAnchor>
  <xdr:twoCellAnchor editAs="oneCell">
    <xdr:from>
      <xdr:col>1</xdr:col>
      <xdr:colOff>76200</xdr:colOff>
      <xdr:row>21</xdr:row>
      <xdr:rowOff>123825</xdr:rowOff>
    </xdr:from>
    <xdr:to>
      <xdr:col>4</xdr:col>
      <xdr:colOff>1685925</xdr:colOff>
      <xdr:row>22</xdr:row>
      <xdr:rowOff>180975</xdr:rowOff>
    </xdr:to>
    <xdr:sp macro="" textlink="">
      <xdr:nvSpPr>
        <xdr:cNvPr id="10" name="吹き出し: 角を丸めた四角形 2">
          <a:extLst>
            <a:ext uri="{FF2B5EF4-FFF2-40B4-BE49-F238E27FC236}">
              <a16:creationId xmlns:a16="http://schemas.microsoft.com/office/drawing/2014/main" id="{5B239AD7-FF66-4025-BEC6-FFD2A17CC2CD}"/>
            </a:ext>
          </a:extLst>
        </xdr:cNvPr>
        <xdr:cNvSpPr/>
      </xdr:nvSpPr>
      <xdr:spPr>
        <a:xfrm>
          <a:off x="295275" y="5838825"/>
          <a:ext cx="3867150" cy="295275"/>
        </a:xfrm>
        <a:prstGeom prst="wedgeRoundRectCallout">
          <a:avLst>
            <a:gd name="adj1" fmla="val -45298"/>
            <a:gd name="adj2" fmla="val -12546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kumimoji="1" lang="ja-JP" altLang="en-US" sz="1400" b="0">
              <a:solidFill>
                <a:sysClr val="windowText" lastClr="000000"/>
              </a:solidFill>
              <a:latin typeface="Meiryo UI" panose="020B0604030504040204" pitchFamily="50" charset="-128"/>
              <a:ea typeface="Meiryo UI" panose="020B0604030504040204" pitchFamily="50" charset="-128"/>
            </a:rPr>
            <a:t>行の番号部分をクリックすると行全体が選択されます</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350921</xdr:colOff>
      <xdr:row>8</xdr:row>
      <xdr:rowOff>200526</xdr:rowOff>
    </xdr:from>
    <xdr:to>
      <xdr:col>28</xdr:col>
      <xdr:colOff>122007</xdr:colOff>
      <xdr:row>29</xdr:row>
      <xdr:rowOff>295942</xdr:rowOff>
    </xdr:to>
    <xdr:pic>
      <xdr:nvPicPr>
        <xdr:cNvPr id="17" name="図 16">
          <a:extLst>
            <a:ext uri="{FF2B5EF4-FFF2-40B4-BE49-F238E27FC236}">
              <a16:creationId xmlns:a16="http://schemas.microsoft.com/office/drawing/2014/main" id="{7FBDFE59-E8F7-8E23-707A-440134ED87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00526" y="3191710"/>
          <a:ext cx="13440297" cy="14951074"/>
        </a:xfrm>
        <a:prstGeom prst="rect">
          <a:avLst/>
        </a:prstGeom>
        <a:noFill/>
        <a:ln>
          <a:solidFill>
            <a:schemeClr val="bg1">
              <a:lumMod val="75000"/>
            </a:schemeClr>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457200</xdr:colOff>
      <xdr:row>1</xdr:row>
      <xdr:rowOff>292100</xdr:rowOff>
    </xdr:from>
    <xdr:to>
      <xdr:col>12</xdr:col>
      <xdr:colOff>62441</xdr:colOff>
      <xdr:row>3</xdr:row>
      <xdr:rowOff>375142</xdr:rowOff>
    </xdr:to>
    <xdr:pic>
      <xdr:nvPicPr>
        <xdr:cNvPr id="2" name="図 1">
          <a:extLst>
            <a:ext uri="{FF2B5EF4-FFF2-40B4-BE49-F238E27FC236}">
              <a16:creationId xmlns:a16="http://schemas.microsoft.com/office/drawing/2014/main" id="{9A5DEE68-F811-47E0-BCA1-7B890503C2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06400" y="533400"/>
          <a:ext cx="2323041" cy="895842"/>
        </a:xfrm>
        <a:prstGeom prst="rect">
          <a:avLst/>
        </a:prstGeom>
      </xdr:spPr>
    </xdr:pic>
    <xdr:clientData/>
  </xdr:twoCellAnchor>
  <xdr:twoCellAnchor editAs="oneCell">
    <xdr:from>
      <xdr:col>11</xdr:col>
      <xdr:colOff>80802</xdr:colOff>
      <xdr:row>12</xdr:row>
      <xdr:rowOff>706521</xdr:rowOff>
    </xdr:from>
    <xdr:to>
      <xdr:col>17</xdr:col>
      <xdr:colOff>278315</xdr:colOff>
      <xdr:row>13</xdr:row>
      <xdr:rowOff>820194</xdr:rowOff>
    </xdr:to>
    <xdr:sp macro="" textlink="">
      <xdr:nvSpPr>
        <xdr:cNvPr id="4" name="吹き出し: 角を丸めた四角形 62">
          <a:extLst>
            <a:ext uri="{FF2B5EF4-FFF2-40B4-BE49-F238E27FC236}">
              <a16:creationId xmlns:a16="http://schemas.microsoft.com/office/drawing/2014/main" id="{C327C0BA-7C22-4C63-B373-8C26CFC018FB}"/>
            </a:ext>
          </a:extLst>
        </xdr:cNvPr>
        <xdr:cNvSpPr/>
      </xdr:nvSpPr>
      <xdr:spPr>
        <a:xfrm>
          <a:off x="14401723" y="6020468"/>
          <a:ext cx="4558960" cy="1567489"/>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補足情報</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・指定設備の検討内容の詳細を記載してください。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・指定設備が複数ある場合は、下方に新しい表が自動で追加されるため、各設備の検討内容をそれぞれ記載してください。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325753</xdr:colOff>
      <xdr:row>10</xdr:row>
      <xdr:rowOff>185138</xdr:rowOff>
    </xdr:from>
    <xdr:to>
      <xdr:col>35</xdr:col>
      <xdr:colOff>151582</xdr:colOff>
      <xdr:row>11</xdr:row>
      <xdr:rowOff>1126177</xdr:rowOff>
    </xdr:to>
    <xdr:sp macro="" textlink="">
      <xdr:nvSpPr>
        <xdr:cNvPr id="5" name="吹き出し: 角を丸めた四角形 62">
          <a:extLst>
            <a:ext uri="{FF2B5EF4-FFF2-40B4-BE49-F238E27FC236}">
              <a16:creationId xmlns:a16="http://schemas.microsoft.com/office/drawing/2014/main" id="{279AF0EA-8787-4853-B84B-C82F5169306C}"/>
            </a:ext>
          </a:extLst>
        </xdr:cNvPr>
        <xdr:cNvSpPr/>
      </xdr:nvSpPr>
      <xdr:spPr>
        <a:xfrm>
          <a:off x="26544569" y="3677638"/>
          <a:ext cx="4621750" cy="1308671"/>
        </a:xfrm>
        <a:prstGeom prst="wedgeRoundRectCallout">
          <a:avLst>
            <a:gd name="adj1" fmla="val -60821"/>
            <a:gd name="adj2" fmla="val 4473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基礎情報</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指定設備として設定した施設の各シートの内容が自動的に記載されるため、特に入力は不要です。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347786</xdr:colOff>
      <xdr:row>12</xdr:row>
      <xdr:rowOff>863312</xdr:rowOff>
    </xdr:from>
    <xdr:to>
      <xdr:col>38</xdr:col>
      <xdr:colOff>17053</xdr:colOff>
      <xdr:row>13</xdr:row>
      <xdr:rowOff>945274</xdr:rowOff>
    </xdr:to>
    <xdr:sp macro="" textlink="">
      <xdr:nvSpPr>
        <xdr:cNvPr id="6" name="吹き出し: 角を丸めた四角形 62">
          <a:extLst>
            <a:ext uri="{FF2B5EF4-FFF2-40B4-BE49-F238E27FC236}">
              <a16:creationId xmlns:a16="http://schemas.microsoft.com/office/drawing/2014/main" id="{A853298C-FA39-4DF6-8790-1C6FE98E314D}"/>
            </a:ext>
          </a:extLst>
        </xdr:cNvPr>
        <xdr:cNvSpPr/>
      </xdr:nvSpPr>
      <xdr:spPr>
        <a:xfrm>
          <a:off x="26566602" y="6177259"/>
          <a:ext cx="6520583" cy="1535778"/>
        </a:xfrm>
        <a:prstGeom prst="wedgeRoundRectCallout">
          <a:avLst>
            <a:gd name="adj1" fmla="val -63008"/>
            <a:gd name="adj2" fmla="val 4387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1-1</a:t>
          </a:r>
          <a:r>
            <a:rPr kumimoji="1" lang="en-US" altLang="ja-JP" sz="1400" b="0" baseline="0">
              <a:solidFill>
                <a:sysClr val="windowText" lastClr="000000"/>
              </a:solidFill>
              <a:latin typeface="Meiryo UI" panose="020B0604030504040204" pitchFamily="50" charset="-128"/>
              <a:ea typeface="Meiryo UI" panose="020B0604030504040204" pitchFamily="50" charset="-128"/>
            </a:rPr>
            <a:t> FS</a:t>
          </a:r>
          <a:r>
            <a:rPr kumimoji="1" lang="ja-JP" altLang="en-US" sz="1400" b="0" baseline="0">
              <a:solidFill>
                <a:sysClr val="windowText" lastClr="000000"/>
              </a:solidFill>
              <a:latin typeface="Meiryo UI" panose="020B0604030504040204" pitchFamily="50" charset="-128"/>
              <a:ea typeface="Meiryo UI" panose="020B0604030504040204" pitchFamily="50" charset="-128"/>
            </a:rPr>
            <a:t>調査の資料／実地調査の具体的な内容と結果</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・資料調査、実地調査それぞれにおいて確認した主な内容・調査結果、定量的な情報</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・原材料調達の検討や調整を要する発電については、原材料の調達状況について</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347786</xdr:colOff>
      <xdr:row>13</xdr:row>
      <xdr:rowOff>1162669</xdr:rowOff>
    </xdr:from>
    <xdr:to>
      <xdr:col>38</xdr:col>
      <xdr:colOff>36103</xdr:colOff>
      <xdr:row>14</xdr:row>
      <xdr:rowOff>1235106</xdr:rowOff>
    </xdr:to>
    <xdr:sp macro="" textlink="">
      <xdr:nvSpPr>
        <xdr:cNvPr id="7" name="吹き出し: 角を丸めた四角形 62">
          <a:extLst>
            <a:ext uri="{FF2B5EF4-FFF2-40B4-BE49-F238E27FC236}">
              <a16:creationId xmlns:a16="http://schemas.microsoft.com/office/drawing/2014/main" id="{2DBD44D2-7E13-44FC-9346-2CF8158DA5E3}"/>
            </a:ext>
          </a:extLst>
        </xdr:cNvPr>
        <xdr:cNvSpPr/>
      </xdr:nvSpPr>
      <xdr:spPr>
        <a:xfrm>
          <a:off x="26566602" y="7930432"/>
          <a:ext cx="6539633" cy="1526253"/>
        </a:xfrm>
        <a:prstGeom prst="wedgeRoundRectCallout">
          <a:avLst>
            <a:gd name="adj1" fmla="val -62803"/>
            <a:gd name="adj2" fmla="val 3200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1-2</a:t>
          </a:r>
          <a:r>
            <a:rPr kumimoji="1" lang="en-US" altLang="ja-JP" sz="1400" b="0" baseline="0">
              <a:solidFill>
                <a:sysClr val="windowText" lastClr="000000"/>
              </a:solidFill>
              <a:latin typeface="Meiryo UI" panose="020B0604030504040204" pitchFamily="50" charset="-128"/>
              <a:ea typeface="Meiryo UI" panose="020B0604030504040204" pitchFamily="50" charset="-128"/>
            </a:rPr>
            <a:t> FS</a:t>
          </a:r>
          <a:r>
            <a:rPr kumimoji="1" lang="ja-JP" altLang="en-US" sz="1400" b="0" baseline="0">
              <a:solidFill>
                <a:sysClr val="windowText" lastClr="000000"/>
              </a:solidFill>
              <a:latin typeface="Meiryo UI" panose="020B0604030504040204" pitchFamily="50" charset="-128"/>
              <a:ea typeface="Meiryo UI" panose="020B0604030504040204" pitchFamily="50" charset="-128"/>
            </a:rPr>
            <a:t>調査の今後の予定</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・さらに今後実施する予定がある場合、時期や調査事項等</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347786</xdr:colOff>
      <xdr:row>15</xdr:row>
      <xdr:rowOff>52326</xdr:rowOff>
    </xdr:from>
    <xdr:to>
      <xdr:col>38</xdr:col>
      <xdr:colOff>29753</xdr:colOff>
      <xdr:row>16</xdr:row>
      <xdr:rowOff>115238</xdr:rowOff>
    </xdr:to>
    <xdr:sp macro="" textlink="">
      <xdr:nvSpPr>
        <xdr:cNvPr id="8" name="吹き出し: 角を丸めた四角形 62">
          <a:extLst>
            <a:ext uri="{FF2B5EF4-FFF2-40B4-BE49-F238E27FC236}">
              <a16:creationId xmlns:a16="http://schemas.microsoft.com/office/drawing/2014/main" id="{212A784E-F1B6-4D3E-A41B-5AECF0C0A0B4}"/>
            </a:ext>
          </a:extLst>
        </xdr:cNvPr>
        <xdr:cNvSpPr/>
      </xdr:nvSpPr>
      <xdr:spPr>
        <a:xfrm>
          <a:off x="26566602" y="9727721"/>
          <a:ext cx="6533283" cy="1516728"/>
        </a:xfrm>
        <a:prstGeom prst="wedgeRoundRectCallout">
          <a:avLst>
            <a:gd name="adj1" fmla="val -62577"/>
            <a:gd name="adj2" fmla="val 2739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2 </a:t>
          </a:r>
          <a:r>
            <a:rPr kumimoji="1" lang="ja-JP" altLang="en-US" sz="1400" b="0">
              <a:solidFill>
                <a:sysClr val="windowText" lastClr="000000"/>
              </a:solidFill>
              <a:latin typeface="Meiryo UI" panose="020B0604030504040204" pitchFamily="50" charset="-128"/>
              <a:ea typeface="Meiryo UI" panose="020B0604030504040204" pitchFamily="50" charset="-128"/>
            </a:rPr>
            <a:t>系統協議における懸念事項と今後の予定</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・事業見込みや懸念点、今後の予定、代替案等</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347786</xdr:colOff>
      <xdr:row>16</xdr:row>
      <xdr:rowOff>346241</xdr:rowOff>
    </xdr:from>
    <xdr:to>
      <xdr:col>38</xdr:col>
      <xdr:colOff>20228</xdr:colOff>
      <xdr:row>17</xdr:row>
      <xdr:rowOff>396453</xdr:rowOff>
    </xdr:to>
    <xdr:sp macro="" textlink="">
      <xdr:nvSpPr>
        <xdr:cNvPr id="9" name="吹き出し: 角を丸めた四角形 62">
          <a:extLst>
            <a:ext uri="{FF2B5EF4-FFF2-40B4-BE49-F238E27FC236}">
              <a16:creationId xmlns:a16="http://schemas.microsoft.com/office/drawing/2014/main" id="{18142801-711C-40AA-8491-68D8C7B40A23}"/>
            </a:ext>
          </a:extLst>
        </xdr:cNvPr>
        <xdr:cNvSpPr/>
      </xdr:nvSpPr>
      <xdr:spPr>
        <a:xfrm>
          <a:off x="26566602" y="11475452"/>
          <a:ext cx="6523758" cy="1504027"/>
        </a:xfrm>
        <a:prstGeom prst="wedgeRoundRectCallout">
          <a:avLst>
            <a:gd name="adj1" fmla="val -61371"/>
            <a:gd name="adj2" fmla="val -175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3-1</a:t>
          </a:r>
          <a:r>
            <a:rPr kumimoji="1" lang="en-US" altLang="ja-JP" sz="1400" b="0" baseline="0">
              <a:solidFill>
                <a:sysClr val="windowText" lastClr="000000"/>
              </a:solidFill>
              <a:latin typeface="Meiryo UI" panose="020B0604030504040204" pitchFamily="50" charset="-128"/>
              <a:ea typeface="Meiryo UI" panose="020B0604030504040204" pitchFamily="50" charset="-128"/>
            </a:rPr>
            <a:t> </a:t>
          </a:r>
          <a:r>
            <a:rPr kumimoji="1" lang="ja-JP" altLang="en-US" sz="1400" b="0" baseline="0">
              <a:solidFill>
                <a:sysClr val="windowText" lastClr="000000"/>
              </a:solidFill>
              <a:latin typeface="Meiryo UI" panose="020B0604030504040204" pitchFamily="50" charset="-128"/>
              <a:ea typeface="Meiryo UI" panose="020B0604030504040204" pitchFamily="50" charset="-128"/>
            </a:rPr>
            <a:t>合意形成の進捗状況の補足</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・説明会の開催日時、開催回数等詳細情報</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・合意形成対象者の再エネ設備導入に対する反応</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385886</xdr:colOff>
      <xdr:row>17</xdr:row>
      <xdr:rowOff>594798</xdr:rowOff>
    </xdr:from>
    <xdr:to>
      <xdr:col>38</xdr:col>
      <xdr:colOff>58328</xdr:colOff>
      <xdr:row>20</xdr:row>
      <xdr:rowOff>87117</xdr:rowOff>
    </xdr:to>
    <xdr:sp macro="" textlink="">
      <xdr:nvSpPr>
        <xdr:cNvPr id="10" name="吹き出し: 角を丸めた四角形 62">
          <a:extLst>
            <a:ext uri="{FF2B5EF4-FFF2-40B4-BE49-F238E27FC236}">
              <a16:creationId xmlns:a16="http://schemas.microsoft.com/office/drawing/2014/main" id="{A2399D13-C564-4E4A-9C26-323C4BAA78C2}"/>
            </a:ext>
          </a:extLst>
        </xdr:cNvPr>
        <xdr:cNvSpPr/>
      </xdr:nvSpPr>
      <xdr:spPr>
        <a:xfrm>
          <a:off x="26604702" y="13177824"/>
          <a:ext cx="6523758" cy="1497582"/>
        </a:xfrm>
        <a:prstGeom prst="wedgeRoundRectCallout">
          <a:avLst>
            <a:gd name="adj1" fmla="val -62413"/>
            <a:gd name="adj2" fmla="val -427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3-2</a:t>
          </a:r>
          <a:r>
            <a:rPr kumimoji="1" lang="en-US" altLang="ja-JP" sz="1400" b="0" baseline="0">
              <a:solidFill>
                <a:sysClr val="windowText" lastClr="000000"/>
              </a:solidFill>
              <a:latin typeface="Meiryo UI" panose="020B0604030504040204" pitchFamily="50" charset="-128"/>
              <a:ea typeface="Meiryo UI" panose="020B0604030504040204" pitchFamily="50" charset="-128"/>
            </a:rPr>
            <a:t> </a:t>
          </a:r>
          <a:r>
            <a:rPr kumimoji="1" lang="ja-JP" altLang="en-US" sz="1400" b="0" baseline="0">
              <a:solidFill>
                <a:sysClr val="windowText" lastClr="000000"/>
              </a:solidFill>
              <a:latin typeface="Meiryo UI" panose="020B0604030504040204" pitchFamily="50" charset="-128"/>
              <a:ea typeface="Meiryo UI" panose="020B0604030504040204" pitchFamily="50" charset="-128"/>
            </a:rPr>
            <a:t>合意形成の今後の予定</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・今後の合意形成の見通しと予定</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385886</xdr:colOff>
      <xdr:row>20</xdr:row>
      <xdr:rowOff>247362</xdr:rowOff>
    </xdr:from>
    <xdr:to>
      <xdr:col>38</xdr:col>
      <xdr:colOff>58328</xdr:colOff>
      <xdr:row>24</xdr:row>
      <xdr:rowOff>304378</xdr:rowOff>
    </xdr:to>
    <xdr:sp macro="" textlink="">
      <xdr:nvSpPr>
        <xdr:cNvPr id="11" name="吹き出し: 角を丸めた四角形 62">
          <a:extLst>
            <a:ext uri="{FF2B5EF4-FFF2-40B4-BE49-F238E27FC236}">
              <a16:creationId xmlns:a16="http://schemas.microsoft.com/office/drawing/2014/main" id="{E79AD47A-7863-4E46-B793-C73A5F42B97F}"/>
            </a:ext>
          </a:extLst>
        </xdr:cNvPr>
        <xdr:cNvSpPr/>
      </xdr:nvSpPr>
      <xdr:spPr>
        <a:xfrm>
          <a:off x="26604702" y="14835651"/>
          <a:ext cx="6523758" cy="1527543"/>
        </a:xfrm>
        <a:prstGeom prst="wedgeRoundRectCallout">
          <a:avLst>
            <a:gd name="adj1" fmla="val -61483"/>
            <a:gd name="adj2" fmla="val -2481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4 </a:t>
          </a:r>
          <a:r>
            <a:rPr kumimoji="1" lang="ja-JP" altLang="en-US" sz="1400" b="0">
              <a:solidFill>
                <a:sysClr val="windowText" lastClr="000000"/>
              </a:solidFill>
              <a:latin typeface="Meiryo UI" panose="020B0604030504040204" pitchFamily="50" charset="-128"/>
              <a:ea typeface="Meiryo UI" panose="020B0604030504040204" pitchFamily="50" charset="-128"/>
            </a:rPr>
            <a:t>懸念事項</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a:t>
          </a:r>
          <a:r>
            <a:rPr kumimoji="1" lang="en-US" altLang="ja-JP" sz="1400" b="0" baseline="0">
              <a:solidFill>
                <a:sysClr val="windowText" lastClr="000000"/>
              </a:solidFill>
              <a:latin typeface="Meiryo UI" panose="020B0604030504040204" pitchFamily="50" charset="-128"/>
              <a:ea typeface="Meiryo UI" panose="020B0604030504040204" pitchFamily="50" charset="-128"/>
            </a:rPr>
            <a:t>FS</a:t>
          </a:r>
          <a:r>
            <a:rPr kumimoji="1" lang="ja-JP" altLang="en-US" sz="1400" b="0" baseline="0">
              <a:solidFill>
                <a:sysClr val="windowText" lastClr="000000"/>
              </a:solidFill>
              <a:latin typeface="Meiryo UI" panose="020B0604030504040204" pitchFamily="50" charset="-128"/>
              <a:ea typeface="Meiryo UI" panose="020B0604030504040204" pitchFamily="50" charset="-128"/>
            </a:rPr>
            <a:t>調査を進めた上で生じた懸念事項</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・合意形成を進めた上で生じた懸念事項</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28</xdr:col>
      <xdr:colOff>385886</xdr:colOff>
      <xdr:row>24</xdr:row>
      <xdr:rowOff>533567</xdr:rowOff>
    </xdr:from>
    <xdr:to>
      <xdr:col>38</xdr:col>
      <xdr:colOff>122282</xdr:colOff>
      <xdr:row>29</xdr:row>
      <xdr:rowOff>231353</xdr:rowOff>
    </xdr:to>
    <xdr:sp macro="" textlink="">
      <xdr:nvSpPr>
        <xdr:cNvPr id="12" name="吹き出し: 角を丸めた四角形 62">
          <a:extLst>
            <a:ext uri="{FF2B5EF4-FFF2-40B4-BE49-F238E27FC236}">
              <a16:creationId xmlns:a16="http://schemas.microsoft.com/office/drawing/2014/main" id="{885108C0-C10B-4CAC-A56D-C7F3F5EF9D3B}"/>
            </a:ext>
          </a:extLst>
        </xdr:cNvPr>
        <xdr:cNvSpPr/>
      </xdr:nvSpPr>
      <xdr:spPr>
        <a:xfrm>
          <a:off x="26604702" y="16592383"/>
          <a:ext cx="6587712" cy="1485812"/>
        </a:xfrm>
        <a:prstGeom prst="wedgeRoundRectCallout">
          <a:avLst>
            <a:gd name="adj1" fmla="val -60575"/>
            <a:gd name="adj2" fmla="val -4359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5 </a:t>
          </a:r>
          <a:r>
            <a:rPr kumimoji="1" lang="ja-JP" altLang="en-US" sz="1400" b="0">
              <a:solidFill>
                <a:sysClr val="windowText" lastClr="000000"/>
              </a:solidFill>
              <a:latin typeface="Meiryo UI" panose="020B0604030504040204" pitchFamily="50" charset="-128"/>
              <a:ea typeface="Meiryo UI" panose="020B0604030504040204" pitchFamily="50" charset="-128"/>
            </a:rPr>
            <a:t>対策案・代替案の検討状況</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以下のポイントについて補足してください。</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・対策案・代替案の検討内容やその状況</a:t>
          </a:r>
          <a:endParaRPr kumimoji="1" lang="en-US" altLang="ja-JP" sz="1400" b="0" baseline="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baseline="0">
              <a:solidFill>
                <a:sysClr val="windowText" lastClr="000000"/>
              </a:solidFill>
              <a:latin typeface="Meiryo UI" panose="020B0604030504040204" pitchFamily="50" charset="-128"/>
              <a:ea typeface="Meiryo UI" panose="020B0604030504040204" pitchFamily="50" charset="-128"/>
            </a:rPr>
            <a:t>・代替案への切り替え判断の時期</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9</xdr:col>
      <xdr:colOff>419100</xdr:colOff>
      <xdr:row>4</xdr:row>
      <xdr:rowOff>152400</xdr:rowOff>
    </xdr:from>
    <xdr:to>
      <xdr:col>28</xdr:col>
      <xdr:colOff>38100</xdr:colOff>
      <xdr:row>7</xdr:row>
      <xdr:rowOff>126711</xdr:rowOff>
    </xdr:to>
    <xdr:sp macro="" textlink="">
      <xdr:nvSpPr>
        <xdr:cNvPr id="13" name="吹き出し: 角を丸めた四角形 62">
          <a:extLst>
            <a:ext uri="{FF2B5EF4-FFF2-40B4-BE49-F238E27FC236}">
              <a16:creationId xmlns:a16="http://schemas.microsoft.com/office/drawing/2014/main" id="{538DD3AF-09BD-45D3-8874-80C734759754}"/>
            </a:ext>
          </a:extLst>
        </xdr:cNvPr>
        <xdr:cNvSpPr/>
      </xdr:nvSpPr>
      <xdr:spPr>
        <a:xfrm>
          <a:off x="13068300" y="1663700"/>
          <a:ext cx="13309600" cy="1333211"/>
        </a:xfrm>
        <a:prstGeom prst="wedgeRoundRectCallout">
          <a:avLst>
            <a:gd name="adj1" fmla="val -44094"/>
            <a:gd name="adj2" fmla="val 1165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別表シートについて</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a:t>
          </a:r>
          <a:r>
            <a:rPr kumimoji="1" lang="en-US" altLang="ja-JP" sz="1400" b="0">
              <a:solidFill>
                <a:sysClr val="windowText" lastClr="000000"/>
              </a:solidFill>
              <a:latin typeface="Meiryo UI" panose="020B0604030504040204" pitchFamily="50" charset="-128"/>
              <a:ea typeface="Meiryo UI" panose="020B0604030504040204" pitchFamily="50" charset="-128"/>
            </a:rPr>
            <a:t>4.1(2)</a:t>
          </a:r>
          <a:r>
            <a:rPr kumimoji="1" lang="ja-JP" altLang="en-US" sz="1400" b="0">
              <a:solidFill>
                <a:sysClr val="windowText" lastClr="000000"/>
              </a:solidFill>
              <a:latin typeface="Meiryo UI" panose="020B0604030504040204" pitchFamily="50" charset="-128"/>
              <a:ea typeface="Meiryo UI" panose="020B0604030504040204" pitchFamily="50" charset="-128"/>
            </a:rPr>
            <a:t>新規再エネ導入予定（設備情報）において、「基幹設備」となる指定</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設備の場合、別表の記入をお願いします。</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　・</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4.1(2)</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新規再エネ導入予定の「設備情報」、「</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FS</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調査、系統接続検討情報」の各シートの入力情報が自動で反映された入力シートが生成されます。</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　・</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本シートの様式１への貼り付けは不要です。</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1258661</xdr:colOff>
      <xdr:row>1</xdr:row>
      <xdr:rowOff>126546</xdr:rowOff>
    </xdr:from>
    <xdr:to>
      <xdr:col>13</xdr:col>
      <xdr:colOff>1389591</xdr:colOff>
      <xdr:row>3</xdr:row>
      <xdr:rowOff>192352</xdr:rowOff>
    </xdr:to>
    <xdr:pic>
      <xdr:nvPicPr>
        <xdr:cNvPr id="2" name="図 1">
          <a:extLst>
            <a:ext uri="{FF2B5EF4-FFF2-40B4-BE49-F238E27FC236}">
              <a16:creationId xmlns:a16="http://schemas.microsoft.com/office/drawing/2014/main" id="{C5CE76A7-6B48-4898-9DE0-0FE85D7C85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65161" y="431346"/>
          <a:ext cx="2321680" cy="894481"/>
        </a:xfrm>
        <a:prstGeom prst="rect">
          <a:avLst/>
        </a:prstGeom>
      </xdr:spPr>
    </xdr:pic>
    <xdr:clientData/>
  </xdr:twoCellAnchor>
  <xdr:twoCellAnchor editAs="oneCell">
    <xdr:from>
      <xdr:col>5</xdr:col>
      <xdr:colOff>295275</xdr:colOff>
      <xdr:row>10</xdr:row>
      <xdr:rowOff>35300</xdr:rowOff>
    </xdr:from>
    <xdr:to>
      <xdr:col>6</xdr:col>
      <xdr:colOff>1732133</xdr:colOff>
      <xdr:row>13</xdr:row>
      <xdr:rowOff>152401</xdr:rowOff>
    </xdr:to>
    <xdr:sp macro="" textlink="">
      <xdr:nvSpPr>
        <xdr:cNvPr id="3" name="吹き出し: 角を丸めた四角形 62">
          <a:extLst>
            <a:ext uri="{FF2B5EF4-FFF2-40B4-BE49-F238E27FC236}">
              <a16:creationId xmlns:a16="http://schemas.microsoft.com/office/drawing/2014/main" id="{9E21806E-B211-4D8A-8174-AB91B4383B8E}"/>
            </a:ext>
          </a:extLst>
        </xdr:cNvPr>
        <xdr:cNvSpPr/>
      </xdr:nvSpPr>
      <xdr:spPr>
        <a:xfrm>
          <a:off x="5105400" y="2959475"/>
          <a:ext cx="2351258" cy="831476"/>
        </a:xfrm>
        <a:prstGeom prst="wedgeRoundRectCallout">
          <a:avLst>
            <a:gd name="adj1" fmla="val -37618"/>
            <a:gd name="adj2" fmla="val -8846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数量は、単位もつけて記入してください。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6</xdr:col>
      <xdr:colOff>2056358</xdr:colOff>
      <xdr:row>11</xdr:row>
      <xdr:rowOff>103654</xdr:rowOff>
    </xdr:from>
    <xdr:to>
      <xdr:col>8</xdr:col>
      <xdr:colOff>1362206</xdr:colOff>
      <xdr:row>18</xdr:row>
      <xdr:rowOff>137271</xdr:rowOff>
    </xdr:to>
    <xdr:sp macro="" textlink="">
      <xdr:nvSpPr>
        <xdr:cNvPr id="4" name="吹き出し: 角を丸めた四角形 62">
          <a:extLst>
            <a:ext uri="{FF2B5EF4-FFF2-40B4-BE49-F238E27FC236}">
              <a16:creationId xmlns:a16="http://schemas.microsoft.com/office/drawing/2014/main" id="{D7BE7B64-1E6E-4EAD-A279-97DF58827505}"/>
            </a:ext>
          </a:extLst>
        </xdr:cNvPr>
        <xdr:cNvSpPr/>
      </xdr:nvSpPr>
      <xdr:spPr>
        <a:xfrm>
          <a:off x="7780883" y="3265954"/>
          <a:ext cx="2896773" cy="1652867"/>
        </a:xfrm>
        <a:prstGeom prst="wedgeRoundRectCallout">
          <a:avLst>
            <a:gd name="adj1" fmla="val -32597"/>
            <a:gd name="adj2" fmla="val -9589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設備能力、発電量、先行地域へ供給する電力量は、単位をつけず、数値のみを記入してください。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9</xdr:col>
      <xdr:colOff>1016934</xdr:colOff>
      <xdr:row>11</xdr:row>
      <xdr:rowOff>58830</xdr:rowOff>
    </xdr:from>
    <xdr:to>
      <xdr:col>12</xdr:col>
      <xdr:colOff>205333</xdr:colOff>
      <xdr:row>18</xdr:row>
      <xdr:rowOff>92447</xdr:rowOff>
    </xdr:to>
    <xdr:sp macro="" textlink="">
      <xdr:nvSpPr>
        <xdr:cNvPr id="5" name="吹き出し: 角を丸めた四角形 62">
          <a:extLst>
            <a:ext uri="{FF2B5EF4-FFF2-40B4-BE49-F238E27FC236}">
              <a16:creationId xmlns:a16="http://schemas.microsoft.com/office/drawing/2014/main" id="{F000C6E7-4F59-4DA6-BBCE-541D20E3214D}"/>
            </a:ext>
          </a:extLst>
        </xdr:cNvPr>
        <xdr:cNvSpPr/>
      </xdr:nvSpPr>
      <xdr:spPr>
        <a:xfrm>
          <a:off x="11732559" y="3221130"/>
          <a:ext cx="2379274" cy="1652867"/>
        </a:xfrm>
        <a:prstGeom prst="wedgeRoundRectCallout">
          <a:avLst>
            <a:gd name="adj1" fmla="val 35218"/>
            <a:gd name="adj2" fmla="val -8846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FIT/</a:t>
          </a:r>
          <a:r>
            <a:rPr kumimoji="1" lang="ja-JP" altLang="en-US" sz="1400" b="0">
              <a:solidFill>
                <a:sysClr val="windowText" lastClr="000000"/>
              </a:solidFill>
              <a:latin typeface="Meiryo UI" panose="020B0604030504040204" pitchFamily="50" charset="-128"/>
              <a:ea typeface="Meiryo UI" panose="020B0604030504040204" pitchFamily="50" charset="-128"/>
            </a:rPr>
            <a:t>非</a:t>
          </a:r>
          <a:r>
            <a:rPr kumimoji="1" lang="en-US" altLang="ja-JP" sz="1400" b="0">
              <a:solidFill>
                <a:sysClr val="windowText" lastClr="000000"/>
              </a:solidFill>
              <a:latin typeface="Meiryo UI" panose="020B0604030504040204" pitchFamily="50" charset="-128"/>
              <a:ea typeface="Meiryo UI" panose="020B0604030504040204" pitchFamily="50" charset="-128"/>
            </a:rPr>
            <a:t>FIT</a:t>
          </a:r>
          <a:r>
            <a:rPr kumimoji="1" lang="ja-JP" altLang="en-US" sz="1400" b="0">
              <a:solidFill>
                <a:sysClr val="windowText" lastClr="000000"/>
              </a:solidFill>
              <a:latin typeface="Meiryo UI" panose="020B0604030504040204" pitchFamily="50" charset="-128"/>
              <a:ea typeface="Meiryo UI" panose="020B0604030504040204" pitchFamily="50" charset="-128"/>
            </a:rPr>
            <a:t>電源等、利用状況を記入してください。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12</xdr:col>
      <xdr:colOff>399381</xdr:colOff>
      <xdr:row>11</xdr:row>
      <xdr:rowOff>47625</xdr:rowOff>
    </xdr:from>
    <xdr:to>
      <xdr:col>15</xdr:col>
      <xdr:colOff>167037</xdr:colOff>
      <xdr:row>18</xdr:row>
      <xdr:rowOff>87592</xdr:rowOff>
    </xdr:to>
    <xdr:sp macro="" textlink="">
      <xdr:nvSpPr>
        <xdr:cNvPr id="6" name="吹き出し: 角を丸めた四角形 62">
          <a:extLst>
            <a:ext uri="{FF2B5EF4-FFF2-40B4-BE49-F238E27FC236}">
              <a16:creationId xmlns:a16="http://schemas.microsoft.com/office/drawing/2014/main" id="{1392CB05-5738-431D-B4B4-F93160F5C82A}"/>
            </a:ext>
          </a:extLst>
        </xdr:cNvPr>
        <xdr:cNvSpPr/>
      </xdr:nvSpPr>
      <xdr:spPr>
        <a:xfrm>
          <a:off x="14305881" y="3209925"/>
          <a:ext cx="3711006" cy="1659217"/>
        </a:xfrm>
        <a:prstGeom prst="wedgeRoundRectCallout">
          <a:avLst>
            <a:gd name="adj1" fmla="val -26657"/>
            <a:gd name="adj2" fmla="val -8933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供給方法・主体について記載してください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例：オフサイト</a:t>
          </a:r>
          <a:r>
            <a:rPr kumimoji="1" lang="en-US" altLang="ja-JP" sz="1400" b="0">
              <a:solidFill>
                <a:sysClr val="windowText" lastClr="000000"/>
              </a:solidFill>
              <a:latin typeface="Meiryo UI" panose="020B0604030504040204" pitchFamily="50" charset="-128"/>
              <a:ea typeface="Meiryo UI" panose="020B0604030504040204" pitchFamily="50" charset="-128"/>
            </a:rPr>
            <a:t>PPA</a:t>
          </a:r>
          <a:r>
            <a:rPr kumimoji="1" lang="ja-JP" altLang="en-US" sz="1400" b="0">
              <a:solidFill>
                <a:sysClr val="windowText" lastClr="000000"/>
              </a:solidFill>
              <a:latin typeface="Meiryo UI" panose="020B0604030504040204" pitchFamily="50" charset="-128"/>
              <a:ea typeface="Meiryo UI" panose="020B0604030504040204" pitchFamily="50" charset="-128"/>
            </a:rPr>
            <a:t>（小売電気事業者○○）</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9</xdr:col>
      <xdr:colOff>304611</xdr:colOff>
      <xdr:row>44</xdr:row>
      <xdr:rowOff>80289</xdr:rowOff>
    </xdr:from>
    <xdr:to>
      <xdr:col>12</xdr:col>
      <xdr:colOff>614992</xdr:colOff>
      <xdr:row>48</xdr:row>
      <xdr:rowOff>247569</xdr:rowOff>
    </xdr:to>
    <xdr:sp macro="" textlink="">
      <xdr:nvSpPr>
        <xdr:cNvPr id="7" name="吹き出し: 角を丸めた四角形 62">
          <a:extLst>
            <a:ext uri="{FF2B5EF4-FFF2-40B4-BE49-F238E27FC236}">
              <a16:creationId xmlns:a16="http://schemas.microsoft.com/office/drawing/2014/main" id="{C150B6F1-D647-4DF8-ABD1-02E48E209BE9}"/>
            </a:ext>
          </a:extLst>
        </xdr:cNvPr>
        <xdr:cNvSpPr/>
      </xdr:nvSpPr>
      <xdr:spPr>
        <a:xfrm>
          <a:off x="11020236" y="11443614"/>
          <a:ext cx="3501256" cy="1100730"/>
        </a:xfrm>
        <a:prstGeom prst="wedgeRoundRectCallout">
          <a:avLst>
            <a:gd name="adj1" fmla="val -43210"/>
            <a:gd name="adj2" fmla="val -8434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ガイドブック、計画提案書記載例を確認の上、</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計上する発電量を記載してください。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absolute">
    <xdr:from>
      <xdr:col>1</xdr:col>
      <xdr:colOff>195587</xdr:colOff>
      <xdr:row>3</xdr:row>
      <xdr:rowOff>114300</xdr:rowOff>
    </xdr:from>
    <xdr:to>
      <xdr:col>6</xdr:col>
      <xdr:colOff>85724</xdr:colOff>
      <xdr:row>5</xdr:row>
      <xdr:rowOff>93154</xdr:rowOff>
    </xdr:to>
    <xdr:sp macro="" textlink="">
      <xdr:nvSpPr>
        <xdr:cNvPr id="8" name="吹き出し: 角を丸めた四角形 4">
          <a:extLst>
            <a:ext uri="{FF2B5EF4-FFF2-40B4-BE49-F238E27FC236}">
              <a16:creationId xmlns:a16="http://schemas.microsoft.com/office/drawing/2014/main" id="{3F7CB0D3-E6FF-4641-8743-ED8D6F20BFD2}"/>
            </a:ext>
          </a:extLst>
        </xdr:cNvPr>
        <xdr:cNvSpPr/>
      </xdr:nvSpPr>
      <xdr:spPr>
        <a:xfrm>
          <a:off x="395612" y="1247775"/>
          <a:ext cx="5414637" cy="417004"/>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685801</xdr:colOff>
      <xdr:row>0</xdr:row>
      <xdr:rowOff>57149</xdr:rowOff>
    </xdr:from>
    <xdr:to>
      <xdr:col>8</xdr:col>
      <xdr:colOff>285750</xdr:colOff>
      <xdr:row>2</xdr:row>
      <xdr:rowOff>217165</xdr:rowOff>
    </xdr:to>
    <xdr:pic>
      <xdr:nvPicPr>
        <xdr:cNvPr id="2" name="図 1">
          <a:extLst>
            <a:ext uri="{FF2B5EF4-FFF2-40B4-BE49-F238E27FC236}">
              <a16:creationId xmlns:a16="http://schemas.microsoft.com/office/drawing/2014/main" id="{4F62AE23-4DF3-49E7-9F54-11C48F8093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3651" y="57149"/>
          <a:ext cx="1724024" cy="664841"/>
        </a:xfrm>
        <a:prstGeom prst="rect">
          <a:avLst/>
        </a:prstGeom>
      </xdr:spPr>
    </xdr:pic>
    <xdr:clientData/>
  </xdr:twoCellAnchor>
  <xdr:twoCellAnchor editAs="absolute">
    <xdr:from>
      <xdr:col>0</xdr:col>
      <xdr:colOff>47625</xdr:colOff>
      <xdr:row>2</xdr:row>
      <xdr:rowOff>37353</xdr:rowOff>
    </xdr:from>
    <xdr:to>
      <xdr:col>5</xdr:col>
      <xdr:colOff>1645711</xdr:colOff>
      <xdr:row>3</xdr:row>
      <xdr:rowOff>190500</xdr:rowOff>
    </xdr:to>
    <xdr:sp macro="" textlink="">
      <xdr:nvSpPr>
        <xdr:cNvPr id="3" name="吹き出し: 角を丸めた四角形 21">
          <a:extLst>
            <a:ext uri="{FF2B5EF4-FFF2-40B4-BE49-F238E27FC236}">
              <a16:creationId xmlns:a16="http://schemas.microsoft.com/office/drawing/2014/main" id="{0DA4A84F-1C86-4E0F-8723-7DF8F1A7A624}"/>
            </a:ext>
          </a:extLst>
        </xdr:cNvPr>
        <xdr:cNvSpPr/>
      </xdr:nvSpPr>
      <xdr:spPr>
        <a:xfrm>
          <a:off x="47625" y="542178"/>
          <a:ext cx="4598461" cy="943722"/>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rgbClr val="FF0000"/>
              </a:solidFill>
              <a:latin typeface="Meiryo UI" panose="020B0604030504040204" pitchFamily="50" charset="-128"/>
              <a:ea typeface="Meiryo UI" panose="020B0604030504040204" pitchFamily="50" charset="-128"/>
            </a:rPr>
            <a:t>本シートの数値は後続の電力供給状況、需要量、削減量のシートを入力することで自動的に反映されます</a:t>
          </a:r>
        </a:p>
      </xdr:txBody>
    </xdr:sp>
    <xdr:clientData/>
  </xdr:twoCellAnchor>
  <xdr:twoCellAnchor editAs="absolute">
    <xdr:from>
      <xdr:col>6</xdr:col>
      <xdr:colOff>226911</xdr:colOff>
      <xdr:row>1</xdr:row>
      <xdr:rowOff>57149</xdr:rowOff>
    </xdr:from>
    <xdr:to>
      <xdr:col>9</xdr:col>
      <xdr:colOff>495587</xdr:colOff>
      <xdr:row>4</xdr:row>
      <xdr:rowOff>19049</xdr:rowOff>
    </xdr:to>
    <xdr:sp macro="" textlink="">
      <xdr:nvSpPr>
        <xdr:cNvPr id="4" name="吹き出し: 角を丸めた四角形 3">
          <a:extLst>
            <a:ext uri="{FF2B5EF4-FFF2-40B4-BE49-F238E27FC236}">
              <a16:creationId xmlns:a16="http://schemas.microsoft.com/office/drawing/2014/main" id="{AE8AD43C-DB7D-422A-A63E-48EAF639965D}"/>
            </a:ext>
          </a:extLst>
        </xdr:cNvPr>
        <xdr:cNvSpPr/>
      </xdr:nvSpPr>
      <xdr:spPr>
        <a:xfrm>
          <a:off x="5379936" y="323849"/>
          <a:ext cx="3211901" cy="1228725"/>
        </a:xfrm>
        <a:prstGeom prst="wedgeRoundRectCallout">
          <a:avLst>
            <a:gd name="adj1" fmla="val -61952"/>
            <a:gd name="adj2" fmla="val 7507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電力供給状況</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民生部門</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シートに入力した電力供給量が</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自動計算で表示</a:t>
          </a:r>
          <a:r>
            <a:rPr kumimoji="1" lang="ja-JP" altLang="en-US" sz="1400" b="0">
              <a:solidFill>
                <a:sysClr val="windowText" lastClr="000000"/>
              </a:solidFill>
              <a:latin typeface="Meiryo UI" panose="020B0604030504040204" pitchFamily="50" charset="-128"/>
              <a:ea typeface="Meiryo UI" panose="020B0604030504040204" pitchFamily="50" charset="-128"/>
            </a:rPr>
            <a:t>されます</a:t>
          </a:r>
        </a:p>
      </xdr:txBody>
    </xdr:sp>
    <xdr:clientData/>
  </xdr:twoCellAnchor>
  <xdr:twoCellAnchor editAs="absolute">
    <xdr:from>
      <xdr:col>1</xdr:col>
      <xdr:colOff>33903</xdr:colOff>
      <xdr:row>17</xdr:row>
      <xdr:rowOff>87619</xdr:rowOff>
    </xdr:from>
    <xdr:to>
      <xdr:col>8</xdr:col>
      <xdr:colOff>180975</xdr:colOff>
      <xdr:row>19</xdr:row>
      <xdr:rowOff>38100</xdr:rowOff>
    </xdr:to>
    <xdr:sp macro="" textlink="">
      <xdr:nvSpPr>
        <xdr:cNvPr id="5" name="四角形: 角を丸くする 4">
          <a:extLst>
            <a:ext uri="{FF2B5EF4-FFF2-40B4-BE49-F238E27FC236}">
              <a16:creationId xmlns:a16="http://schemas.microsoft.com/office/drawing/2014/main" id="{6704BA2B-2FDD-47C3-BC45-5406CBD442BA}"/>
            </a:ext>
          </a:extLst>
        </xdr:cNvPr>
        <xdr:cNvSpPr/>
      </xdr:nvSpPr>
      <xdr:spPr>
        <a:xfrm>
          <a:off x="157728" y="6574144"/>
          <a:ext cx="7805172" cy="445781"/>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absolute">
    <xdr:from>
      <xdr:col>8</xdr:col>
      <xdr:colOff>300482</xdr:colOff>
      <xdr:row>5</xdr:row>
      <xdr:rowOff>180658</xdr:rowOff>
    </xdr:from>
    <xdr:to>
      <xdr:col>22</xdr:col>
      <xdr:colOff>601930</xdr:colOff>
      <xdr:row>8</xdr:row>
      <xdr:rowOff>266699</xdr:rowOff>
    </xdr:to>
    <xdr:sp macro="" textlink="">
      <xdr:nvSpPr>
        <xdr:cNvPr id="6" name="吹き出し: 角を丸めた四角形 4">
          <a:extLst>
            <a:ext uri="{FF2B5EF4-FFF2-40B4-BE49-F238E27FC236}">
              <a16:creationId xmlns:a16="http://schemas.microsoft.com/office/drawing/2014/main" id="{00500D87-46C3-4F84-A4A8-AE50D8B69DBF}"/>
            </a:ext>
          </a:extLst>
        </xdr:cNvPr>
        <xdr:cNvSpPr/>
      </xdr:nvSpPr>
      <xdr:spPr>
        <a:xfrm>
          <a:off x="8082407" y="2161858"/>
          <a:ext cx="4378148" cy="943291"/>
        </a:xfrm>
        <a:prstGeom prst="wedgeRoundRectCallout">
          <a:avLst>
            <a:gd name="adj1" fmla="val -61583"/>
            <a:gd name="adj2" fmla="val -9826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電力削減量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シートに入力した</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ja-JP" altLang="en-US" sz="1400" b="0">
              <a:solidFill>
                <a:sysClr val="windowText" lastClr="000000"/>
              </a:solidFill>
              <a:latin typeface="Meiryo UI" panose="020B0604030504040204" pitchFamily="50" charset="-128"/>
              <a:ea typeface="Meiryo UI" panose="020B0604030504040204" pitchFamily="50" charset="-128"/>
            </a:rPr>
            <a:t>省エネによる電力削減量が</a:t>
          </a:r>
          <a:r>
            <a:rPr kumimoji="1" lang="ja-JP" altLang="en-US" sz="1400" b="1">
              <a:solidFill>
                <a:sysClr val="windowText" lastClr="000000"/>
              </a:solidFill>
              <a:latin typeface="Meiryo UI" panose="020B0604030504040204" pitchFamily="50" charset="-128"/>
              <a:ea typeface="Meiryo UI" panose="020B0604030504040204" pitchFamily="50" charset="-128"/>
            </a:rPr>
            <a:t>自動計算で表示</a:t>
          </a:r>
          <a:r>
            <a:rPr kumimoji="1" lang="ja-JP" altLang="en-US" sz="1400" b="0">
              <a:solidFill>
                <a:sysClr val="windowText" lastClr="000000"/>
              </a:solidFill>
              <a:latin typeface="Meiryo UI" panose="020B0604030504040204" pitchFamily="50" charset="-128"/>
              <a:ea typeface="Meiryo UI" panose="020B0604030504040204" pitchFamily="50" charset="-128"/>
            </a:rPr>
            <a:t>されます</a:t>
          </a:r>
        </a:p>
      </xdr:txBody>
    </xdr:sp>
    <xdr:clientData/>
  </xdr:twoCellAnchor>
  <xdr:twoCellAnchor editAs="absolute">
    <xdr:from>
      <xdr:col>8</xdr:col>
      <xdr:colOff>46389</xdr:colOff>
      <xdr:row>8</xdr:row>
      <xdr:rowOff>320963</xdr:rowOff>
    </xdr:from>
    <xdr:to>
      <xdr:col>27</xdr:col>
      <xdr:colOff>617079</xdr:colOff>
      <xdr:row>27</xdr:row>
      <xdr:rowOff>232969</xdr:rowOff>
    </xdr:to>
    <xdr:pic>
      <xdr:nvPicPr>
        <xdr:cNvPr id="7" name="図 15">
          <a:extLst>
            <a:ext uri="{FF2B5EF4-FFF2-40B4-BE49-F238E27FC236}">
              <a16:creationId xmlns:a16="http://schemas.microsoft.com/office/drawing/2014/main" id="{7400BF45-F59E-4C98-B734-966E8409564B}"/>
            </a:ext>
          </a:extLst>
        </xdr:cNvPr>
        <xdr:cNvPicPr>
          <a:picLocks noChangeAspect="1"/>
        </xdr:cNvPicPr>
      </xdr:nvPicPr>
      <xdr:blipFill>
        <a:blip xmlns:r="http://schemas.openxmlformats.org/officeDocument/2006/relationships" r:embed="rId2"/>
        <a:stretch>
          <a:fillRect/>
        </a:stretch>
      </xdr:blipFill>
      <xdr:spPr>
        <a:xfrm>
          <a:off x="7828314" y="3159413"/>
          <a:ext cx="8076390" cy="5960381"/>
        </a:xfrm>
        <a:prstGeom prst="rect">
          <a:avLst/>
        </a:prstGeom>
      </xdr:spPr>
    </xdr:pic>
    <xdr:clientData/>
  </xdr:twoCellAnchor>
  <xdr:twoCellAnchor editAs="absolute">
    <xdr:from>
      <xdr:col>9</xdr:col>
      <xdr:colOff>960873</xdr:colOff>
      <xdr:row>1</xdr:row>
      <xdr:rowOff>56243</xdr:rowOff>
    </xdr:from>
    <xdr:to>
      <xdr:col>24</xdr:col>
      <xdr:colOff>318607</xdr:colOff>
      <xdr:row>4</xdr:row>
      <xdr:rowOff>400050</xdr:rowOff>
    </xdr:to>
    <xdr:sp macro="" textlink="">
      <xdr:nvSpPr>
        <xdr:cNvPr id="8" name="四角形: 角を丸くする 7">
          <a:extLst>
            <a:ext uri="{FF2B5EF4-FFF2-40B4-BE49-F238E27FC236}">
              <a16:creationId xmlns:a16="http://schemas.microsoft.com/office/drawing/2014/main" id="{FD1AB346-ACEB-4D04-A9C1-F2777C896F8D}"/>
            </a:ext>
          </a:extLst>
        </xdr:cNvPr>
        <xdr:cNvSpPr/>
      </xdr:nvSpPr>
      <xdr:spPr>
        <a:xfrm>
          <a:off x="9057123" y="322943"/>
          <a:ext cx="4491709" cy="1610632"/>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0" tIns="0" rIns="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「実質ゼロ」の計算式は左辺＝右辺となります。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再エネ等の電力供給量は、脱炭素先行地域内の電力需要量を上回って発電する場合でも、当該先行地域内の電力需要に供給される量のみを記載してください。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absolute">
    <xdr:from>
      <xdr:col>1</xdr:col>
      <xdr:colOff>66675</xdr:colOff>
      <xdr:row>8</xdr:row>
      <xdr:rowOff>209549</xdr:rowOff>
    </xdr:from>
    <xdr:to>
      <xdr:col>5</xdr:col>
      <xdr:colOff>549315</xdr:colOff>
      <xdr:row>11</xdr:row>
      <xdr:rowOff>66674</xdr:rowOff>
    </xdr:to>
    <xdr:sp macro="" textlink="">
      <xdr:nvSpPr>
        <xdr:cNvPr id="9" name="吹き出し: 角を丸めた四角形 3">
          <a:extLst>
            <a:ext uri="{FF2B5EF4-FFF2-40B4-BE49-F238E27FC236}">
              <a16:creationId xmlns:a16="http://schemas.microsoft.com/office/drawing/2014/main" id="{CB083084-057D-460D-8DA2-762AAA2DC596}"/>
            </a:ext>
          </a:extLst>
        </xdr:cNvPr>
        <xdr:cNvSpPr/>
      </xdr:nvSpPr>
      <xdr:spPr>
        <a:xfrm>
          <a:off x="190500" y="3047999"/>
          <a:ext cx="3359190" cy="1019175"/>
        </a:xfrm>
        <a:prstGeom prst="wedgeRoundRectCallout">
          <a:avLst>
            <a:gd name="adj1" fmla="val 2600"/>
            <a:gd name="adj2" fmla="val -11643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民生電力需要量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シートに入力した</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ja-JP" altLang="en-US" sz="1400" b="0">
              <a:solidFill>
                <a:sysClr val="windowText" lastClr="000000"/>
              </a:solidFill>
              <a:latin typeface="Meiryo UI" panose="020B0604030504040204" pitchFamily="50" charset="-128"/>
              <a:ea typeface="Meiryo UI" panose="020B0604030504040204" pitchFamily="50" charset="-128"/>
            </a:rPr>
            <a:t>電力需要量が</a:t>
          </a:r>
          <a:r>
            <a:rPr kumimoji="1" lang="ja-JP" altLang="en-US" sz="1400" b="1">
              <a:solidFill>
                <a:sysClr val="windowText" lastClr="000000"/>
              </a:solidFill>
              <a:latin typeface="Meiryo UI" panose="020B0604030504040204" pitchFamily="50" charset="-128"/>
              <a:ea typeface="Meiryo UI" panose="020B0604030504040204" pitchFamily="50" charset="-128"/>
            </a:rPr>
            <a:t>自動計算で表示</a:t>
          </a:r>
          <a:r>
            <a:rPr kumimoji="1" lang="ja-JP" altLang="en-US" sz="1400" b="0">
              <a:solidFill>
                <a:sysClr val="windowText" lastClr="000000"/>
              </a:solidFill>
              <a:latin typeface="Meiryo UI" panose="020B0604030504040204" pitchFamily="50" charset="-128"/>
              <a:ea typeface="Meiryo UI" panose="020B0604030504040204" pitchFamily="50" charset="-128"/>
            </a:rPr>
            <a:t>されます</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756707</xdr:colOff>
      <xdr:row>2</xdr:row>
      <xdr:rowOff>219352</xdr:rowOff>
    </xdr:from>
    <xdr:to>
      <xdr:col>9</xdr:col>
      <xdr:colOff>19050</xdr:colOff>
      <xdr:row>6</xdr:row>
      <xdr:rowOff>107240</xdr:rowOff>
    </xdr:to>
    <xdr:pic>
      <xdr:nvPicPr>
        <xdr:cNvPr id="66" name="図 65">
          <a:extLst>
            <a:ext uri="{FF2B5EF4-FFF2-40B4-BE49-F238E27FC236}">
              <a16:creationId xmlns:a16="http://schemas.microsoft.com/office/drawing/2014/main" id="{06984F09-D25F-4661-96BA-A28B8487BC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81107" y="724177"/>
          <a:ext cx="2243668" cy="868963"/>
        </a:xfrm>
        <a:prstGeom prst="rect">
          <a:avLst/>
        </a:prstGeom>
      </xdr:spPr>
    </xdr:pic>
    <xdr:clientData/>
  </xdr:twoCellAnchor>
  <xdr:twoCellAnchor editAs="absolute">
    <xdr:from>
      <xdr:col>4</xdr:col>
      <xdr:colOff>1085850</xdr:colOff>
      <xdr:row>1</xdr:row>
      <xdr:rowOff>161925</xdr:rowOff>
    </xdr:from>
    <xdr:to>
      <xdr:col>6</xdr:col>
      <xdr:colOff>473723</xdr:colOff>
      <xdr:row>4</xdr:row>
      <xdr:rowOff>132470</xdr:rowOff>
    </xdr:to>
    <xdr:sp macro="" textlink="">
      <xdr:nvSpPr>
        <xdr:cNvPr id="2" name="吹き出し: 角を丸めた四角形 13">
          <a:extLst>
            <a:ext uri="{FF2B5EF4-FFF2-40B4-BE49-F238E27FC236}">
              <a16:creationId xmlns:a16="http://schemas.microsoft.com/office/drawing/2014/main" id="{F6A123E9-A035-42D5-BA68-92E0D0502873}"/>
            </a:ext>
          </a:extLst>
        </xdr:cNvPr>
        <xdr:cNvSpPr/>
      </xdr:nvSpPr>
      <xdr:spPr>
        <a:xfrm>
          <a:off x="2809875" y="400050"/>
          <a:ext cx="2388248" cy="742070"/>
        </a:xfrm>
        <a:prstGeom prst="wedgeRoundRectCallout">
          <a:avLst>
            <a:gd name="adj1" fmla="val 50311"/>
            <a:gd name="adj2" fmla="val 11899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割合（</a:t>
          </a:r>
          <a:r>
            <a:rPr kumimoji="1" lang="en-US" altLang="ja-JP" sz="1400" b="0">
              <a:solidFill>
                <a:sysClr val="windowText" lastClr="000000"/>
              </a:solidFill>
              <a:latin typeface="Meiryo UI" panose="020B0604030504040204" pitchFamily="50" charset="-128"/>
              <a:ea typeface="Meiryo UI" panose="020B0604030504040204" pitchFamily="50" charset="-128"/>
            </a:rPr>
            <a:t>G</a:t>
          </a:r>
          <a:r>
            <a:rPr kumimoji="1" lang="ja-JP" altLang="en-US" sz="1400" b="0">
              <a:solidFill>
                <a:sysClr val="windowText" lastClr="000000"/>
              </a:solidFill>
              <a:latin typeface="Meiryo UI" panose="020B0604030504040204" pitchFamily="50" charset="-128"/>
              <a:ea typeface="Meiryo UI" panose="020B0604030504040204" pitchFamily="50" charset="-128"/>
            </a:rPr>
            <a:t>列）は自動計算されるため入力は不要です。</a:t>
          </a:r>
        </a:p>
      </xdr:txBody>
    </xdr:sp>
    <xdr:clientData/>
  </xdr:twoCellAnchor>
  <xdr:twoCellAnchor editAs="absolute">
    <xdr:from>
      <xdr:col>0</xdr:col>
      <xdr:colOff>95250</xdr:colOff>
      <xdr:row>17</xdr:row>
      <xdr:rowOff>19050</xdr:rowOff>
    </xdr:from>
    <xdr:to>
      <xdr:col>10</xdr:col>
      <xdr:colOff>676336</xdr:colOff>
      <xdr:row>24</xdr:row>
      <xdr:rowOff>171450</xdr:rowOff>
    </xdr:to>
    <xdr:sp macro="" textlink="">
      <xdr:nvSpPr>
        <xdr:cNvPr id="3" name="吹き出し: 角を丸めた四角形 13">
          <a:extLst>
            <a:ext uri="{FF2B5EF4-FFF2-40B4-BE49-F238E27FC236}">
              <a16:creationId xmlns:a16="http://schemas.microsoft.com/office/drawing/2014/main" id="{3936588F-F013-4F7B-B73E-7806FDE92A2C}"/>
            </a:ext>
          </a:extLst>
        </xdr:cNvPr>
        <xdr:cNvSpPr/>
      </xdr:nvSpPr>
      <xdr:spPr>
        <a:xfrm>
          <a:off x="95250" y="6067425"/>
          <a:ext cx="8486836" cy="3657600"/>
        </a:xfrm>
        <a:prstGeom prst="roundRect">
          <a:avLst>
            <a:gd name="adj" fmla="val 10959"/>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表の項目について</a:t>
          </a:r>
          <a:r>
            <a:rPr kumimoji="1" lang="en-US" altLang="ja-JP" sz="1400" b="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各項目の”単位”に注意をいただきながら、欄には</a:t>
          </a:r>
          <a:r>
            <a:rPr kumimoji="1" lang="ja-JP" altLang="en-US" sz="1400" b="0">
              <a:solidFill>
                <a:srgbClr val="FF0000"/>
              </a:solidFill>
              <a:latin typeface="Meiryo UI" panose="020B0604030504040204" pitchFamily="50" charset="-128"/>
              <a:ea typeface="Meiryo UI" panose="020B0604030504040204" pitchFamily="50" charset="-128"/>
            </a:rPr>
            <a:t>”数値のみ”を記入ください。</a:t>
          </a:r>
          <a:endParaRPr kumimoji="1" lang="en-US" altLang="ja-JP" sz="1400" b="0">
            <a:solidFill>
              <a:srgbClr val="FF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■取組の規模</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a:t>
          </a:r>
          <a:r>
            <a:rPr kumimoji="1" lang="ja-JP" altLang="en-US" sz="1400" b="0" u="sng">
              <a:solidFill>
                <a:sysClr val="windowText" lastClr="000000"/>
              </a:solidFill>
              <a:latin typeface="Meiryo UI" panose="020B0604030504040204" pitchFamily="50" charset="-128"/>
              <a:ea typeface="Meiryo UI" panose="020B0604030504040204" pitchFamily="50" charset="-128"/>
            </a:rPr>
            <a:t>脱炭素先行地域の</a:t>
          </a:r>
          <a:r>
            <a:rPr kumimoji="1" lang="ja-JP" altLang="en-US" sz="1400" b="0">
              <a:solidFill>
                <a:sysClr val="windowText" lastClr="000000"/>
              </a:solidFill>
              <a:latin typeface="Meiryo UI" panose="020B0604030504040204" pitchFamily="50" charset="-128"/>
              <a:ea typeface="Meiryo UI" panose="020B0604030504040204" pitchFamily="50" charset="-128"/>
            </a:rPr>
            <a:t>エリア面積、対象の民生需要家数、民生需要家の合計電力需要量を記入してください。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■提案地方公共団体内全域の数値</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a:t>
          </a:r>
          <a:r>
            <a:rPr kumimoji="1" lang="ja-JP" altLang="en-US" sz="1400" b="0" u="sng">
              <a:solidFill>
                <a:sysClr val="windowText" lastClr="000000"/>
              </a:solidFill>
              <a:latin typeface="Meiryo UI" panose="020B0604030504040204" pitchFamily="50" charset="-128"/>
              <a:ea typeface="Meiryo UI" panose="020B0604030504040204" pitchFamily="50" charset="-128"/>
            </a:rPr>
            <a:t>貴団体全域の</a:t>
          </a:r>
          <a:r>
            <a:rPr kumimoji="1" lang="ja-JP" altLang="en-US" sz="1400" b="0">
              <a:solidFill>
                <a:sysClr val="windowText" lastClr="000000"/>
              </a:solidFill>
              <a:latin typeface="Meiryo UI" panose="020B0604030504040204" pitchFamily="50" charset="-128"/>
              <a:ea typeface="Meiryo UI" panose="020B0604030504040204" pitchFamily="50" charset="-128"/>
            </a:rPr>
            <a:t>エリア面積、全域の民生需要家数、全域の民生需要家の合計電力需要量を記入してください。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■民生需要家「その他」について</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他のいずれの部門にも帰属しないエネルギー消費があればその他に記載してください。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なければ行削除して頂いて構いません。</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absolute">
    <xdr:from>
      <xdr:col>7</xdr:col>
      <xdr:colOff>1447800</xdr:colOff>
      <xdr:row>0</xdr:row>
      <xdr:rowOff>104775</xdr:rowOff>
    </xdr:from>
    <xdr:to>
      <xdr:col>23</xdr:col>
      <xdr:colOff>283921</xdr:colOff>
      <xdr:row>17</xdr:row>
      <xdr:rowOff>155090</xdr:rowOff>
    </xdr:to>
    <xdr:pic>
      <xdr:nvPicPr>
        <xdr:cNvPr id="4" name="図 2">
          <a:extLst>
            <a:ext uri="{FF2B5EF4-FFF2-40B4-BE49-F238E27FC236}">
              <a16:creationId xmlns:a16="http://schemas.microsoft.com/office/drawing/2014/main" id="{DDE2011A-D51A-4A5E-B022-90769C29A313}"/>
            </a:ext>
          </a:extLst>
        </xdr:cNvPr>
        <xdr:cNvPicPr>
          <a:picLocks noChangeAspect="1"/>
        </xdr:cNvPicPr>
      </xdr:nvPicPr>
      <xdr:blipFill>
        <a:blip xmlns:r="http://schemas.openxmlformats.org/officeDocument/2006/relationships" r:embed="rId2"/>
        <a:stretch>
          <a:fillRect/>
        </a:stretch>
      </xdr:blipFill>
      <xdr:spPr>
        <a:xfrm>
          <a:off x="7629525" y="104775"/>
          <a:ext cx="8103946" cy="6098690"/>
        </a:xfrm>
        <a:prstGeom prst="rect">
          <a:avLst/>
        </a:prstGeom>
      </xdr:spPr>
    </xdr:pic>
    <xdr:clientData/>
  </xdr:twoCellAnchor>
  <xdr:twoCellAnchor editAs="absolute">
    <xdr:from>
      <xdr:col>1</xdr:col>
      <xdr:colOff>19050</xdr:colOff>
      <xdr:row>14</xdr:row>
      <xdr:rowOff>428625</xdr:rowOff>
    </xdr:from>
    <xdr:to>
      <xdr:col>6</xdr:col>
      <xdr:colOff>1119661</xdr:colOff>
      <xdr:row>16</xdr:row>
      <xdr:rowOff>261803</xdr:rowOff>
    </xdr:to>
    <xdr:sp macro="" textlink="">
      <xdr:nvSpPr>
        <xdr:cNvPr id="5" name="吹き出し: 角を丸めた四角形 4">
          <a:extLst>
            <a:ext uri="{FF2B5EF4-FFF2-40B4-BE49-F238E27FC236}">
              <a16:creationId xmlns:a16="http://schemas.microsoft.com/office/drawing/2014/main" id="{60096A72-B779-4394-8B77-7FC9A424C245}"/>
            </a:ext>
          </a:extLst>
        </xdr:cNvPr>
        <xdr:cNvSpPr/>
      </xdr:nvSpPr>
      <xdr:spPr>
        <a:xfrm>
          <a:off x="257175" y="5334000"/>
          <a:ext cx="5586886" cy="538028"/>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476250</xdr:colOff>
      <xdr:row>0</xdr:row>
      <xdr:rowOff>137583</xdr:rowOff>
    </xdr:from>
    <xdr:to>
      <xdr:col>13</xdr:col>
      <xdr:colOff>52916</xdr:colOff>
      <xdr:row>4</xdr:row>
      <xdr:rowOff>122056</xdr:rowOff>
    </xdr:to>
    <xdr:pic>
      <xdr:nvPicPr>
        <xdr:cNvPr id="2" name="図 1">
          <a:extLst>
            <a:ext uri="{FF2B5EF4-FFF2-40B4-BE49-F238E27FC236}">
              <a16:creationId xmlns:a16="http://schemas.microsoft.com/office/drawing/2014/main" id="{177CB845-B228-4A37-9008-195EF63523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3333" y="137583"/>
          <a:ext cx="2444750" cy="958140"/>
        </a:xfrm>
        <a:prstGeom prst="rect">
          <a:avLst/>
        </a:prstGeom>
      </xdr:spPr>
    </xdr:pic>
    <xdr:clientData/>
  </xdr:twoCellAnchor>
  <xdr:twoCellAnchor editAs="absolute">
    <xdr:from>
      <xdr:col>1</xdr:col>
      <xdr:colOff>38030</xdr:colOff>
      <xdr:row>2</xdr:row>
      <xdr:rowOff>136073</xdr:rowOff>
    </xdr:from>
    <xdr:to>
      <xdr:col>6</xdr:col>
      <xdr:colOff>714375</xdr:colOff>
      <xdr:row>5</xdr:row>
      <xdr:rowOff>183500</xdr:rowOff>
    </xdr:to>
    <xdr:sp macro="" textlink="">
      <xdr:nvSpPr>
        <xdr:cNvPr id="4" name="吹き出し: 角を丸めた四角形 21">
          <a:extLst>
            <a:ext uri="{FF2B5EF4-FFF2-40B4-BE49-F238E27FC236}">
              <a16:creationId xmlns:a16="http://schemas.microsoft.com/office/drawing/2014/main" id="{17AFD556-08DC-4763-9949-AD55A5D1CE77}"/>
            </a:ext>
          </a:extLst>
        </xdr:cNvPr>
        <xdr:cNvSpPr/>
      </xdr:nvSpPr>
      <xdr:spPr>
        <a:xfrm>
          <a:off x="219005" y="612323"/>
          <a:ext cx="4695895" cy="761802"/>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本シートの数値は後続の電力供給状況、需要量、削減量のシートを入力することで自動的に反映されます</a:t>
          </a:r>
        </a:p>
      </xdr:txBody>
    </xdr:sp>
    <xdr:clientData/>
  </xdr:twoCellAnchor>
  <xdr:twoCellAnchor editAs="absolute">
    <xdr:from>
      <xdr:col>12</xdr:col>
      <xdr:colOff>1081975</xdr:colOff>
      <xdr:row>1</xdr:row>
      <xdr:rowOff>190500</xdr:rowOff>
    </xdr:from>
    <xdr:to>
      <xdr:col>34</xdr:col>
      <xdr:colOff>264659</xdr:colOff>
      <xdr:row>20</xdr:row>
      <xdr:rowOff>103221</xdr:rowOff>
    </xdr:to>
    <xdr:pic>
      <xdr:nvPicPr>
        <xdr:cNvPr id="5" name="図 2">
          <a:extLst>
            <a:ext uri="{FF2B5EF4-FFF2-40B4-BE49-F238E27FC236}">
              <a16:creationId xmlns:a16="http://schemas.microsoft.com/office/drawing/2014/main" id="{878C539B-6C73-4873-B955-5CEA49AA7749}"/>
            </a:ext>
          </a:extLst>
        </xdr:cNvPr>
        <xdr:cNvPicPr>
          <a:picLocks noChangeAspect="1"/>
        </xdr:cNvPicPr>
      </xdr:nvPicPr>
      <xdr:blipFill>
        <a:blip xmlns:r="http://schemas.openxmlformats.org/officeDocument/2006/relationships" r:embed="rId2"/>
        <a:stretch>
          <a:fillRect/>
        </a:stretch>
      </xdr:blipFill>
      <xdr:spPr>
        <a:xfrm>
          <a:off x="12407200" y="428625"/>
          <a:ext cx="7907584" cy="6294471"/>
        </a:xfrm>
        <a:prstGeom prst="rect">
          <a:avLst/>
        </a:prstGeom>
      </xdr:spPr>
    </xdr:pic>
    <xdr:clientData/>
  </xdr:twoCellAnchor>
  <xdr:twoCellAnchor editAs="absolute">
    <xdr:from>
      <xdr:col>4</xdr:col>
      <xdr:colOff>503465</xdr:colOff>
      <xdr:row>20</xdr:row>
      <xdr:rowOff>9802</xdr:rowOff>
    </xdr:from>
    <xdr:to>
      <xdr:col>7</xdr:col>
      <xdr:colOff>434192</xdr:colOff>
      <xdr:row>23</xdr:row>
      <xdr:rowOff>228600</xdr:rowOff>
    </xdr:to>
    <xdr:sp macro="" textlink="">
      <xdr:nvSpPr>
        <xdr:cNvPr id="6" name="吹き出し: 角を丸めた四角形 21">
          <a:extLst>
            <a:ext uri="{FF2B5EF4-FFF2-40B4-BE49-F238E27FC236}">
              <a16:creationId xmlns:a16="http://schemas.microsoft.com/office/drawing/2014/main" id="{3E48BBE0-CB5D-4845-AFE4-DB98FA9805EA}"/>
            </a:ext>
          </a:extLst>
        </xdr:cNvPr>
        <xdr:cNvSpPr/>
      </xdr:nvSpPr>
      <xdr:spPr>
        <a:xfrm>
          <a:off x="1370240" y="6629677"/>
          <a:ext cx="4150302" cy="1237973"/>
        </a:xfrm>
        <a:prstGeom prst="wedgeRoundRectCallout">
          <a:avLst>
            <a:gd name="adj1" fmla="val 27968"/>
            <a:gd name="adj2" fmla="val -17591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各需要家の</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数量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を入力してください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その他の数値に関する項目は他シートに入力する値を参照しているため、入力は不要です</a:t>
          </a:r>
        </a:p>
      </xdr:txBody>
    </xdr:sp>
    <xdr:clientData/>
  </xdr:twoCellAnchor>
  <xdr:twoCellAnchor editAs="absolute">
    <xdr:from>
      <xdr:col>6</xdr:col>
      <xdr:colOff>820718</xdr:colOff>
      <xdr:row>3</xdr:row>
      <xdr:rowOff>116476</xdr:rowOff>
    </xdr:from>
    <xdr:to>
      <xdr:col>11</xdr:col>
      <xdr:colOff>488497</xdr:colOff>
      <xdr:row>5</xdr:row>
      <xdr:rowOff>164647</xdr:rowOff>
    </xdr:to>
    <xdr:sp macro="" textlink="">
      <xdr:nvSpPr>
        <xdr:cNvPr id="7" name="吹き出し: 角を丸めた四角形 4">
          <a:extLst>
            <a:ext uri="{FF2B5EF4-FFF2-40B4-BE49-F238E27FC236}">
              <a16:creationId xmlns:a16="http://schemas.microsoft.com/office/drawing/2014/main" id="{4A9665D9-50FC-4E27-893D-7C2A1FEC5F1D}"/>
            </a:ext>
          </a:extLst>
        </xdr:cNvPr>
        <xdr:cNvSpPr/>
      </xdr:nvSpPr>
      <xdr:spPr>
        <a:xfrm>
          <a:off x="5021243" y="830851"/>
          <a:ext cx="5582804" cy="524421"/>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absolute">
    <xdr:from>
      <xdr:col>7</xdr:col>
      <xdr:colOff>1038556</xdr:colOff>
      <xdr:row>19</xdr:row>
      <xdr:rowOff>117338</xdr:rowOff>
    </xdr:from>
    <xdr:to>
      <xdr:col>10</xdr:col>
      <xdr:colOff>780020</xdr:colOff>
      <xdr:row>22</xdr:row>
      <xdr:rowOff>39779</xdr:rowOff>
    </xdr:to>
    <xdr:sp macro="" textlink="">
      <xdr:nvSpPr>
        <xdr:cNvPr id="8" name="吹き出し: 角を丸めた四角形 7">
          <a:extLst>
            <a:ext uri="{FF2B5EF4-FFF2-40B4-BE49-F238E27FC236}">
              <a16:creationId xmlns:a16="http://schemas.microsoft.com/office/drawing/2014/main" id="{014264C9-06A9-4379-B0AE-6D49F1C4A9D0}"/>
            </a:ext>
          </a:extLst>
        </xdr:cNvPr>
        <xdr:cNvSpPr/>
      </xdr:nvSpPr>
      <xdr:spPr>
        <a:xfrm>
          <a:off x="6124906" y="6499088"/>
          <a:ext cx="3560989" cy="941616"/>
        </a:xfrm>
        <a:prstGeom prst="wedgeRoundRectCallout">
          <a:avLst>
            <a:gd name="adj1" fmla="val -48172"/>
            <a:gd name="adj2" fmla="val -9106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割合が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100</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％となるように、電力需要量、再エネ等の供給量、電力削減量を検討してください</a:t>
          </a:r>
          <a:endParaRPr kumimoji="1" lang="ja-JP" altLang="en-US"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355985</xdr:colOff>
      <xdr:row>2</xdr:row>
      <xdr:rowOff>147331</xdr:rowOff>
    </xdr:from>
    <xdr:to>
      <xdr:col>13</xdr:col>
      <xdr:colOff>9623</xdr:colOff>
      <xdr:row>5</xdr:row>
      <xdr:rowOff>165626</xdr:rowOff>
    </xdr:to>
    <xdr:pic>
      <xdr:nvPicPr>
        <xdr:cNvPr id="3" name="図 2">
          <a:extLst>
            <a:ext uri="{FF2B5EF4-FFF2-40B4-BE49-F238E27FC236}">
              <a16:creationId xmlns:a16="http://schemas.microsoft.com/office/drawing/2014/main" id="{4F7A3D80-62F1-498F-8999-1DCDB1A04B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0833" y="628392"/>
          <a:ext cx="2049320" cy="807234"/>
        </a:xfrm>
        <a:prstGeom prst="rect">
          <a:avLst/>
        </a:prstGeom>
      </xdr:spPr>
    </xdr:pic>
    <xdr:clientData/>
  </xdr:twoCellAnchor>
  <xdr:twoCellAnchor editAs="oneCell">
    <xdr:from>
      <xdr:col>3</xdr:col>
      <xdr:colOff>311604</xdr:colOff>
      <xdr:row>13</xdr:row>
      <xdr:rowOff>219075</xdr:rowOff>
    </xdr:from>
    <xdr:to>
      <xdr:col>4</xdr:col>
      <xdr:colOff>2037443</xdr:colOff>
      <xdr:row>20</xdr:row>
      <xdr:rowOff>185374</xdr:rowOff>
    </xdr:to>
    <xdr:sp macro="" textlink="">
      <xdr:nvSpPr>
        <xdr:cNvPr id="2" name="吹き出し: 角を丸めた四角形 16">
          <a:extLst>
            <a:ext uri="{FF2B5EF4-FFF2-40B4-BE49-F238E27FC236}">
              <a16:creationId xmlns:a16="http://schemas.microsoft.com/office/drawing/2014/main" id="{A12E9547-9F3B-405D-933C-23F85C3FB134}"/>
            </a:ext>
          </a:extLst>
        </xdr:cNvPr>
        <xdr:cNvSpPr/>
      </xdr:nvSpPr>
      <xdr:spPr>
        <a:xfrm>
          <a:off x="911679" y="3400425"/>
          <a:ext cx="2125889" cy="1156924"/>
        </a:xfrm>
        <a:prstGeom prst="wedgeRoundRectCallout">
          <a:avLst>
            <a:gd name="adj1" fmla="val 60035"/>
            <a:gd name="adj2" fmla="val -2600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rPr>
            <a:t>民生・家庭の場合</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rPr>
            <a:t>既存住宅</a:t>
          </a:r>
          <a:r>
            <a:rPr kumimoji="1" lang="en-US" altLang="ja-JP"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rPr>
            <a:t>/</a:t>
          </a:r>
          <a:r>
            <a:rPr kumimoji="1" lang="ja-JP" altLang="en-US"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rPr>
            <a:t>新築住宅</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cs typeface="Microsoft GothicNeo" panose="020B0503020000020004" pitchFamily="34" charset="-127"/>
            </a:rPr>
            <a:t>を選択してください</a:t>
          </a:r>
        </a:p>
      </xdr:txBody>
    </xdr:sp>
    <xdr:clientData/>
  </xdr:twoCellAnchor>
  <xdr:twoCellAnchor editAs="oneCell">
    <xdr:from>
      <xdr:col>8</xdr:col>
      <xdr:colOff>3175</xdr:colOff>
      <xdr:row>2</xdr:row>
      <xdr:rowOff>108855</xdr:rowOff>
    </xdr:from>
    <xdr:to>
      <xdr:col>10</xdr:col>
      <xdr:colOff>287314</xdr:colOff>
      <xdr:row>5</xdr:row>
      <xdr:rowOff>133350</xdr:rowOff>
    </xdr:to>
    <xdr:sp macro="" textlink="">
      <xdr:nvSpPr>
        <xdr:cNvPr id="4" name="吹き出し: 角を丸めた四角形 1">
          <a:extLst>
            <a:ext uri="{FF2B5EF4-FFF2-40B4-BE49-F238E27FC236}">
              <a16:creationId xmlns:a16="http://schemas.microsoft.com/office/drawing/2014/main" id="{E02A26AE-6CF5-4852-A084-EEEB17B3AEF7}"/>
            </a:ext>
          </a:extLst>
        </xdr:cNvPr>
        <xdr:cNvSpPr/>
      </xdr:nvSpPr>
      <xdr:spPr>
        <a:xfrm>
          <a:off x="5956300" y="585105"/>
          <a:ext cx="2322489" cy="805545"/>
        </a:xfrm>
        <a:prstGeom prst="wedgeRoundRectCallout">
          <a:avLst>
            <a:gd name="adj1" fmla="val 40233"/>
            <a:gd name="adj2" fmla="val 8166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小計は自動計算されるため</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K</a:t>
          </a:r>
          <a:r>
            <a:rPr kumimoji="1" lang="ja-JP" altLang="en-US" sz="1400" b="0">
              <a:solidFill>
                <a:sysClr val="windowText" lastClr="000000"/>
              </a:solidFill>
              <a:latin typeface="Meiryo UI" panose="020B0604030504040204" pitchFamily="50" charset="-128"/>
              <a:ea typeface="Meiryo UI" panose="020B0604030504040204" pitchFamily="50" charset="-128"/>
            </a:rPr>
            <a:t>列への入力は不要です</a:t>
          </a:r>
        </a:p>
      </xdr:txBody>
    </xdr:sp>
    <xdr:clientData/>
  </xdr:twoCellAnchor>
  <xdr:twoCellAnchor editAs="oneCell">
    <xdr:from>
      <xdr:col>4</xdr:col>
      <xdr:colOff>236764</xdr:colOff>
      <xdr:row>20</xdr:row>
      <xdr:rowOff>219075</xdr:rowOff>
    </xdr:from>
    <xdr:to>
      <xdr:col>5</xdr:col>
      <xdr:colOff>38100</xdr:colOff>
      <xdr:row>32</xdr:row>
      <xdr:rowOff>180975</xdr:rowOff>
    </xdr:to>
    <xdr:sp macro="" textlink="">
      <xdr:nvSpPr>
        <xdr:cNvPr id="5" name="吹き出し: 角を丸めた四角形 62">
          <a:extLst>
            <a:ext uri="{FF2B5EF4-FFF2-40B4-BE49-F238E27FC236}">
              <a16:creationId xmlns:a16="http://schemas.microsoft.com/office/drawing/2014/main" id="{1E3121DC-CE04-4814-A163-62B14549F580}"/>
            </a:ext>
          </a:extLst>
        </xdr:cNvPr>
        <xdr:cNvSpPr/>
      </xdr:nvSpPr>
      <xdr:spPr>
        <a:xfrm>
          <a:off x="1236889" y="4591050"/>
          <a:ext cx="1973036" cy="2343150"/>
        </a:xfrm>
        <a:prstGeom prst="wedgeRoundRectCallout">
          <a:avLst>
            <a:gd name="adj1" fmla="val -107250"/>
            <a:gd name="adj2" fmla="val -4322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対象が入力されていない行</a:t>
          </a:r>
          <a:r>
            <a:rPr kumimoji="1" lang="ja-JP" altLang="en-US" sz="1400" b="0">
              <a:solidFill>
                <a:sysClr val="windowText" lastClr="000000"/>
              </a:solidFill>
              <a:latin typeface="Meiryo UI" panose="020B0604030504040204" pitchFamily="50" charset="-128"/>
              <a:ea typeface="Meiryo UI" panose="020B0604030504040204" pitchFamily="50" charset="-128"/>
            </a:rPr>
            <a:t>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行の削除</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コピーした行の挿入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による行の追加が可能です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追加方法は表右下の吹き出し参照</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editAs="oneCell">
    <xdr:from>
      <xdr:col>6</xdr:col>
      <xdr:colOff>48078</xdr:colOff>
      <xdr:row>28</xdr:row>
      <xdr:rowOff>183696</xdr:rowOff>
    </xdr:from>
    <xdr:to>
      <xdr:col>8</xdr:col>
      <xdr:colOff>276678</xdr:colOff>
      <xdr:row>36</xdr:row>
      <xdr:rowOff>47625</xdr:rowOff>
    </xdr:to>
    <xdr:sp macro="" textlink="">
      <xdr:nvSpPr>
        <xdr:cNvPr id="7" name="吹き出し: 角を丸めた四角形 17">
          <a:extLst>
            <a:ext uri="{FF2B5EF4-FFF2-40B4-BE49-F238E27FC236}">
              <a16:creationId xmlns:a16="http://schemas.microsoft.com/office/drawing/2014/main" id="{9EBB7E20-0BDD-4613-94F8-75C301AF59BA}"/>
            </a:ext>
          </a:extLst>
        </xdr:cNvPr>
        <xdr:cNvSpPr/>
      </xdr:nvSpPr>
      <xdr:spPr>
        <a:xfrm>
          <a:off x="4048578" y="6222546"/>
          <a:ext cx="2181225" cy="1292679"/>
        </a:xfrm>
        <a:prstGeom prst="wedgeRoundRectCallout">
          <a:avLst>
            <a:gd name="adj1" fmla="val -65257"/>
            <a:gd name="adj2" fmla="val -2651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民生・業務その他の場合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新規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既存</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建替</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を選択してください</a:t>
          </a:r>
        </a:p>
      </xdr:txBody>
    </xdr:sp>
    <xdr:clientData/>
  </xdr:twoCellAnchor>
  <xdr:twoCellAnchor editAs="oneCell">
    <xdr:from>
      <xdr:col>4</xdr:col>
      <xdr:colOff>1686378</xdr:colOff>
      <xdr:row>36</xdr:row>
      <xdr:rowOff>82551</xdr:rowOff>
    </xdr:from>
    <xdr:to>
      <xdr:col>8</xdr:col>
      <xdr:colOff>683157</xdr:colOff>
      <xdr:row>42</xdr:row>
      <xdr:rowOff>28576</xdr:rowOff>
    </xdr:to>
    <xdr:sp macro="" textlink="">
      <xdr:nvSpPr>
        <xdr:cNvPr id="8" name="吹き出し: 角を丸めた四角形 2">
          <a:extLst>
            <a:ext uri="{FF2B5EF4-FFF2-40B4-BE49-F238E27FC236}">
              <a16:creationId xmlns:a16="http://schemas.microsoft.com/office/drawing/2014/main" id="{35E67294-6497-4F85-8CEA-EACF380A25C0}"/>
            </a:ext>
          </a:extLst>
        </xdr:cNvPr>
        <xdr:cNvSpPr/>
      </xdr:nvSpPr>
      <xdr:spPr>
        <a:xfrm>
          <a:off x="2686503" y="7550151"/>
          <a:ext cx="3949779" cy="1136650"/>
        </a:xfrm>
        <a:prstGeom prst="wedgeRoundRectCallout">
          <a:avLst>
            <a:gd name="adj1" fmla="val -99437"/>
            <a:gd name="adj2" fmla="val -8295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「対象」が入力されている行</a:t>
          </a:r>
          <a:r>
            <a:rPr kumimoji="1" lang="ja-JP" altLang="en-US" sz="1400" b="0">
              <a:solidFill>
                <a:sysClr val="windowText" lastClr="000000"/>
              </a:solidFill>
              <a:latin typeface="Meiryo UI" panose="020B0604030504040204" pitchFamily="50" charset="-128"/>
              <a:ea typeface="Meiryo UI" panose="020B0604030504040204" pitchFamily="50" charset="-128"/>
            </a:rPr>
            <a:t>を</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コピーしたセルの挿入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にて複製すると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エラーの原因になりますのでお控えください</a:t>
          </a:r>
          <a:endParaRPr kumimoji="1" lang="ja-JP" altLang="en-US"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editAs="oneCell">
    <xdr:from>
      <xdr:col>5</xdr:col>
      <xdr:colOff>71663</xdr:colOff>
      <xdr:row>45</xdr:row>
      <xdr:rowOff>28573</xdr:rowOff>
    </xdr:from>
    <xdr:to>
      <xdr:col>7</xdr:col>
      <xdr:colOff>571500</xdr:colOff>
      <xdr:row>50</xdr:row>
      <xdr:rowOff>257174</xdr:rowOff>
    </xdr:to>
    <xdr:sp macro="" textlink="">
      <xdr:nvSpPr>
        <xdr:cNvPr id="10" name="吹き出し: 角を丸めた四角形 15">
          <a:extLst>
            <a:ext uri="{FF2B5EF4-FFF2-40B4-BE49-F238E27FC236}">
              <a16:creationId xmlns:a16="http://schemas.microsoft.com/office/drawing/2014/main" id="{4C8FE1CD-849F-4B2B-9612-13C873C243CD}"/>
            </a:ext>
          </a:extLst>
        </xdr:cNvPr>
        <xdr:cNvSpPr/>
      </xdr:nvSpPr>
      <xdr:spPr>
        <a:xfrm>
          <a:off x="3243488" y="9163048"/>
          <a:ext cx="2119087" cy="1276351"/>
        </a:xfrm>
        <a:prstGeom prst="wedgeRoundRectCallout">
          <a:avLst>
            <a:gd name="adj1" fmla="val -33762"/>
            <a:gd name="adj2" fmla="val -7404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公共の場合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新規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既存</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建替</a:t>
          </a: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を選択してください</a:t>
          </a:r>
        </a:p>
      </xdr:txBody>
    </xdr:sp>
    <xdr:clientData/>
  </xdr:twoCellAnchor>
  <xdr:twoCellAnchor>
    <xdr:from>
      <xdr:col>9</xdr:col>
      <xdr:colOff>452992</xdr:colOff>
      <xdr:row>18</xdr:row>
      <xdr:rowOff>87662</xdr:rowOff>
    </xdr:from>
    <xdr:to>
      <xdr:col>26</xdr:col>
      <xdr:colOff>185509</xdr:colOff>
      <xdr:row>42</xdr:row>
      <xdr:rowOff>66675</xdr:rowOff>
    </xdr:to>
    <xdr:grpSp>
      <xdr:nvGrpSpPr>
        <xdr:cNvPr id="11" name="グループ化 10">
          <a:extLst>
            <a:ext uri="{FF2B5EF4-FFF2-40B4-BE49-F238E27FC236}">
              <a16:creationId xmlns:a16="http://schemas.microsoft.com/office/drawing/2014/main" id="{D727B252-58E6-4E34-A802-1A4A9B64EE03}"/>
            </a:ext>
          </a:extLst>
        </xdr:cNvPr>
        <xdr:cNvGrpSpPr/>
      </xdr:nvGrpSpPr>
      <xdr:grpSpPr>
        <a:xfrm>
          <a:off x="7422117" y="4104037"/>
          <a:ext cx="3580617" cy="4322413"/>
          <a:chOff x="7007728" y="4517133"/>
          <a:chExt cx="4068758" cy="4214891"/>
        </a:xfrm>
      </xdr:grpSpPr>
      <xdr:sp macro="" textlink="">
        <xdr:nvSpPr>
          <xdr:cNvPr id="12" name="吹き出し: 角を丸めた四角形 15">
            <a:extLst>
              <a:ext uri="{FF2B5EF4-FFF2-40B4-BE49-F238E27FC236}">
                <a16:creationId xmlns:a16="http://schemas.microsoft.com/office/drawing/2014/main" id="{88DC9CFA-FB32-99F9-5CAD-7159A6731B9D}"/>
              </a:ext>
            </a:extLst>
          </xdr:cNvPr>
          <xdr:cNvSpPr/>
        </xdr:nvSpPr>
        <xdr:spPr>
          <a:xfrm>
            <a:off x="7007728" y="4517133"/>
            <a:ext cx="4068758" cy="4214891"/>
          </a:xfrm>
          <a:prstGeom prst="wedgeRoundRectCallout">
            <a:avLst>
              <a:gd name="adj1" fmla="val -39596"/>
              <a:gd name="adj2" fmla="val -9546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0" tIns="72000" rIns="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施設の立地を</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範囲内</a:t>
            </a:r>
            <a:r>
              <a:rPr kumimoji="1" lang="en-US" altLang="ja-JP" sz="14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範囲外</a:t>
            </a:r>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から選択してください</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 範囲内：主として取組を実施する範囲</a:t>
            </a:r>
          </a:p>
          <a:p>
            <a:pPr algn="l"/>
            <a:r>
              <a:rPr kumimoji="1" lang="ja-JP" altLang="en-US" sz="1400" b="0">
                <a:solidFill>
                  <a:sysClr val="windowText" lastClr="000000"/>
                </a:solidFill>
                <a:latin typeface="ＭＳ ゴシック" panose="020B0609070205080204" pitchFamily="49" charset="-128"/>
                <a:ea typeface="ＭＳ ゴシック" panose="020B0609070205080204" pitchFamily="49" charset="-128"/>
              </a:rPr>
              <a:t> 範囲外：範囲外に別に付加された施設群</a:t>
            </a:r>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400" b="0">
              <a:solidFill>
                <a:sysClr val="windowText" lastClr="000000"/>
              </a:solidFill>
              <a:latin typeface="ＭＳ ゴシック" panose="020B0609070205080204" pitchFamily="49" charset="-128"/>
              <a:ea typeface="ＭＳ ゴシック" panose="020B0609070205080204" pitchFamily="49" charset="-128"/>
            </a:endParaRPr>
          </a:p>
        </xdr:txBody>
      </xdr:sp>
      <xdr:grpSp>
        <xdr:nvGrpSpPr>
          <xdr:cNvPr id="13" name="グループ化 12">
            <a:extLst>
              <a:ext uri="{FF2B5EF4-FFF2-40B4-BE49-F238E27FC236}">
                <a16:creationId xmlns:a16="http://schemas.microsoft.com/office/drawing/2014/main" id="{6A26B983-0B3C-5F6D-D5DA-3356462A0D45}"/>
              </a:ext>
            </a:extLst>
          </xdr:cNvPr>
          <xdr:cNvGrpSpPr/>
        </xdr:nvGrpSpPr>
        <xdr:grpSpPr>
          <a:xfrm>
            <a:off x="7648163" y="5848630"/>
            <a:ext cx="2735982" cy="2036976"/>
            <a:chOff x="4922747" y="7765974"/>
            <a:chExt cx="2250793" cy="1708764"/>
          </a:xfrm>
        </xdr:grpSpPr>
        <xdr:sp macro="" textlink="">
          <xdr:nvSpPr>
            <xdr:cNvPr id="17" name="正方形/長方形 16">
              <a:extLst>
                <a:ext uri="{FF2B5EF4-FFF2-40B4-BE49-F238E27FC236}">
                  <a16:creationId xmlns:a16="http://schemas.microsoft.com/office/drawing/2014/main" id="{CDF83E78-E731-2D03-D7DB-6F22B64FFA9E}"/>
                </a:ext>
              </a:extLst>
            </xdr:cNvPr>
            <xdr:cNvSpPr/>
          </xdr:nvSpPr>
          <xdr:spPr>
            <a:xfrm>
              <a:off x="5326409" y="7794825"/>
              <a:ext cx="1767189" cy="825893"/>
            </a:xfrm>
            <a:prstGeom prst="rect">
              <a:avLst/>
            </a:prstGeom>
            <a:solidFill>
              <a:srgbClr val="6CB97E"/>
            </a:solidFill>
            <a:ln w="12700" cap="flat" cmpd="sng" algn="ctr">
              <a:noFill/>
              <a:prstDash val="solid"/>
              <a:miter lim="800000"/>
            </a:ln>
            <a:effectLst/>
          </xdr:spPr>
          <xdr:txBody>
            <a:bodyPr wrap="square" lIns="0" tIns="0" rIns="0" bIns="0" rtlCol="0" anchor="t"/>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400" b="0" i="0" u="sng"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rPr>
                <a:t>主として取組を実施する範囲</a:t>
              </a:r>
              <a:endParaRPr kumimoji="0" lang="en-US" sz="1400" b="0" i="0" u="sng"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8" name="正方形/長方形 17">
              <a:extLst>
                <a:ext uri="{FF2B5EF4-FFF2-40B4-BE49-F238E27FC236}">
                  <a16:creationId xmlns:a16="http://schemas.microsoft.com/office/drawing/2014/main" id="{59616D7B-FC28-BF7B-6E2B-745C0F8B5618}"/>
                </a:ext>
              </a:extLst>
            </xdr:cNvPr>
            <xdr:cNvSpPr/>
          </xdr:nvSpPr>
          <xdr:spPr>
            <a:xfrm>
              <a:off x="4922747" y="7765974"/>
              <a:ext cx="2229253" cy="1662978"/>
            </a:xfrm>
            <a:prstGeom prst="rect">
              <a:avLst/>
            </a:prstGeom>
            <a:noFill/>
            <a:ln w="19050" cap="flat" cmpd="sng" algn="ctr">
              <a:solidFill>
                <a:srgbClr val="6CB97E"/>
              </a:solidFill>
              <a:prstDash val="solid"/>
              <a:miter lim="800000"/>
              <a:headEnd type="none" w="med" len="med"/>
              <a:tailEnd type="none" w="med" len="med"/>
            </a:ln>
            <a:effectLst/>
            <a:extLst>
              <a:ext uri="{909E8E84-426E-40DD-AFC4-6F175D3DCCD1}">
                <a14:hiddenFill xmlns:a14="http://schemas.microsoft.com/office/drawing/2010/main">
                  <a:solidFill>
                    <a:schemeClr val="tx2"/>
                  </a:solidFill>
                </a14:hiddenFill>
              </a:ext>
            </a:ex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2000" b="0" i="0" u="none" strike="noStrike" kern="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19" name="正方形/長方形 18">
              <a:extLst>
                <a:ext uri="{FF2B5EF4-FFF2-40B4-BE49-F238E27FC236}">
                  <a16:creationId xmlns:a16="http://schemas.microsoft.com/office/drawing/2014/main" id="{B8792924-83A5-3EB7-4E67-2935DD24D7BE}"/>
                </a:ext>
              </a:extLst>
            </xdr:cNvPr>
            <xdr:cNvSpPr/>
          </xdr:nvSpPr>
          <xdr:spPr>
            <a:xfrm>
              <a:off x="5020478" y="8677213"/>
              <a:ext cx="416230" cy="415214"/>
            </a:xfrm>
            <a:prstGeom prst="rect">
              <a:avLst/>
            </a:prstGeom>
            <a:solidFill>
              <a:srgbClr val="6CB97E"/>
            </a:solidFill>
            <a:ln w="12700" cap="flat" cmpd="sng" algn="ctr">
              <a:no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付加</a:t>
              </a:r>
              <a:endParaRPr lang="en-US" altLang="ja-JP" sz="11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施設</a:t>
              </a:r>
              <a:endParaRPr kumimoji="0" lang="en-US" sz="11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0" name="正方形/長方形 19">
              <a:extLst>
                <a:ext uri="{FF2B5EF4-FFF2-40B4-BE49-F238E27FC236}">
                  <a16:creationId xmlns:a16="http://schemas.microsoft.com/office/drawing/2014/main" id="{A8734326-C067-CD6A-B280-39FC919B2A78}"/>
                </a:ext>
              </a:extLst>
            </xdr:cNvPr>
            <xdr:cNvSpPr/>
          </xdr:nvSpPr>
          <xdr:spPr>
            <a:xfrm>
              <a:off x="5448781" y="8824871"/>
              <a:ext cx="416230" cy="415214"/>
            </a:xfrm>
            <a:prstGeom prst="rect">
              <a:avLst/>
            </a:prstGeom>
            <a:solidFill>
              <a:srgbClr val="6CB97E"/>
            </a:solidFill>
            <a:ln w="12700" cap="flat" cmpd="sng" algn="ctr">
              <a:no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付加</a:t>
              </a:r>
              <a:endParaRPr lang="en-US" altLang="ja-JP" sz="11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施設</a:t>
              </a:r>
              <a:endParaRPr kumimoji="0" lang="en-US" sz="11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1" name="正方形/長方形 20">
              <a:extLst>
                <a:ext uri="{FF2B5EF4-FFF2-40B4-BE49-F238E27FC236}">
                  <a16:creationId xmlns:a16="http://schemas.microsoft.com/office/drawing/2014/main" id="{9731D8ED-1625-21E2-397F-995102F49B15}"/>
                </a:ext>
              </a:extLst>
            </xdr:cNvPr>
            <xdr:cNvSpPr/>
          </xdr:nvSpPr>
          <xdr:spPr>
            <a:xfrm>
              <a:off x="5877047" y="8962981"/>
              <a:ext cx="416230" cy="415214"/>
            </a:xfrm>
            <a:prstGeom prst="rect">
              <a:avLst/>
            </a:prstGeom>
            <a:solidFill>
              <a:srgbClr val="6CB97E"/>
            </a:solidFill>
            <a:ln w="12700" cap="flat" cmpd="sng" algn="ctr">
              <a:no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付加</a:t>
              </a:r>
              <a:endParaRPr lang="en-US" altLang="ja-JP" sz="11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100" kern="0">
                  <a:solidFill>
                    <a:srgbClr val="FFFFFF"/>
                  </a:solidFill>
                  <a:latin typeface="Meiryo UI" panose="020B0604030504040204" pitchFamily="50" charset="-128"/>
                  <a:ea typeface="Meiryo UI" panose="020B0604030504040204" pitchFamily="50" charset="-128"/>
                </a:rPr>
                <a:t>施設</a:t>
              </a:r>
              <a:endParaRPr kumimoji="0" lang="en-US" sz="11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2" name="正方形/長方形 21">
              <a:extLst>
                <a:ext uri="{FF2B5EF4-FFF2-40B4-BE49-F238E27FC236}">
                  <a16:creationId xmlns:a16="http://schemas.microsoft.com/office/drawing/2014/main" id="{8A2B2C56-637B-BD48-7929-FE5C32500974}"/>
                </a:ext>
              </a:extLst>
            </xdr:cNvPr>
            <xdr:cNvSpPr/>
          </xdr:nvSpPr>
          <xdr:spPr>
            <a:xfrm>
              <a:off x="6097058" y="9072170"/>
              <a:ext cx="608872" cy="402568"/>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tx2"/>
                  </a:solidFill>
                </a14:hiddenFill>
              </a:ext>
            </a:ex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1600" b="0" i="0" u="none" strike="noStrike" kern="0" cap="none" spc="0" normalizeH="0" baseline="0">
                  <a:ln>
                    <a:noFill/>
                  </a:ln>
                  <a:solidFill>
                    <a:srgbClr val="6CB97E"/>
                  </a:solidFill>
                  <a:effectLst/>
                  <a:uLnTx/>
                  <a:uFillTx/>
                  <a:latin typeface="Meiryo UI" panose="020B0604030504040204" pitchFamily="50" charset="-128"/>
                  <a:ea typeface="Meiryo UI" panose="020B0604030504040204" pitchFamily="50" charset="-128"/>
                  <a:cs typeface="+mn-cs"/>
                </a:rPr>
                <a:t>…</a:t>
              </a:r>
              <a:endParaRPr kumimoji="0" lang="en-US" sz="1600" b="0" i="0" u="none" strike="noStrike" kern="0" cap="none" spc="0" normalizeH="0" baseline="0">
                <a:ln>
                  <a:noFill/>
                </a:ln>
                <a:solidFill>
                  <a:srgbClr val="6CB97E"/>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3" name="正方形/長方形 22">
              <a:extLst>
                <a:ext uri="{FF2B5EF4-FFF2-40B4-BE49-F238E27FC236}">
                  <a16:creationId xmlns:a16="http://schemas.microsoft.com/office/drawing/2014/main" id="{16EDA9A3-0CA8-BACD-D8CF-035C9707B1B0}"/>
                </a:ext>
              </a:extLst>
            </xdr:cNvPr>
            <xdr:cNvSpPr/>
          </xdr:nvSpPr>
          <xdr:spPr>
            <a:xfrm>
              <a:off x="5416771" y="8200639"/>
              <a:ext cx="276716" cy="276042"/>
            </a:xfrm>
            <a:prstGeom prst="rect">
              <a:avLst/>
            </a:prstGeom>
            <a:solidFill>
              <a:srgbClr val="6CB97E"/>
            </a:solidFill>
            <a:ln w="6350" cap="flat" cmpd="sng" algn="ctr">
              <a:solidFill>
                <a:schemeClr val="bg1"/>
              </a:solid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公共</a:t>
              </a:r>
              <a:endParaRPr lang="en-US" altLang="ja-JP" sz="9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施設</a:t>
              </a:r>
              <a:endParaRPr kumimoji="0" lang="en-US" sz="9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4" name="正方形/長方形 23">
              <a:extLst>
                <a:ext uri="{FF2B5EF4-FFF2-40B4-BE49-F238E27FC236}">
                  <a16:creationId xmlns:a16="http://schemas.microsoft.com/office/drawing/2014/main" id="{7323645E-7FC7-E05A-D461-9C2AC0C8A1D4}"/>
                </a:ext>
              </a:extLst>
            </xdr:cNvPr>
            <xdr:cNvSpPr/>
          </xdr:nvSpPr>
          <xdr:spPr>
            <a:xfrm>
              <a:off x="5726276" y="8285776"/>
              <a:ext cx="276716" cy="276042"/>
            </a:xfrm>
            <a:prstGeom prst="rect">
              <a:avLst/>
            </a:prstGeom>
            <a:solidFill>
              <a:srgbClr val="6CB97E"/>
            </a:solidFill>
            <a:ln w="6350" cap="flat" cmpd="sng" algn="ctr">
              <a:solidFill>
                <a:schemeClr val="bg1"/>
              </a:solid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公共</a:t>
              </a:r>
              <a:endParaRPr lang="en-US" altLang="ja-JP" sz="9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施設</a:t>
              </a:r>
              <a:endParaRPr kumimoji="0" lang="en-US" sz="9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5" name="正方形/長方形 24">
              <a:extLst>
                <a:ext uri="{FF2B5EF4-FFF2-40B4-BE49-F238E27FC236}">
                  <a16:creationId xmlns:a16="http://schemas.microsoft.com/office/drawing/2014/main" id="{4D5A56E9-993C-0814-0346-1684E1CDD541}"/>
                </a:ext>
              </a:extLst>
            </xdr:cNvPr>
            <xdr:cNvSpPr/>
          </xdr:nvSpPr>
          <xdr:spPr>
            <a:xfrm>
              <a:off x="6362879" y="8200639"/>
              <a:ext cx="276716" cy="276042"/>
            </a:xfrm>
            <a:prstGeom prst="rect">
              <a:avLst/>
            </a:prstGeom>
            <a:solidFill>
              <a:srgbClr val="6CB97E"/>
            </a:solidFill>
            <a:ln w="6350" cap="flat" cmpd="sng" algn="ctr">
              <a:solidFill>
                <a:schemeClr val="bg1"/>
              </a:solid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民間</a:t>
              </a:r>
              <a:endParaRPr lang="en-US" altLang="ja-JP" sz="9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施設</a:t>
              </a:r>
              <a:endParaRPr kumimoji="0" lang="en-US" sz="9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6" name="正方形/長方形 25">
              <a:extLst>
                <a:ext uri="{FF2B5EF4-FFF2-40B4-BE49-F238E27FC236}">
                  <a16:creationId xmlns:a16="http://schemas.microsoft.com/office/drawing/2014/main" id="{0B18FE0F-9D38-ADFF-E839-89CADF128706}"/>
                </a:ext>
              </a:extLst>
            </xdr:cNvPr>
            <xdr:cNvSpPr/>
          </xdr:nvSpPr>
          <xdr:spPr>
            <a:xfrm>
              <a:off x="6675809" y="8285776"/>
              <a:ext cx="276716" cy="276042"/>
            </a:xfrm>
            <a:prstGeom prst="rect">
              <a:avLst/>
            </a:prstGeom>
            <a:solidFill>
              <a:srgbClr val="6CB97E"/>
            </a:solidFill>
            <a:ln w="6350" cap="flat" cmpd="sng" algn="ctr">
              <a:solidFill>
                <a:schemeClr val="bg1"/>
              </a:solidFill>
              <a:prstDash val="solid"/>
              <a:miter lim="800000"/>
            </a:ln>
            <a:effec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民間</a:t>
              </a:r>
              <a:endParaRPr lang="en-US" altLang="ja-JP" sz="900" kern="0">
                <a:solidFill>
                  <a:srgbClr val="FFFFFF"/>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900" kern="0">
                  <a:solidFill>
                    <a:srgbClr val="FFFFFF"/>
                  </a:solidFill>
                  <a:latin typeface="Meiryo UI" panose="020B0604030504040204" pitchFamily="50" charset="-128"/>
                  <a:ea typeface="Meiryo UI" panose="020B0604030504040204" pitchFamily="50" charset="-128"/>
                </a:rPr>
                <a:t>施設</a:t>
              </a:r>
              <a:endParaRPr kumimoji="0" lang="en-US" sz="900" b="0" i="0" u="none" strike="noStrike" kern="0" cap="none" spc="0" normalizeH="0" baseline="0">
                <a:ln>
                  <a:noFill/>
                </a:ln>
                <a:solidFill>
                  <a:srgbClr val="FFFFFF"/>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7" name="正方形/長方形 26">
              <a:extLst>
                <a:ext uri="{FF2B5EF4-FFF2-40B4-BE49-F238E27FC236}">
                  <a16:creationId xmlns:a16="http://schemas.microsoft.com/office/drawing/2014/main" id="{0B79C9F5-968E-682A-221A-A48C6CF99EBB}"/>
                </a:ext>
              </a:extLst>
            </xdr:cNvPr>
            <xdr:cNvSpPr/>
          </xdr:nvSpPr>
          <xdr:spPr>
            <a:xfrm>
              <a:off x="5957250" y="8364468"/>
              <a:ext cx="303352" cy="303662"/>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tx2"/>
                  </a:solidFill>
                </a14:hiddenFill>
              </a:ext>
            </a:ex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900" b="0"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n-cs"/>
                </a:rPr>
                <a:t>…</a:t>
              </a:r>
              <a:endParaRPr kumimoji="0" lang="en-US" sz="900" b="0"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n-cs"/>
              </a:endParaRPr>
            </a:p>
          </xdr:txBody>
        </xdr:sp>
        <xdr:sp macro="" textlink="">
          <xdr:nvSpPr>
            <xdr:cNvPr id="28" name="正方形/長方形 27">
              <a:extLst>
                <a:ext uri="{FF2B5EF4-FFF2-40B4-BE49-F238E27FC236}">
                  <a16:creationId xmlns:a16="http://schemas.microsoft.com/office/drawing/2014/main" id="{3D78AD0D-7803-20FA-4CC2-A235079EDEAA}"/>
                </a:ext>
              </a:extLst>
            </xdr:cNvPr>
            <xdr:cNvSpPr/>
          </xdr:nvSpPr>
          <xdr:spPr>
            <a:xfrm>
              <a:off x="6870188" y="8364468"/>
              <a:ext cx="303352" cy="303662"/>
            </a:xfrm>
            <a:prstGeom prst="rect">
              <a:avLst/>
            </a:prstGeom>
            <a:noFill/>
            <a:ln w="12700" cap="flat" cmpd="sng" algn="ctr">
              <a:noFill/>
              <a:prstDash val="solid"/>
              <a:miter lim="800000"/>
            </a:ln>
            <a:effectLst/>
            <a:extLst>
              <a:ext uri="{909E8E84-426E-40DD-AFC4-6F175D3DCCD1}">
                <a14:hiddenFill xmlns:a14="http://schemas.microsoft.com/office/drawing/2010/main">
                  <a:solidFill>
                    <a:schemeClr val="tx2"/>
                  </a:solidFill>
                </a14:hiddenFill>
              </a:ext>
            </a:extLst>
          </xdr:spPr>
          <xdr:txBody>
            <a:bodyPr wrap="square" lIns="0" tIns="0" rIns="0" bIns="0" rtlCol="0" anchor="ct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900" b="0"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n-cs"/>
                </a:rPr>
                <a:t>…</a:t>
              </a:r>
              <a:endParaRPr kumimoji="0" lang="en-US" sz="900" b="0" i="0" u="none" strike="noStrike" kern="0" cap="none" spc="0" normalizeH="0" baseline="0">
                <a:ln>
                  <a:noFill/>
                </a:ln>
                <a:solidFill>
                  <a:schemeClr val="bg1"/>
                </a:solidFill>
                <a:effectLst/>
                <a:uLnTx/>
                <a:uFillTx/>
                <a:latin typeface="Meiryo UI" panose="020B0604030504040204" pitchFamily="50" charset="-128"/>
                <a:ea typeface="Meiryo UI" panose="020B0604030504040204" pitchFamily="50" charset="-128"/>
                <a:cs typeface="+mn-cs"/>
              </a:endParaRPr>
            </a:p>
          </xdr:txBody>
        </xdr:sp>
      </xdr:grpSp>
      <xdr:sp macro="" textlink="">
        <xdr:nvSpPr>
          <xdr:cNvPr id="14" name="四角形: 角を丸くする 13">
            <a:extLst>
              <a:ext uri="{FF2B5EF4-FFF2-40B4-BE49-F238E27FC236}">
                <a16:creationId xmlns:a16="http://schemas.microsoft.com/office/drawing/2014/main" id="{437FA9F6-2640-94E5-810C-74764829D24C}"/>
              </a:ext>
            </a:extLst>
          </xdr:cNvPr>
          <xdr:cNvSpPr/>
        </xdr:nvSpPr>
        <xdr:spPr>
          <a:xfrm>
            <a:off x="7704306" y="6894384"/>
            <a:ext cx="1963068" cy="888243"/>
          </a:xfrm>
          <a:prstGeom prst="roundRect">
            <a:avLst/>
          </a:prstGeom>
          <a:noFill/>
          <a:ln w="63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kumimoji="1" lang="ja-JP" altLang="en-US" sz="1600">
              <a:solidFill>
                <a:schemeClr val="tx1"/>
              </a:solidFill>
              <a:latin typeface="Meiryo UI" panose="020B0604030504040204" pitchFamily="50" charset="-128"/>
              <a:ea typeface="Meiryo UI" panose="020B0604030504040204" pitchFamily="50" charset="-128"/>
            </a:endParaRPr>
          </a:p>
        </xdr:txBody>
      </xdr:sp>
      <xdr:sp macro="" textlink="">
        <xdr:nvSpPr>
          <xdr:cNvPr id="15" name="テキスト ボックス 42">
            <a:extLst>
              <a:ext uri="{FF2B5EF4-FFF2-40B4-BE49-F238E27FC236}">
                <a16:creationId xmlns:a16="http://schemas.microsoft.com/office/drawing/2014/main" id="{0AD3ECAB-85CC-F601-7FDD-2F511E55560C}"/>
              </a:ext>
            </a:extLst>
          </xdr:cNvPr>
          <xdr:cNvSpPr txBox="1"/>
        </xdr:nvSpPr>
        <xdr:spPr>
          <a:xfrm>
            <a:off x="7563568" y="7915746"/>
            <a:ext cx="3055939" cy="583959"/>
          </a:xfrm>
          <a:prstGeom prst="rect">
            <a:avLst/>
          </a:prstGeom>
          <a:noFill/>
        </xdr:spPr>
        <xdr:txBody>
          <a:bodyPr wrap="square">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l"/>
            <a:r>
              <a:rPr kumimoji="1" lang="ja-JP" altLang="en-US" sz="1050" u="sng">
                <a:solidFill>
                  <a:srgbClr val="FF0000"/>
                </a:solidFill>
                <a:latin typeface="Meiryo UI" panose="020B0604030504040204" pitchFamily="50" charset="-128"/>
                <a:ea typeface="Meiryo UI" panose="020B0604030504040204" pitchFamily="50" charset="-128"/>
              </a:rPr>
              <a:t>範囲外に別に付加された施設群</a:t>
            </a:r>
            <a:endParaRPr kumimoji="1" lang="en-US" altLang="ja-JP" sz="1050" u="sng">
              <a:solidFill>
                <a:srgbClr val="FF0000"/>
              </a:solidFill>
              <a:latin typeface="Meiryo UI" panose="020B0604030504040204" pitchFamily="50" charset="-128"/>
              <a:ea typeface="Meiryo UI" panose="020B0604030504040204" pitchFamily="50" charset="-128"/>
            </a:endParaRPr>
          </a:p>
          <a:p>
            <a:pPr algn="l"/>
            <a:r>
              <a:rPr kumimoji="1" lang="en-US" altLang="ja-JP" sz="1000">
                <a:solidFill>
                  <a:sysClr val="windowText" lastClr="000000"/>
                </a:solidFill>
                <a:latin typeface="Meiryo UI" panose="020B0604030504040204" pitchFamily="50" charset="-128"/>
                <a:ea typeface="Meiryo UI" panose="020B0604030504040204" pitchFamily="50" charset="-128"/>
              </a:rPr>
              <a:t>(</a:t>
            </a:r>
            <a:r>
              <a:rPr kumimoji="1" lang="ja-JP" altLang="en-US" sz="1000">
                <a:solidFill>
                  <a:sysClr val="windowText" lastClr="000000"/>
                </a:solidFill>
                <a:latin typeface="Meiryo UI" panose="020B0604030504040204" pitchFamily="50" charset="-128"/>
                <a:ea typeface="Meiryo UI" panose="020B0604030504040204" pitchFamily="50" charset="-128"/>
              </a:rPr>
              <a:t>電力需要量を公共施設は</a:t>
            </a:r>
            <a:r>
              <a:rPr kumimoji="1" lang="en-US" altLang="ja-JP" sz="1000">
                <a:solidFill>
                  <a:sysClr val="windowText" lastClr="000000"/>
                </a:solidFill>
                <a:latin typeface="Meiryo UI" panose="020B0604030504040204" pitchFamily="50" charset="-128"/>
                <a:ea typeface="Meiryo UI" panose="020B0604030504040204" pitchFamily="50" charset="-128"/>
              </a:rPr>
              <a:t>50</a:t>
            </a:r>
            <a:r>
              <a:rPr kumimoji="1" lang="ja-JP" altLang="en-US" sz="1000">
                <a:solidFill>
                  <a:sysClr val="windowText" lastClr="000000"/>
                </a:solidFill>
                <a:latin typeface="Meiryo UI" panose="020B0604030504040204" pitchFamily="50" charset="-128"/>
                <a:ea typeface="Meiryo UI" panose="020B0604030504040204" pitchFamily="50" charset="-128"/>
              </a:rPr>
              <a:t>％、民間施設は</a:t>
            </a:r>
            <a:r>
              <a:rPr kumimoji="1" lang="en-US" altLang="ja-JP" sz="1000">
                <a:solidFill>
                  <a:sysClr val="windowText" lastClr="000000"/>
                </a:solidFill>
                <a:latin typeface="Meiryo UI" panose="020B0604030504040204" pitchFamily="50" charset="-128"/>
                <a:ea typeface="Meiryo UI" panose="020B0604030504040204" pitchFamily="50" charset="-128"/>
              </a:rPr>
              <a:t>25</a:t>
            </a:r>
            <a:r>
              <a:rPr kumimoji="1" lang="ja-JP" altLang="en-US" sz="1000">
                <a:solidFill>
                  <a:sysClr val="windowText" lastClr="000000"/>
                </a:solidFill>
                <a:latin typeface="Meiryo UI" panose="020B0604030504040204" pitchFamily="50" charset="-128"/>
                <a:ea typeface="Meiryo UI" panose="020B0604030504040204" pitchFamily="50" charset="-128"/>
              </a:rPr>
              <a:t>％ 割り引いて評価することがあります</a:t>
            </a:r>
            <a:r>
              <a:rPr kumimoji="1" lang="en-US" altLang="ja-JP" sz="1000">
                <a:solidFill>
                  <a:sysClr val="windowText" lastClr="000000"/>
                </a:solidFill>
                <a:latin typeface="Meiryo UI" panose="020B0604030504040204" pitchFamily="50" charset="-128"/>
                <a:ea typeface="Meiryo UI" panose="020B0604030504040204" pitchFamily="50" charset="-128"/>
              </a:rPr>
              <a:t>)</a:t>
            </a:r>
            <a:endParaRPr lang="ja-JP" altLang="en-US" sz="1000">
              <a:solidFill>
                <a:sysClr val="windowText" lastClr="000000"/>
              </a:solidFill>
            </a:endParaRPr>
          </a:p>
        </xdr:txBody>
      </xdr:sp>
      <xdr:cxnSp macro="">
        <xdr:nvCxnSpPr>
          <xdr:cNvPr id="16" name="直線矢印コネクタ 15">
            <a:extLst>
              <a:ext uri="{FF2B5EF4-FFF2-40B4-BE49-F238E27FC236}">
                <a16:creationId xmlns:a16="http://schemas.microsoft.com/office/drawing/2014/main" id="{3E491029-F318-6AE3-7BC8-E0767FEF14D3}"/>
              </a:ext>
            </a:extLst>
          </xdr:cNvPr>
          <xdr:cNvCxnSpPr/>
        </xdr:nvCxnSpPr>
        <xdr:spPr>
          <a:xfrm flipH="1" flipV="1">
            <a:off x="8724314" y="7771189"/>
            <a:ext cx="16576" cy="18006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absolute">
    <xdr:from>
      <xdr:col>26</xdr:col>
      <xdr:colOff>284843</xdr:colOff>
      <xdr:row>7</xdr:row>
      <xdr:rowOff>314325</xdr:rowOff>
    </xdr:from>
    <xdr:to>
      <xdr:col>38</xdr:col>
      <xdr:colOff>342142</xdr:colOff>
      <xdr:row>55</xdr:row>
      <xdr:rowOff>16494</xdr:rowOff>
    </xdr:to>
    <xdr:pic>
      <xdr:nvPicPr>
        <xdr:cNvPr id="29" name="図 1">
          <a:extLst>
            <a:ext uri="{FF2B5EF4-FFF2-40B4-BE49-F238E27FC236}">
              <a16:creationId xmlns:a16="http://schemas.microsoft.com/office/drawing/2014/main" id="{6EE6A701-69A1-4D99-872B-1C60DAB7753B}"/>
            </a:ext>
          </a:extLst>
        </xdr:cNvPr>
        <xdr:cNvPicPr>
          <a:picLocks noChangeAspect="1"/>
        </xdr:cNvPicPr>
      </xdr:nvPicPr>
      <xdr:blipFill>
        <a:blip xmlns:r="http://schemas.openxmlformats.org/officeDocument/2006/relationships" r:embed="rId2"/>
        <a:stretch>
          <a:fillRect/>
        </a:stretch>
      </xdr:blipFill>
      <xdr:spPr>
        <a:xfrm>
          <a:off x="11105243" y="1866900"/>
          <a:ext cx="8286899" cy="9627219"/>
        </a:xfrm>
        <a:prstGeom prst="rect">
          <a:avLst/>
        </a:prstGeom>
      </xdr:spPr>
    </xdr:pic>
    <xdr:clientData/>
  </xdr:twoCellAnchor>
  <xdr:twoCellAnchor editAs="absolute">
    <xdr:from>
      <xdr:col>14</xdr:col>
      <xdr:colOff>189593</xdr:colOff>
      <xdr:row>55</xdr:row>
      <xdr:rowOff>200025</xdr:rowOff>
    </xdr:from>
    <xdr:to>
      <xdr:col>37</xdr:col>
      <xdr:colOff>669407</xdr:colOff>
      <xdr:row>92</xdr:row>
      <xdr:rowOff>235492</xdr:rowOff>
    </xdr:to>
    <xdr:pic>
      <xdr:nvPicPr>
        <xdr:cNvPr id="30" name="図 3">
          <a:extLst>
            <a:ext uri="{FF2B5EF4-FFF2-40B4-BE49-F238E27FC236}">
              <a16:creationId xmlns:a16="http://schemas.microsoft.com/office/drawing/2014/main" id="{D2ED20F3-CA9D-4760-839B-41178223EF31}"/>
            </a:ext>
          </a:extLst>
        </xdr:cNvPr>
        <xdr:cNvPicPr>
          <a:picLocks noChangeAspect="1"/>
        </xdr:cNvPicPr>
      </xdr:nvPicPr>
      <xdr:blipFill>
        <a:blip xmlns:r="http://schemas.openxmlformats.org/officeDocument/2006/relationships" r:embed="rId3"/>
        <a:stretch>
          <a:fillRect/>
        </a:stretch>
      </xdr:blipFill>
      <xdr:spPr>
        <a:xfrm>
          <a:off x="10800443" y="11677650"/>
          <a:ext cx="8233164" cy="8846092"/>
        </a:xfrm>
        <a:prstGeom prst="rect">
          <a:avLst/>
        </a:prstGeom>
      </xdr:spPr>
    </xdr:pic>
    <xdr:clientData/>
  </xdr:twoCellAnchor>
  <xdr:oneCellAnchor>
    <xdr:from>
      <xdr:col>26</xdr:col>
      <xdr:colOff>47625</xdr:colOff>
      <xdr:row>1</xdr:row>
      <xdr:rowOff>228600</xdr:rowOff>
    </xdr:from>
    <xdr:ext cx="5987845" cy="1339850"/>
    <xdr:sp macro="" textlink="">
      <xdr:nvSpPr>
        <xdr:cNvPr id="35" name="吹き出し: 角を丸めた四角形 69">
          <a:extLst>
            <a:ext uri="{FF2B5EF4-FFF2-40B4-BE49-F238E27FC236}">
              <a16:creationId xmlns:a16="http://schemas.microsoft.com/office/drawing/2014/main" id="{B79E4770-4E04-4B5E-9C82-969CECB73430}"/>
            </a:ext>
          </a:extLst>
        </xdr:cNvPr>
        <xdr:cNvSpPr/>
      </xdr:nvSpPr>
      <xdr:spPr>
        <a:xfrm>
          <a:off x="10868025" y="466725"/>
          <a:ext cx="5987845" cy="1339850"/>
        </a:xfrm>
        <a:prstGeom prst="wedgeRoundRectCallout">
          <a:avLst>
            <a:gd name="adj1" fmla="val -61369"/>
            <a:gd name="adj2" fmla="val 5111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現在の合意形成進捗度</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後続の「</a:t>
          </a: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需要家合意形成状況</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住宅</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需要家合意形成状況</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民生・業務その他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需要家合意形成状況</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公共</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」を入力することで、自動で進捗度が反映されます。</a:t>
          </a:r>
        </a:p>
      </xdr:txBody>
    </xdr:sp>
    <xdr:clientData/>
  </xdr:oneCellAnchor>
  <xdr:twoCellAnchor editAs="absolute">
    <xdr:from>
      <xdr:col>0</xdr:col>
      <xdr:colOff>66675</xdr:colOff>
      <xdr:row>4</xdr:row>
      <xdr:rowOff>133350</xdr:rowOff>
    </xdr:from>
    <xdr:to>
      <xdr:col>7</xdr:col>
      <xdr:colOff>862486</xdr:colOff>
      <xdr:row>7</xdr:row>
      <xdr:rowOff>71303</xdr:rowOff>
    </xdr:to>
    <xdr:sp macro="" textlink="">
      <xdr:nvSpPr>
        <xdr:cNvPr id="36" name="吹き出し: 角を丸めた四角形 4">
          <a:extLst>
            <a:ext uri="{FF2B5EF4-FFF2-40B4-BE49-F238E27FC236}">
              <a16:creationId xmlns:a16="http://schemas.microsoft.com/office/drawing/2014/main" id="{130F037C-24AE-4C6F-A564-5C9745C787B8}"/>
            </a:ext>
          </a:extLst>
        </xdr:cNvPr>
        <xdr:cNvSpPr/>
      </xdr:nvSpPr>
      <xdr:spPr>
        <a:xfrm>
          <a:off x="66675" y="1085850"/>
          <a:ext cx="5586886" cy="538028"/>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oneCell">
    <xdr:from>
      <xdr:col>4</xdr:col>
      <xdr:colOff>76200</xdr:colOff>
      <xdr:row>10</xdr:row>
      <xdr:rowOff>28575</xdr:rowOff>
    </xdr:from>
    <xdr:to>
      <xdr:col>5</xdr:col>
      <xdr:colOff>150133</xdr:colOff>
      <xdr:row>13</xdr:row>
      <xdr:rowOff>28575</xdr:rowOff>
    </xdr:to>
    <xdr:sp macro="" textlink="">
      <xdr:nvSpPr>
        <xdr:cNvPr id="6" name="吹き出し: 角を丸めた四角形 2">
          <a:extLst>
            <a:ext uri="{FF2B5EF4-FFF2-40B4-BE49-F238E27FC236}">
              <a16:creationId xmlns:a16="http://schemas.microsoft.com/office/drawing/2014/main" id="{9EE7AF73-1179-4223-AF09-97EDD55D7CCA}"/>
            </a:ext>
          </a:extLst>
        </xdr:cNvPr>
        <xdr:cNvSpPr/>
      </xdr:nvSpPr>
      <xdr:spPr>
        <a:xfrm>
          <a:off x="1076325" y="2495550"/>
          <a:ext cx="2245633" cy="714375"/>
        </a:xfrm>
        <a:prstGeom prst="wedgeRoundRectCallout">
          <a:avLst>
            <a:gd name="adj1" fmla="val -75871"/>
            <a:gd name="adj2" fmla="val -3508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"1_1,1_2 </a:t>
          </a: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のように、施設</a:t>
          </a:r>
          <a:r>
            <a:rPr kumimoji="1" lang="en-US" altLang="ja-JP" sz="1400" b="0">
              <a:solidFill>
                <a:sysClr val="windowText" lastClr="000000"/>
              </a:solidFill>
              <a:latin typeface="Meiryo UI" panose="020B0604030504040204" pitchFamily="50" charset="-128"/>
              <a:ea typeface="Meiryo UI" panose="020B0604030504040204" pitchFamily="50" charset="-128"/>
            </a:rPr>
            <a:t>No</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を入力してください。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oneCellAnchor>
    <xdr:from>
      <xdr:col>5</xdr:col>
      <xdr:colOff>276225</xdr:colOff>
      <xdr:row>7</xdr:row>
      <xdr:rowOff>409575</xdr:rowOff>
    </xdr:from>
    <xdr:ext cx="3908771" cy="4057649"/>
    <xdr:sp macro="" textlink="">
      <xdr:nvSpPr>
        <xdr:cNvPr id="9" name="四角形: 角を丸くする 8">
          <a:extLst>
            <a:ext uri="{FF2B5EF4-FFF2-40B4-BE49-F238E27FC236}">
              <a16:creationId xmlns:a16="http://schemas.microsoft.com/office/drawing/2014/main" id="{B39663A7-2D0F-44B9-B35A-F69157F364EB}"/>
            </a:ext>
          </a:extLst>
        </xdr:cNvPr>
        <xdr:cNvSpPr/>
      </xdr:nvSpPr>
      <xdr:spPr>
        <a:xfrm>
          <a:off x="3448050" y="1962150"/>
          <a:ext cx="3908771" cy="4057649"/>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rgbClr val="FF0000"/>
              </a:solidFill>
              <a:latin typeface="Meiryo UI" panose="020B0604030504040204" pitchFamily="50" charset="-128"/>
              <a:ea typeface="Meiryo UI" panose="020B0604030504040204" pitchFamily="50" charset="-128"/>
            </a:rPr>
            <a:t>以下（ア）（イ）（ウ）の各カテゴリで合計施設数が</a:t>
          </a:r>
          <a:r>
            <a:rPr kumimoji="1" lang="en-US" altLang="ja-JP" sz="1400" b="0">
              <a:solidFill>
                <a:srgbClr val="FF0000"/>
              </a:solidFill>
              <a:latin typeface="Meiryo UI" panose="020B0604030504040204" pitchFamily="50" charset="-128"/>
              <a:ea typeface="Meiryo UI" panose="020B0604030504040204" pitchFamily="50" charset="-128"/>
            </a:rPr>
            <a:t>30</a:t>
          </a:r>
          <a:r>
            <a:rPr kumimoji="1" lang="ja-JP" altLang="en-US" sz="1400" b="0">
              <a:solidFill>
                <a:srgbClr val="FF0000"/>
              </a:solidFill>
              <a:latin typeface="Meiryo UI" panose="020B0604030504040204" pitchFamily="50" charset="-128"/>
              <a:ea typeface="Meiryo UI" panose="020B0604030504040204" pitchFamily="50" charset="-128"/>
            </a:rPr>
            <a:t>施設以内に収まるよう、同じ進捗度のものはまとめてご記載ください。</a:t>
          </a:r>
        </a:p>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（ア）</a:t>
          </a:r>
          <a:r>
            <a:rPr kumimoji="1" lang="ja-JP" altLang="en-US" sz="1400" b="0">
              <a:solidFill>
                <a:sysClr val="windowText" lastClr="000000"/>
              </a:solidFill>
              <a:latin typeface="Meiryo UI" panose="020B0604030504040204" pitchFamily="50" charset="-128"/>
              <a:ea typeface="Meiryo UI" panose="020B0604030504040204" pitchFamily="50" charset="-128"/>
            </a:rPr>
            <a:t>「民生・家庭</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戸建住宅</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」、「民生・家庭</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（イ）</a:t>
          </a:r>
          <a:r>
            <a:rPr kumimoji="1" lang="ja-JP" altLang="en-US" sz="1400" b="0">
              <a:solidFill>
                <a:sysClr val="windowText" lastClr="000000"/>
              </a:solidFill>
              <a:latin typeface="Meiryo UI" panose="020B0604030504040204" pitchFamily="50" charset="-128"/>
              <a:ea typeface="Meiryo UI" panose="020B0604030504040204" pitchFamily="50" charset="-128"/>
            </a:rPr>
            <a:t>「民生・業務その他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オフィスビル</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」、「民生・業務その他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商業施設</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」、「民生・業務その他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宿泊施設</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」、「民生・業務その他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（ウ）</a:t>
          </a:r>
          <a:r>
            <a:rPr kumimoji="1" lang="ja-JP" altLang="en-US" sz="1400" b="0">
              <a:solidFill>
                <a:sysClr val="windowText" lastClr="000000"/>
              </a:solidFill>
              <a:latin typeface="Meiryo UI" panose="020B0604030504040204" pitchFamily="50" charset="-128"/>
              <a:ea typeface="Meiryo UI" panose="020B0604030504040204" pitchFamily="50" charset="-128"/>
            </a:rPr>
            <a:t>「公共</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公共施設</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」、「公共</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その他</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b="0">
              <a:solidFill>
                <a:sysClr val="windowText" lastClr="000000"/>
              </a:solidFill>
              <a:effectLst/>
              <a:latin typeface="+mn-lt"/>
              <a:ea typeface="+mn-ea"/>
              <a:cs typeface="+mn-cs"/>
            </a:rPr>
            <a:t>どうしても</a:t>
          </a:r>
          <a:r>
            <a:rPr kumimoji="1" lang="en-US" altLang="ja-JP" sz="1400" b="0">
              <a:solidFill>
                <a:sysClr val="windowText" lastClr="000000"/>
              </a:solidFill>
              <a:effectLst/>
              <a:latin typeface="+mn-lt"/>
              <a:ea typeface="+mn-ea"/>
              <a:cs typeface="+mn-cs"/>
            </a:rPr>
            <a:t>30</a:t>
          </a:r>
          <a:r>
            <a:rPr kumimoji="1" lang="ja-JP" altLang="ja-JP" sz="1400" b="0">
              <a:solidFill>
                <a:sysClr val="windowText" lastClr="000000"/>
              </a:solidFill>
              <a:effectLst/>
              <a:latin typeface="+mn-lt"/>
              <a:ea typeface="+mn-ea"/>
              <a:cs typeface="+mn-cs"/>
            </a:rPr>
            <a:t>施設以内にまとめることが難しい場合は、</a:t>
          </a:r>
          <a:r>
            <a:rPr kumimoji="1" lang="ja-JP" altLang="en-US" sz="1400" b="0">
              <a:solidFill>
                <a:sysClr val="windowText" lastClr="000000"/>
              </a:solidFill>
              <a:effectLst/>
              <a:latin typeface="+mn-lt"/>
              <a:ea typeface="+mn-ea"/>
              <a:cs typeface="+mn-cs"/>
            </a:rPr>
            <a:t>環境省へお問い合わせください。</a:t>
          </a:r>
        </a:p>
      </xdr:txBody>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9</xdr:col>
      <xdr:colOff>684322</xdr:colOff>
      <xdr:row>1</xdr:row>
      <xdr:rowOff>237709</xdr:rowOff>
    </xdr:from>
    <xdr:to>
      <xdr:col>12</xdr:col>
      <xdr:colOff>9249</xdr:colOff>
      <xdr:row>4</xdr:row>
      <xdr:rowOff>212144</xdr:rowOff>
    </xdr:to>
    <xdr:pic>
      <xdr:nvPicPr>
        <xdr:cNvPr id="2" name="図 1">
          <a:extLst>
            <a:ext uri="{FF2B5EF4-FFF2-40B4-BE49-F238E27FC236}">
              <a16:creationId xmlns:a16="http://schemas.microsoft.com/office/drawing/2014/main" id="{81AEA176-E855-4415-8574-0F2994E1E1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45220" y="478146"/>
          <a:ext cx="1766286" cy="695746"/>
        </a:xfrm>
        <a:prstGeom prst="rect">
          <a:avLst/>
        </a:prstGeom>
      </xdr:spPr>
    </xdr:pic>
    <xdr:clientData/>
  </xdr:twoCellAnchor>
  <xdr:twoCellAnchor editAs="absolute">
    <xdr:from>
      <xdr:col>12</xdr:col>
      <xdr:colOff>166470</xdr:colOff>
      <xdr:row>7</xdr:row>
      <xdr:rowOff>152400</xdr:rowOff>
    </xdr:from>
    <xdr:to>
      <xdr:col>30</xdr:col>
      <xdr:colOff>115469</xdr:colOff>
      <xdr:row>9</xdr:row>
      <xdr:rowOff>469313</xdr:rowOff>
    </xdr:to>
    <xdr:sp macro="" textlink="">
      <xdr:nvSpPr>
        <xdr:cNvPr id="3" name="吹き出し: 角を丸めた四角形 21">
          <a:extLst>
            <a:ext uri="{FF2B5EF4-FFF2-40B4-BE49-F238E27FC236}">
              <a16:creationId xmlns:a16="http://schemas.microsoft.com/office/drawing/2014/main" id="{C56C27A0-241D-45E8-8318-42E4424ED313}"/>
            </a:ext>
          </a:extLst>
        </xdr:cNvPr>
        <xdr:cNvSpPr/>
      </xdr:nvSpPr>
      <xdr:spPr>
        <a:xfrm flipH="1">
          <a:off x="11548845" y="1695450"/>
          <a:ext cx="4378124" cy="793163"/>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chemeClr val="tx1"/>
              </a:solidFill>
              <a:latin typeface="Meiryo UI" panose="020B0604030504040204" pitchFamily="50" charset="-128"/>
              <a:ea typeface="Meiryo UI" panose="020B0604030504040204" pitchFamily="50" charset="-128"/>
            </a:rPr>
            <a:t>Word</a:t>
          </a:r>
          <a:r>
            <a:rPr kumimoji="1" lang="ja-JP" altLang="en-US" sz="1400" b="0">
              <a:solidFill>
                <a:schemeClr val="tx1"/>
              </a:solidFill>
              <a:latin typeface="Meiryo UI" panose="020B0604030504040204" pitchFamily="50" charset="-128"/>
              <a:ea typeface="Meiryo UI" panose="020B0604030504040204" pitchFamily="50" charset="-128"/>
            </a:rPr>
            <a:t>への貼付は点線の枠内のみ行ってください（懸念点、懸念点への対策は貼付対象外）</a:t>
          </a:r>
        </a:p>
      </xdr:txBody>
    </xdr:sp>
    <xdr:clientData/>
  </xdr:twoCellAnchor>
  <xdr:twoCellAnchor editAs="oneCell">
    <xdr:from>
      <xdr:col>0</xdr:col>
      <xdr:colOff>46238</xdr:colOff>
      <xdr:row>14</xdr:row>
      <xdr:rowOff>39952</xdr:rowOff>
    </xdr:from>
    <xdr:to>
      <xdr:col>4</xdr:col>
      <xdr:colOff>1517518</xdr:colOff>
      <xdr:row>16</xdr:row>
      <xdr:rowOff>329458</xdr:rowOff>
    </xdr:to>
    <xdr:sp macro="" textlink="">
      <xdr:nvSpPr>
        <xdr:cNvPr id="4" name="吹き出し: 角を丸めた四角形 62">
          <a:extLst>
            <a:ext uri="{FF2B5EF4-FFF2-40B4-BE49-F238E27FC236}">
              <a16:creationId xmlns:a16="http://schemas.microsoft.com/office/drawing/2014/main" id="{6F31F3BA-F709-496B-9996-B535F9CA53BC}"/>
            </a:ext>
          </a:extLst>
        </xdr:cNvPr>
        <xdr:cNvSpPr/>
      </xdr:nvSpPr>
      <xdr:spPr>
        <a:xfrm>
          <a:off x="46238" y="3406069"/>
          <a:ext cx="3968125" cy="1584167"/>
        </a:xfrm>
        <a:prstGeom prst="wedgeRoundRectCallout">
          <a:avLst>
            <a:gd name="adj1" fmla="val -12892"/>
            <a:gd name="adj2" fmla="val -16825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対象となる施設名を選択してください。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民生電力需要量」のシートで記載された施設名が表示されます。なお、一度選択された施設名は表示されません。</a:t>
          </a:r>
        </a:p>
      </xdr:txBody>
    </xdr:sp>
    <xdr:clientData/>
  </xdr:twoCellAnchor>
  <xdr:twoCellAnchor editAs="oneCell">
    <xdr:from>
      <xdr:col>5</xdr:col>
      <xdr:colOff>109266</xdr:colOff>
      <xdr:row>15</xdr:row>
      <xdr:rowOff>80600</xdr:rowOff>
    </xdr:from>
    <xdr:to>
      <xdr:col>8</xdr:col>
      <xdr:colOff>656891</xdr:colOff>
      <xdr:row>16</xdr:row>
      <xdr:rowOff>641731</xdr:rowOff>
    </xdr:to>
    <xdr:sp macro="" textlink="">
      <xdr:nvSpPr>
        <xdr:cNvPr id="6" name="吹き出し: 角を丸めた四角形 62">
          <a:extLst>
            <a:ext uri="{FF2B5EF4-FFF2-40B4-BE49-F238E27FC236}">
              <a16:creationId xmlns:a16="http://schemas.microsoft.com/office/drawing/2014/main" id="{3F7E7034-A4CC-42D6-A91A-6DF4FCFAD84C}"/>
            </a:ext>
          </a:extLst>
        </xdr:cNvPr>
        <xdr:cNvSpPr/>
      </xdr:nvSpPr>
      <xdr:spPr>
        <a:xfrm>
          <a:off x="4481241" y="3509600"/>
          <a:ext cx="3976625" cy="1780331"/>
        </a:xfrm>
        <a:prstGeom prst="wedgeRoundRectCallout">
          <a:avLst>
            <a:gd name="adj1" fmla="val -55928"/>
            <a:gd name="adj2" fmla="val -7790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・地区代表者</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・住民</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としています。上記以外の合意形成対象者がいる場合は行を追加して記載してください。</a:t>
          </a:r>
        </a:p>
      </xdr:txBody>
    </xdr:sp>
    <xdr:clientData/>
  </xdr:twoCellAnchor>
  <xdr:oneCellAnchor>
    <xdr:from>
      <xdr:col>12</xdr:col>
      <xdr:colOff>158810</xdr:colOff>
      <xdr:row>9</xdr:row>
      <xdr:rowOff>552449</xdr:rowOff>
    </xdr:from>
    <xdr:ext cx="5038050" cy="885825"/>
    <xdr:sp macro="" textlink="">
      <xdr:nvSpPr>
        <xdr:cNvPr id="10" name="吹き出し: 角を丸めた四角形 63">
          <a:extLst>
            <a:ext uri="{FF2B5EF4-FFF2-40B4-BE49-F238E27FC236}">
              <a16:creationId xmlns:a16="http://schemas.microsoft.com/office/drawing/2014/main" id="{8E32B6F8-6402-41AF-9CB1-41CB5EB6EEFB}"/>
            </a:ext>
          </a:extLst>
        </xdr:cNvPr>
        <xdr:cNvSpPr/>
      </xdr:nvSpPr>
      <xdr:spPr>
        <a:xfrm>
          <a:off x="11541185" y="2571749"/>
          <a:ext cx="5038050" cy="885825"/>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合意形成対象者を追記したい場合は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”の範囲内のいずれかの行をコピーし挿入してください</a:t>
          </a:r>
        </a:p>
      </xdr:txBody>
    </xdr:sp>
    <xdr:clientData/>
  </xdr:oneCellAnchor>
  <xdr:twoCellAnchor>
    <xdr:from>
      <xdr:col>11</xdr:col>
      <xdr:colOff>46235</xdr:colOff>
      <xdr:row>9</xdr:row>
      <xdr:rowOff>730557</xdr:rowOff>
    </xdr:from>
    <xdr:to>
      <xdr:col>12</xdr:col>
      <xdr:colOff>88260</xdr:colOff>
      <xdr:row>12</xdr:row>
      <xdr:rowOff>240436</xdr:rowOff>
    </xdr:to>
    <xdr:sp macro="" textlink="">
      <xdr:nvSpPr>
        <xdr:cNvPr id="11" name="左中かっこ 36">
          <a:extLst>
            <a:ext uri="{FF2B5EF4-FFF2-40B4-BE49-F238E27FC236}">
              <a16:creationId xmlns:a16="http://schemas.microsoft.com/office/drawing/2014/main" id="{675A3C86-2764-47A4-B4E8-4CDD626CFD68}"/>
            </a:ext>
          </a:extLst>
        </xdr:cNvPr>
        <xdr:cNvSpPr/>
      </xdr:nvSpPr>
      <xdr:spPr>
        <a:xfrm flipH="1">
          <a:off x="11300531" y="2765023"/>
          <a:ext cx="189986" cy="490122"/>
        </a:xfrm>
        <a:prstGeom prst="leftBrace">
          <a:avLst>
            <a:gd name="adj1" fmla="val 53494"/>
            <a:gd name="adj2" fmla="val 50000"/>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12</xdr:col>
      <xdr:colOff>314417</xdr:colOff>
      <xdr:row>15</xdr:row>
      <xdr:rowOff>860024</xdr:rowOff>
    </xdr:from>
    <xdr:to>
      <xdr:col>31</xdr:col>
      <xdr:colOff>3955</xdr:colOff>
      <xdr:row>16</xdr:row>
      <xdr:rowOff>1046683</xdr:rowOff>
    </xdr:to>
    <xdr:sp macro="" textlink="">
      <xdr:nvSpPr>
        <xdr:cNvPr id="12" name="吹き出し: 角を丸めた四角形 62">
          <a:extLst>
            <a:ext uri="{FF2B5EF4-FFF2-40B4-BE49-F238E27FC236}">
              <a16:creationId xmlns:a16="http://schemas.microsoft.com/office/drawing/2014/main" id="{22F5A3BD-2075-49A4-A805-4CB4BB23FA3D}"/>
            </a:ext>
          </a:extLst>
        </xdr:cNvPr>
        <xdr:cNvSpPr/>
      </xdr:nvSpPr>
      <xdr:spPr>
        <a:xfrm>
          <a:off x="11716674" y="4300121"/>
          <a:ext cx="4785593" cy="1407340"/>
        </a:xfrm>
        <a:prstGeom prst="wedgeRoundRectCallout">
          <a:avLst>
            <a:gd name="adj1" fmla="val -59091"/>
            <a:gd name="adj2" fmla="val -6983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「懸念事項」と「懸念事項への対応策」について記載してください。枠内に収まる分量で記載を御願いします。もしも枠を超えざるを得ない場合は、文字サイズを小さくして枠内に収めてください。</a:t>
          </a:r>
        </a:p>
      </xdr:txBody>
    </xdr:sp>
    <xdr:clientData/>
  </xdr:twoCellAnchor>
  <xdr:twoCellAnchor editAs="absolute">
    <xdr:from>
      <xdr:col>1</xdr:col>
      <xdr:colOff>73981</xdr:colOff>
      <xdr:row>2</xdr:row>
      <xdr:rowOff>212694</xdr:rowOff>
    </xdr:from>
    <xdr:to>
      <xdr:col>6</xdr:col>
      <xdr:colOff>306522</xdr:colOff>
      <xdr:row>5</xdr:row>
      <xdr:rowOff>29412</xdr:rowOff>
    </xdr:to>
    <xdr:sp macro="" textlink="">
      <xdr:nvSpPr>
        <xdr:cNvPr id="13" name="吹き出し: 角を丸めた四角形 4">
          <a:extLst>
            <a:ext uri="{FF2B5EF4-FFF2-40B4-BE49-F238E27FC236}">
              <a16:creationId xmlns:a16="http://schemas.microsoft.com/office/drawing/2014/main" id="{81808AE9-2E35-4465-909C-295EE39C1DA1}"/>
            </a:ext>
          </a:extLst>
        </xdr:cNvPr>
        <xdr:cNvSpPr/>
      </xdr:nvSpPr>
      <xdr:spPr>
        <a:xfrm>
          <a:off x="240437" y="693568"/>
          <a:ext cx="5586886" cy="538028"/>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676275</xdr:colOff>
      <xdr:row>1</xdr:row>
      <xdr:rowOff>85725</xdr:rowOff>
    </xdr:from>
    <xdr:to>
      <xdr:col>13</xdr:col>
      <xdr:colOff>4161</xdr:colOff>
      <xdr:row>4</xdr:row>
      <xdr:rowOff>67096</xdr:rowOff>
    </xdr:to>
    <xdr:pic>
      <xdr:nvPicPr>
        <xdr:cNvPr id="2" name="図 1">
          <a:extLst>
            <a:ext uri="{FF2B5EF4-FFF2-40B4-BE49-F238E27FC236}">
              <a16:creationId xmlns:a16="http://schemas.microsoft.com/office/drawing/2014/main" id="{38A9CAE5-C848-40FC-8404-F60D92C698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53825" y="323850"/>
          <a:ext cx="1766286" cy="695746"/>
        </a:xfrm>
        <a:prstGeom prst="rect">
          <a:avLst/>
        </a:prstGeom>
      </xdr:spPr>
    </xdr:pic>
    <xdr:clientData/>
  </xdr:twoCellAnchor>
  <xdr:twoCellAnchor editAs="oneCell">
    <xdr:from>
      <xdr:col>1</xdr:col>
      <xdr:colOff>57150</xdr:colOff>
      <xdr:row>13</xdr:row>
      <xdr:rowOff>81489</xdr:rowOff>
    </xdr:from>
    <xdr:to>
      <xdr:col>4</xdr:col>
      <xdr:colOff>1691650</xdr:colOff>
      <xdr:row>16</xdr:row>
      <xdr:rowOff>1103681</xdr:rowOff>
    </xdr:to>
    <xdr:sp macro="" textlink="">
      <xdr:nvSpPr>
        <xdr:cNvPr id="4" name="吹き出し: 角を丸めた四角形 62">
          <a:extLst>
            <a:ext uri="{FF2B5EF4-FFF2-40B4-BE49-F238E27FC236}">
              <a16:creationId xmlns:a16="http://schemas.microsoft.com/office/drawing/2014/main" id="{CAFE7871-9F00-4599-8F53-04D2883F6A9C}"/>
            </a:ext>
          </a:extLst>
        </xdr:cNvPr>
        <xdr:cNvSpPr/>
      </xdr:nvSpPr>
      <xdr:spPr>
        <a:xfrm>
          <a:off x="219075" y="3396189"/>
          <a:ext cx="3968125" cy="1584167"/>
        </a:xfrm>
        <a:prstGeom prst="wedgeRoundRectCallout">
          <a:avLst>
            <a:gd name="adj1" fmla="val -12892"/>
            <a:gd name="adj2" fmla="val -16825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対象となる施設名を選択してください。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民生電力需要量」のシートで記載された施設名が表示されます。なお、一度選択された施設名は表示されません。</a:t>
          </a:r>
        </a:p>
      </xdr:txBody>
    </xdr:sp>
    <xdr:clientData/>
  </xdr:twoCellAnchor>
  <xdr:oneCellAnchor>
    <xdr:from>
      <xdr:col>13</xdr:col>
      <xdr:colOff>132454</xdr:colOff>
      <xdr:row>9</xdr:row>
      <xdr:rowOff>571499</xdr:rowOff>
    </xdr:from>
    <xdr:ext cx="5038050" cy="981075"/>
    <xdr:sp macro="" textlink="">
      <xdr:nvSpPr>
        <xdr:cNvPr id="6" name="吹き出し: 角を丸めた四角形 63">
          <a:extLst>
            <a:ext uri="{FF2B5EF4-FFF2-40B4-BE49-F238E27FC236}">
              <a16:creationId xmlns:a16="http://schemas.microsoft.com/office/drawing/2014/main" id="{6C53E520-7FF9-4387-A9FD-AADB79F09F91}"/>
            </a:ext>
          </a:extLst>
        </xdr:cNvPr>
        <xdr:cNvSpPr/>
      </xdr:nvSpPr>
      <xdr:spPr>
        <a:xfrm>
          <a:off x="13448404" y="2600324"/>
          <a:ext cx="5038050" cy="981075"/>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合意形成対象者を追記したい場合は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”の範囲内のいずれかの行をコピーし挿入してください</a:t>
          </a:r>
        </a:p>
      </xdr:txBody>
    </xdr:sp>
    <xdr:clientData/>
  </xdr:oneCellAnchor>
  <xdr:twoCellAnchor>
    <xdr:from>
      <xdr:col>12</xdr:col>
      <xdr:colOff>33843</xdr:colOff>
      <xdr:row>11</xdr:row>
      <xdr:rowOff>88143</xdr:rowOff>
    </xdr:from>
    <xdr:to>
      <xdr:col>13</xdr:col>
      <xdr:colOff>71429</xdr:colOff>
      <xdr:row>13</xdr:row>
      <xdr:rowOff>102015</xdr:rowOff>
    </xdr:to>
    <xdr:sp macro="" textlink="">
      <xdr:nvSpPr>
        <xdr:cNvPr id="7" name="左中かっこ 36">
          <a:extLst>
            <a:ext uri="{FF2B5EF4-FFF2-40B4-BE49-F238E27FC236}">
              <a16:creationId xmlns:a16="http://schemas.microsoft.com/office/drawing/2014/main" id="{456E65C4-278D-4D48-9723-6448EF5CA3A2}"/>
            </a:ext>
          </a:extLst>
        </xdr:cNvPr>
        <xdr:cNvSpPr/>
      </xdr:nvSpPr>
      <xdr:spPr>
        <a:xfrm flipH="1">
          <a:off x="13197393" y="2926593"/>
          <a:ext cx="189986" cy="490122"/>
        </a:xfrm>
        <a:prstGeom prst="leftBrace">
          <a:avLst>
            <a:gd name="adj1" fmla="val 53494"/>
            <a:gd name="adj2" fmla="val 50000"/>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12</xdr:col>
      <xdr:colOff>145186</xdr:colOff>
      <xdr:row>16</xdr:row>
      <xdr:rowOff>851716</xdr:rowOff>
    </xdr:from>
    <xdr:to>
      <xdr:col>30</xdr:col>
      <xdr:colOff>349254</xdr:colOff>
      <xdr:row>17</xdr:row>
      <xdr:rowOff>944606</xdr:rowOff>
    </xdr:to>
    <xdr:sp macro="" textlink="">
      <xdr:nvSpPr>
        <xdr:cNvPr id="8" name="吹き出し: 角を丸めた四角形 62">
          <a:extLst>
            <a:ext uri="{FF2B5EF4-FFF2-40B4-BE49-F238E27FC236}">
              <a16:creationId xmlns:a16="http://schemas.microsoft.com/office/drawing/2014/main" id="{9D5709FF-B73E-4BE7-9D8C-9D6908E11C34}"/>
            </a:ext>
          </a:extLst>
        </xdr:cNvPr>
        <xdr:cNvSpPr/>
      </xdr:nvSpPr>
      <xdr:spPr>
        <a:xfrm>
          <a:off x="13308736" y="4728391"/>
          <a:ext cx="4785593" cy="1407340"/>
        </a:xfrm>
        <a:prstGeom prst="wedgeRoundRectCallout">
          <a:avLst>
            <a:gd name="adj1" fmla="val -59091"/>
            <a:gd name="adj2" fmla="val -6983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「懸念事項」と「懸念事項への対応策」について記載してください。枠内に収まる分量で記載を御願いします。もしも枠を超えざるを得ない場合は、文字サイズを小さくして枠内に収めてください。</a:t>
          </a:r>
          <a:endParaRPr kumimoji="1" lang="ja-JP" altLang="en-US" sz="1400" b="0">
            <a:solidFill>
              <a:srgbClr val="FF99FF"/>
            </a:solidFill>
            <a:latin typeface="Meiryo UI" panose="020B0604030504040204" pitchFamily="50" charset="-128"/>
            <a:ea typeface="Meiryo UI" panose="020B0604030504040204" pitchFamily="50" charset="-128"/>
          </a:endParaRPr>
        </a:p>
      </xdr:txBody>
    </xdr:sp>
    <xdr:clientData/>
  </xdr:twoCellAnchor>
  <xdr:twoCellAnchor editAs="absolute">
    <xdr:from>
      <xdr:col>1</xdr:col>
      <xdr:colOff>127524</xdr:colOff>
      <xdr:row>2</xdr:row>
      <xdr:rowOff>178863</xdr:rowOff>
    </xdr:from>
    <xdr:to>
      <xdr:col>5</xdr:col>
      <xdr:colOff>713785</xdr:colOff>
      <xdr:row>5</xdr:row>
      <xdr:rowOff>69191</xdr:rowOff>
    </xdr:to>
    <xdr:sp macro="" textlink="">
      <xdr:nvSpPr>
        <xdr:cNvPr id="11" name="吹き出し: 角を丸めた四角形 4">
          <a:extLst>
            <a:ext uri="{FF2B5EF4-FFF2-40B4-BE49-F238E27FC236}">
              <a16:creationId xmlns:a16="http://schemas.microsoft.com/office/drawing/2014/main" id="{994DDBF1-B157-4C55-9D5F-E98680F2EFA4}"/>
            </a:ext>
          </a:extLst>
        </xdr:cNvPr>
        <xdr:cNvSpPr/>
      </xdr:nvSpPr>
      <xdr:spPr>
        <a:xfrm>
          <a:off x="289449" y="655113"/>
          <a:ext cx="5586886" cy="538028"/>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oneCell">
    <xdr:from>
      <xdr:col>4</xdr:col>
      <xdr:colOff>2200275</xdr:colOff>
      <xdr:row>15</xdr:row>
      <xdr:rowOff>123825</xdr:rowOff>
    </xdr:from>
    <xdr:to>
      <xdr:col>8</xdr:col>
      <xdr:colOff>82427</xdr:colOff>
      <xdr:row>17</xdr:row>
      <xdr:rowOff>695325</xdr:rowOff>
    </xdr:to>
    <xdr:sp macro="" textlink="">
      <xdr:nvSpPr>
        <xdr:cNvPr id="12" name="吹き出し: 角を丸めた四角形 62">
          <a:extLst>
            <a:ext uri="{FF2B5EF4-FFF2-40B4-BE49-F238E27FC236}">
              <a16:creationId xmlns:a16="http://schemas.microsoft.com/office/drawing/2014/main" id="{AF122856-CE73-4D1D-8271-B774C02B2F17}"/>
            </a:ext>
          </a:extLst>
        </xdr:cNvPr>
        <xdr:cNvSpPr/>
      </xdr:nvSpPr>
      <xdr:spPr>
        <a:xfrm>
          <a:off x="4695825" y="3771900"/>
          <a:ext cx="3978152" cy="2114550"/>
        </a:xfrm>
        <a:prstGeom prst="wedgeRoundRectCallout">
          <a:avLst>
            <a:gd name="adj1" fmla="val -40035"/>
            <a:gd name="adj2" fmla="val -6446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合意形成対象者を記載してください。同じ業種などでまとめて記載いただいて問題ありませんが、進捗度が異なる場合は、最も進捗が遅れている合意形成対象者に合わせて記載してください。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必要に応じて、行を追加</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削除してください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absolute">
    <xdr:from>
      <xdr:col>13</xdr:col>
      <xdr:colOff>123825</xdr:colOff>
      <xdr:row>7</xdr:row>
      <xdr:rowOff>152400</xdr:rowOff>
    </xdr:from>
    <xdr:to>
      <xdr:col>30</xdr:col>
      <xdr:colOff>72824</xdr:colOff>
      <xdr:row>9</xdr:row>
      <xdr:rowOff>469313</xdr:rowOff>
    </xdr:to>
    <xdr:sp macro="" textlink="">
      <xdr:nvSpPr>
        <xdr:cNvPr id="5" name="吹き出し: 角を丸めた四角形 21">
          <a:extLst>
            <a:ext uri="{FF2B5EF4-FFF2-40B4-BE49-F238E27FC236}">
              <a16:creationId xmlns:a16="http://schemas.microsoft.com/office/drawing/2014/main" id="{540D878A-F63B-4381-883F-4610D742C23E}"/>
            </a:ext>
          </a:extLst>
        </xdr:cNvPr>
        <xdr:cNvSpPr/>
      </xdr:nvSpPr>
      <xdr:spPr>
        <a:xfrm flipH="1">
          <a:off x="13439775" y="1704975"/>
          <a:ext cx="4378124" cy="793163"/>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chemeClr val="tx1"/>
              </a:solidFill>
              <a:latin typeface="Meiryo UI" panose="020B0604030504040204" pitchFamily="50" charset="-128"/>
              <a:ea typeface="Meiryo UI" panose="020B0604030504040204" pitchFamily="50" charset="-128"/>
            </a:rPr>
            <a:t>Word</a:t>
          </a:r>
          <a:r>
            <a:rPr kumimoji="1" lang="ja-JP" altLang="en-US" sz="1400" b="0">
              <a:solidFill>
                <a:schemeClr val="tx1"/>
              </a:solidFill>
              <a:latin typeface="Meiryo UI" panose="020B0604030504040204" pitchFamily="50" charset="-128"/>
              <a:ea typeface="Meiryo UI" panose="020B0604030504040204" pitchFamily="50" charset="-128"/>
            </a:rPr>
            <a:t>への貼付は点線の枠内のみ行ってください（懸念点、懸念点への対策は貼付対象外）</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19050</xdr:colOff>
      <xdr:row>4</xdr:row>
      <xdr:rowOff>171449</xdr:rowOff>
    </xdr:from>
    <xdr:to>
      <xdr:col>13</xdr:col>
      <xdr:colOff>210488</xdr:colOff>
      <xdr:row>8</xdr:row>
      <xdr:rowOff>219074</xdr:rowOff>
    </xdr:to>
    <xdr:pic>
      <xdr:nvPicPr>
        <xdr:cNvPr id="2" name="図 1">
          <a:extLst>
            <a:ext uri="{FF2B5EF4-FFF2-40B4-BE49-F238E27FC236}">
              <a16:creationId xmlns:a16="http://schemas.microsoft.com/office/drawing/2014/main" id="{A40B9494-A291-4DA6-9DFF-566AD55C15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77325" y="1123949"/>
          <a:ext cx="2248838" cy="885825"/>
        </a:xfrm>
        <a:prstGeom prst="rect">
          <a:avLst/>
        </a:prstGeom>
      </xdr:spPr>
    </xdr:pic>
    <xdr:clientData/>
  </xdr:twoCellAnchor>
  <xdr:twoCellAnchor editAs="absolute">
    <xdr:from>
      <xdr:col>9</xdr:col>
      <xdr:colOff>149639</xdr:colOff>
      <xdr:row>8</xdr:row>
      <xdr:rowOff>228600</xdr:rowOff>
    </xdr:from>
    <xdr:to>
      <xdr:col>16</xdr:col>
      <xdr:colOff>83690</xdr:colOff>
      <xdr:row>9</xdr:row>
      <xdr:rowOff>807974</xdr:rowOff>
    </xdr:to>
    <xdr:sp macro="" textlink="">
      <xdr:nvSpPr>
        <xdr:cNvPr id="3" name="吹き出し: 角を丸めた四角形 21">
          <a:extLst>
            <a:ext uri="{FF2B5EF4-FFF2-40B4-BE49-F238E27FC236}">
              <a16:creationId xmlns:a16="http://schemas.microsoft.com/office/drawing/2014/main" id="{0DD45B83-8B49-43B9-A68E-5A075D7154EB}"/>
            </a:ext>
          </a:extLst>
        </xdr:cNvPr>
        <xdr:cNvSpPr/>
      </xdr:nvSpPr>
      <xdr:spPr>
        <a:xfrm flipH="1">
          <a:off x="8893589" y="2019300"/>
          <a:ext cx="4363176" cy="817499"/>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chemeClr val="tx1"/>
              </a:solidFill>
              <a:latin typeface="Meiryo UI" panose="020B0604030504040204" pitchFamily="50" charset="-128"/>
              <a:ea typeface="Meiryo UI" panose="020B0604030504040204" pitchFamily="50" charset="-128"/>
            </a:rPr>
            <a:t>Word</a:t>
          </a:r>
          <a:r>
            <a:rPr kumimoji="1" lang="ja-JP" altLang="en-US" sz="1400" b="0">
              <a:solidFill>
                <a:schemeClr val="tx1"/>
              </a:solidFill>
              <a:latin typeface="Meiryo UI" panose="020B0604030504040204" pitchFamily="50" charset="-128"/>
              <a:ea typeface="Meiryo UI" panose="020B0604030504040204" pitchFamily="50" charset="-128"/>
            </a:rPr>
            <a:t>への貼付は点線の枠内のみ行ってください（懸念点、懸念点への対策は貼付対象外）</a:t>
          </a:r>
          <a:endParaRPr kumimoji="1" lang="en-US" altLang="ja-JP" sz="1400" b="0">
            <a:solidFill>
              <a:schemeClr val="tx1"/>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142875</xdr:colOff>
      <xdr:row>13</xdr:row>
      <xdr:rowOff>14814</xdr:rowOff>
    </xdr:from>
    <xdr:to>
      <xdr:col>4</xdr:col>
      <xdr:colOff>1615450</xdr:colOff>
      <xdr:row>16</xdr:row>
      <xdr:rowOff>1189406</xdr:rowOff>
    </xdr:to>
    <xdr:sp macro="" textlink="">
      <xdr:nvSpPr>
        <xdr:cNvPr id="4" name="吹き出し: 角を丸めた四角形 62">
          <a:extLst>
            <a:ext uri="{FF2B5EF4-FFF2-40B4-BE49-F238E27FC236}">
              <a16:creationId xmlns:a16="http://schemas.microsoft.com/office/drawing/2014/main" id="{FB6E2766-1358-4DF7-97F2-6F80FA261E1B}"/>
            </a:ext>
          </a:extLst>
        </xdr:cNvPr>
        <xdr:cNvSpPr/>
      </xdr:nvSpPr>
      <xdr:spPr>
        <a:xfrm>
          <a:off x="142875" y="3329514"/>
          <a:ext cx="3968125" cy="1584167"/>
        </a:xfrm>
        <a:prstGeom prst="wedgeRoundRectCallout">
          <a:avLst>
            <a:gd name="adj1" fmla="val -12892"/>
            <a:gd name="adj2" fmla="val -16825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対象となる施設名を選択してください。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4.2</a:t>
          </a:r>
          <a:r>
            <a:rPr kumimoji="1" lang="ja-JP" altLang="en-US" sz="1400" b="0">
              <a:solidFill>
                <a:sysClr val="windowText" lastClr="000000"/>
              </a:solidFill>
              <a:latin typeface="Meiryo UI" panose="020B0604030504040204" pitchFamily="50" charset="-128"/>
              <a:ea typeface="Meiryo UI" panose="020B0604030504040204" pitchFamily="50" charset="-128"/>
            </a:rPr>
            <a:t>民生電力需要量」のシートで記載された施設名が表示されます。なお、一度選択された施設名は表示されません。</a:t>
          </a:r>
        </a:p>
      </xdr:txBody>
    </xdr:sp>
    <xdr:clientData/>
  </xdr:twoCellAnchor>
  <xdr:oneCellAnchor>
    <xdr:from>
      <xdr:col>9</xdr:col>
      <xdr:colOff>151504</xdr:colOff>
      <xdr:row>11</xdr:row>
      <xdr:rowOff>57149</xdr:rowOff>
    </xdr:from>
    <xdr:ext cx="5038050" cy="885825"/>
    <xdr:sp macro="" textlink="">
      <xdr:nvSpPr>
        <xdr:cNvPr id="7" name="吹き出し: 角を丸めた四角形 63">
          <a:extLst>
            <a:ext uri="{FF2B5EF4-FFF2-40B4-BE49-F238E27FC236}">
              <a16:creationId xmlns:a16="http://schemas.microsoft.com/office/drawing/2014/main" id="{4C0DBCB1-A53A-457B-A907-B048A8169DF1}"/>
            </a:ext>
          </a:extLst>
        </xdr:cNvPr>
        <xdr:cNvSpPr/>
      </xdr:nvSpPr>
      <xdr:spPr>
        <a:xfrm>
          <a:off x="8895454" y="2895599"/>
          <a:ext cx="5038050" cy="885825"/>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合意形成対象者を追記したい場合は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”の範囲内のいずれかの行をコピーし挿入してください</a:t>
          </a:r>
        </a:p>
      </xdr:txBody>
    </xdr:sp>
    <xdr:clientData/>
  </xdr:oneCellAnchor>
  <xdr:twoCellAnchor>
    <xdr:from>
      <xdr:col>8</xdr:col>
      <xdr:colOff>62418</xdr:colOff>
      <xdr:row>11</xdr:row>
      <xdr:rowOff>97668</xdr:rowOff>
    </xdr:from>
    <xdr:to>
      <xdr:col>9</xdr:col>
      <xdr:colOff>100004</xdr:colOff>
      <xdr:row>13</xdr:row>
      <xdr:rowOff>111540</xdr:rowOff>
    </xdr:to>
    <xdr:sp macro="" textlink="">
      <xdr:nvSpPr>
        <xdr:cNvPr id="8" name="左中かっこ 36">
          <a:extLst>
            <a:ext uri="{FF2B5EF4-FFF2-40B4-BE49-F238E27FC236}">
              <a16:creationId xmlns:a16="http://schemas.microsoft.com/office/drawing/2014/main" id="{F0C886F7-7E7F-44F7-958E-C3CA64A8981B}"/>
            </a:ext>
          </a:extLst>
        </xdr:cNvPr>
        <xdr:cNvSpPr/>
      </xdr:nvSpPr>
      <xdr:spPr>
        <a:xfrm flipH="1">
          <a:off x="8653968" y="2936118"/>
          <a:ext cx="189986" cy="490122"/>
        </a:xfrm>
        <a:prstGeom prst="leftBrace">
          <a:avLst>
            <a:gd name="adj1" fmla="val 53494"/>
            <a:gd name="adj2" fmla="val 50000"/>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10</xdr:col>
      <xdr:colOff>30886</xdr:colOff>
      <xdr:row>17</xdr:row>
      <xdr:rowOff>137341</xdr:rowOff>
    </xdr:from>
    <xdr:to>
      <xdr:col>23</xdr:col>
      <xdr:colOff>15879</xdr:colOff>
      <xdr:row>17</xdr:row>
      <xdr:rowOff>1544681</xdr:rowOff>
    </xdr:to>
    <xdr:sp macro="" textlink="">
      <xdr:nvSpPr>
        <xdr:cNvPr id="9" name="吹き出し: 角を丸めた四角形 62">
          <a:extLst>
            <a:ext uri="{FF2B5EF4-FFF2-40B4-BE49-F238E27FC236}">
              <a16:creationId xmlns:a16="http://schemas.microsoft.com/office/drawing/2014/main" id="{55F04755-B139-4436-A4A3-3097C025977E}"/>
            </a:ext>
          </a:extLst>
        </xdr:cNvPr>
        <xdr:cNvSpPr/>
      </xdr:nvSpPr>
      <xdr:spPr>
        <a:xfrm>
          <a:off x="9089161" y="5176066"/>
          <a:ext cx="4785593" cy="1407340"/>
        </a:xfrm>
        <a:prstGeom prst="wedgeRoundRectCallout">
          <a:avLst>
            <a:gd name="adj1" fmla="val -59091"/>
            <a:gd name="adj2" fmla="val -6983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「懸念事項」と「懸念事項への対応策」について記載してください。枠内に収まる分量で記載を御願いします。もしも枠を超えざるを得ない場合は、文字サイズを小さくして枠内に収めてください。</a:t>
          </a:r>
        </a:p>
      </xdr:txBody>
    </xdr:sp>
    <xdr:clientData/>
  </xdr:twoCellAnchor>
  <xdr:twoCellAnchor editAs="absolute">
    <xdr:from>
      <xdr:col>0</xdr:col>
      <xdr:colOff>127524</xdr:colOff>
      <xdr:row>2</xdr:row>
      <xdr:rowOff>188388</xdr:rowOff>
    </xdr:from>
    <xdr:to>
      <xdr:col>5</xdr:col>
      <xdr:colOff>551860</xdr:colOff>
      <xdr:row>5</xdr:row>
      <xdr:rowOff>78716</xdr:rowOff>
    </xdr:to>
    <xdr:sp macro="" textlink="">
      <xdr:nvSpPr>
        <xdr:cNvPr id="10" name="吹き出し: 角を丸めた四角形 4">
          <a:extLst>
            <a:ext uri="{FF2B5EF4-FFF2-40B4-BE49-F238E27FC236}">
              <a16:creationId xmlns:a16="http://schemas.microsoft.com/office/drawing/2014/main" id="{9965DAEA-F154-4AAB-9836-1944E9FBD900}"/>
            </a:ext>
          </a:extLst>
        </xdr:cNvPr>
        <xdr:cNvSpPr/>
      </xdr:nvSpPr>
      <xdr:spPr>
        <a:xfrm>
          <a:off x="127524" y="664638"/>
          <a:ext cx="5586886" cy="538028"/>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oneCell">
    <xdr:from>
      <xdr:col>4</xdr:col>
      <xdr:colOff>1971675</xdr:colOff>
      <xdr:row>15</xdr:row>
      <xdr:rowOff>9525</xdr:rowOff>
    </xdr:from>
    <xdr:to>
      <xdr:col>7</xdr:col>
      <xdr:colOff>996827</xdr:colOff>
      <xdr:row>17</xdr:row>
      <xdr:rowOff>733425</xdr:rowOff>
    </xdr:to>
    <xdr:sp macro="" textlink="">
      <xdr:nvSpPr>
        <xdr:cNvPr id="11" name="吹き出し: 角を丸めた四角形 62">
          <a:extLst>
            <a:ext uri="{FF2B5EF4-FFF2-40B4-BE49-F238E27FC236}">
              <a16:creationId xmlns:a16="http://schemas.microsoft.com/office/drawing/2014/main" id="{A8ECC7F0-69EA-40E0-AA8D-6397D7AD6473}"/>
            </a:ext>
          </a:extLst>
        </xdr:cNvPr>
        <xdr:cNvSpPr/>
      </xdr:nvSpPr>
      <xdr:spPr>
        <a:xfrm>
          <a:off x="4467225" y="3657600"/>
          <a:ext cx="3978152" cy="2114550"/>
        </a:xfrm>
        <a:prstGeom prst="wedgeRoundRectCallout">
          <a:avLst>
            <a:gd name="adj1" fmla="val -40035"/>
            <a:gd name="adj2" fmla="val -6446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合意形成対象者を記載してください。同じ業種などでまとめて記載いただいて問題ありませんが、進捗度が異なる場合は、最も進捗が遅れている合意形成対象者に合わせて記載してください。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必要に応じて、行を追加</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削除してください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14</xdr:col>
      <xdr:colOff>65847</xdr:colOff>
      <xdr:row>0</xdr:row>
      <xdr:rowOff>82825</xdr:rowOff>
    </xdr:from>
    <xdr:to>
      <xdr:col>16</xdr:col>
      <xdr:colOff>3886</xdr:colOff>
      <xdr:row>3</xdr:row>
      <xdr:rowOff>5528</xdr:rowOff>
    </xdr:to>
    <xdr:pic>
      <xdr:nvPicPr>
        <xdr:cNvPr id="2" name="図 1">
          <a:extLst>
            <a:ext uri="{FF2B5EF4-FFF2-40B4-BE49-F238E27FC236}">
              <a16:creationId xmlns:a16="http://schemas.microsoft.com/office/drawing/2014/main" id="{45F46FD8-628D-4766-B476-EB5E1EE98D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82122" y="82825"/>
          <a:ext cx="1766839" cy="703753"/>
        </a:xfrm>
        <a:prstGeom prst="rect">
          <a:avLst/>
        </a:prstGeom>
      </xdr:spPr>
    </xdr:pic>
    <xdr:clientData/>
  </xdr:twoCellAnchor>
  <xdr:twoCellAnchor>
    <xdr:from>
      <xdr:col>5</xdr:col>
      <xdr:colOff>904989</xdr:colOff>
      <xdr:row>100</xdr:row>
      <xdr:rowOff>155120</xdr:rowOff>
    </xdr:from>
    <xdr:to>
      <xdr:col>7</xdr:col>
      <xdr:colOff>323749</xdr:colOff>
      <xdr:row>103</xdr:row>
      <xdr:rowOff>179955</xdr:rowOff>
    </xdr:to>
    <xdr:sp macro="" textlink="">
      <xdr:nvSpPr>
        <xdr:cNvPr id="4" name="矢印: 右 3">
          <a:extLst>
            <a:ext uri="{FF2B5EF4-FFF2-40B4-BE49-F238E27FC236}">
              <a16:creationId xmlns:a16="http://schemas.microsoft.com/office/drawing/2014/main" id="{DFD7295B-CEA2-4615-8820-6B610EF4B7FC}"/>
            </a:ext>
          </a:extLst>
        </xdr:cNvPr>
        <xdr:cNvSpPr/>
      </xdr:nvSpPr>
      <xdr:spPr>
        <a:xfrm rot="2256696">
          <a:off x="5581764" y="23005595"/>
          <a:ext cx="1476160" cy="739210"/>
        </a:xfrm>
        <a:prstGeom prst="rightArrow">
          <a:avLst>
            <a:gd name="adj1" fmla="val 50000"/>
            <a:gd name="adj2" fmla="val 0"/>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xdr:col>
      <xdr:colOff>143396</xdr:colOff>
      <xdr:row>77</xdr:row>
      <xdr:rowOff>154498</xdr:rowOff>
    </xdr:from>
    <xdr:to>
      <xdr:col>3</xdr:col>
      <xdr:colOff>1294811</xdr:colOff>
      <xdr:row>92</xdr:row>
      <xdr:rowOff>31945</xdr:rowOff>
    </xdr:to>
    <xdr:sp macro="" textlink="">
      <xdr:nvSpPr>
        <xdr:cNvPr id="5" name="正方形/長方形 4">
          <a:extLst>
            <a:ext uri="{FF2B5EF4-FFF2-40B4-BE49-F238E27FC236}">
              <a16:creationId xmlns:a16="http://schemas.microsoft.com/office/drawing/2014/main" id="{FEDF00A9-9BAE-4E9E-80DA-363409DBCE3F}"/>
            </a:ext>
          </a:extLst>
        </xdr:cNvPr>
        <xdr:cNvSpPr/>
      </xdr:nvSpPr>
      <xdr:spPr>
        <a:xfrm>
          <a:off x="429146" y="17528098"/>
          <a:ext cx="2008665" cy="3449322"/>
        </a:xfrm>
        <a:prstGeom prst="rect">
          <a:avLst/>
        </a:prstGeom>
        <a:solidFill>
          <a:schemeClr val="bg1"/>
        </a:solidFill>
        <a:ln w="28575">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600" b="0" i="0" u="sng" strike="noStrike" kern="1200" cap="none" spc="0" normalizeH="0" baseline="0">
              <a:ln>
                <a:noFill/>
              </a:ln>
              <a:solidFill>
                <a:srgbClr val="FF0000"/>
              </a:solidFill>
              <a:effectLst/>
              <a:uLnTx/>
              <a:uFillTx/>
              <a:latin typeface="Meiryo UI" panose="020B0604030504040204" pitchFamily="50" charset="-128"/>
              <a:ea typeface="Meiryo UI" panose="020B0604030504040204" pitchFamily="50" charset="-128"/>
              <a:cs typeface="+mn-cs"/>
            </a:rPr>
            <a:t>市内再エネ</a:t>
          </a:r>
        </a:p>
      </xdr:txBody>
    </xdr:sp>
    <xdr:clientData/>
  </xdr:twoCellAnchor>
  <xdr:oneCellAnchor>
    <xdr:from>
      <xdr:col>3</xdr:col>
      <xdr:colOff>353936</xdr:colOff>
      <xdr:row>84</xdr:row>
      <xdr:rowOff>223215</xdr:rowOff>
    </xdr:from>
    <xdr:ext cx="780636" cy="1002560"/>
    <xdr:pic>
      <xdr:nvPicPr>
        <xdr:cNvPr id="6" name="グラフィックス 240">
          <a:extLst>
            <a:ext uri="{FF2B5EF4-FFF2-40B4-BE49-F238E27FC236}">
              <a16:creationId xmlns:a16="http://schemas.microsoft.com/office/drawing/2014/main" id="{C56F391F-E530-4926-93CE-C3E811035FF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496936" y="19263690"/>
          <a:ext cx="780636" cy="1002560"/>
        </a:xfrm>
        <a:prstGeom prst="rect">
          <a:avLst/>
        </a:prstGeom>
      </xdr:spPr>
    </xdr:pic>
    <xdr:clientData/>
  </xdr:oneCellAnchor>
  <xdr:twoCellAnchor>
    <xdr:from>
      <xdr:col>1</xdr:col>
      <xdr:colOff>143396</xdr:colOff>
      <xdr:row>92</xdr:row>
      <xdr:rowOff>180920</xdr:rowOff>
    </xdr:from>
    <xdr:to>
      <xdr:col>3</xdr:col>
      <xdr:colOff>1294811</xdr:colOff>
      <xdr:row>106</xdr:row>
      <xdr:rowOff>9857</xdr:rowOff>
    </xdr:to>
    <xdr:sp macro="" textlink="">
      <xdr:nvSpPr>
        <xdr:cNvPr id="7" name="正方形/長方形 6">
          <a:extLst>
            <a:ext uri="{FF2B5EF4-FFF2-40B4-BE49-F238E27FC236}">
              <a16:creationId xmlns:a16="http://schemas.microsoft.com/office/drawing/2014/main" id="{4BF9A4BB-DDE9-485C-85FF-575CB9B09892}"/>
            </a:ext>
          </a:extLst>
        </xdr:cNvPr>
        <xdr:cNvSpPr/>
      </xdr:nvSpPr>
      <xdr:spPr>
        <a:xfrm>
          <a:off x="429146" y="21126395"/>
          <a:ext cx="2008665" cy="3162687"/>
        </a:xfrm>
        <a:prstGeom prst="rect">
          <a:avLst/>
        </a:prstGeom>
        <a:solidFill>
          <a:schemeClr val="bg1"/>
        </a:solidFill>
        <a:ln w="28575">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600" b="0" i="0" u="sng" strike="noStrike" kern="1200" cap="none" spc="0" normalizeH="0" baseline="0">
              <a:ln>
                <a:noFill/>
              </a:ln>
              <a:solidFill>
                <a:srgbClr val="FF0000"/>
              </a:solidFill>
              <a:effectLst/>
              <a:uLnTx/>
              <a:uFillTx/>
              <a:latin typeface="Meiryo UI" panose="020B0604030504040204" pitchFamily="50" charset="-128"/>
              <a:ea typeface="Meiryo UI" panose="020B0604030504040204" pitchFamily="50" charset="-128"/>
              <a:cs typeface="+mn-cs"/>
            </a:rPr>
            <a:t>市外再エネ</a:t>
          </a:r>
        </a:p>
      </xdr:txBody>
    </xdr:sp>
    <xdr:clientData/>
  </xdr:twoCellAnchor>
  <xdr:twoCellAnchor>
    <xdr:from>
      <xdr:col>2</xdr:col>
      <xdr:colOff>1501</xdr:colOff>
      <xdr:row>84</xdr:row>
      <xdr:rowOff>188128</xdr:rowOff>
    </xdr:from>
    <xdr:to>
      <xdr:col>3</xdr:col>
      <xdr:colOff>241250</xdr:colOff>
      <xdr:row>89</xdr:row>
      <xdr:rowOff>112946</xdr:rowOff>
    </xdr:to>
    <xdr:grpSp>
      <xdr:nvGrpSpPr>
        <xdr:cNvPr id="8" name="グループ化 7">
          <a:extLst>
            <a:ext uri="{FF2B5EF4-FFF2-40B4-BE49-F238E27FC236}">
              <a16:creationId xmlns:a16="http://schemas.microsoft.com/office/drawing/2014/main" id="{58071E6A-4411-4BDB-9F78-E6CED4574804}"/>
            </a:ext>
          </a:extLst>
        </xdr:cNvPr>
        <xdr:cNvGrpSpPr>
          <a:grpSpLocks noChangeAspect="1"/>
        </xdr:cNvGrpSpPr>
      </xdr:nvGrpSpPr>
      <xdr:grpSpPr>
        <a:xfrm>
          <a:off x="544426" y="19085728"/>
          <a:ext cx="836649" cy="1067818"/>
          <a:chOff x="0" y="0"/>
          <a:chExt cx="1982439" cy="2343105"/>
        </a:xfrm>
        <a:solidFill>
          <a:schemeClr val="accent6">
            <a:lumMod val="75000"/>
          </a:schemeClr>
        </a:solidFill>
      </xdr:grpSpPr>
      <xdr:sp macro="" textlink="">
        <xdr:nvSpPr>
          <xdr:cNvPr id="9" name="Freeform 12">
            <a:extLst>
              <a:ext uri="{FF2B5EF4-FFF2-40B4-BE49-F238E27FC236}">
                <a16:creationId xmlns:a16="http://schemas.microsoft.com/office/drawing/2014/main" id="{C1A89EA6-DC12-4BE0-C196-83E787676E93}"/>
              </a:ext>
            </a:extLst>
          </xdr:cNvPr>
          <xdr:cNvSpPr>
            <a:spLocks noEditPoints="1"/>
          </xdr:cNvSpPr>
        </xdr:nvSpPr>
        <xdr:spPr bwMode="auto">
          <a:xfrm>
            <a:off x="884738" y="0"/>
            <a:ext cx="1097701" cy="1455947"/>
          </a:xfrm>
          <a:custGeom>
            <a:avLst/>
            <a:gdLst>
              <a:gd name="T0" fmla="*/ 98 w 203"/>
              <a:gd name="T1" fmla="*/ 22 h 274"/>
              <a:gd name="T2" fmla="*/ 109 w 203"/>
              <a:gd name="T3" fmla="*/ 90 h 274"/>
              <a:gd name="T4" fmla="*/ 159 w 203"/>
              <a:gd name="T5" fmla="*/ 221 h 274"/>
              <a:gd name="T6" fmla="*/ 100 w 203"/>
              <a:gd name="T7" fmla="*/ 274 h 274"/>
              <a:gd name="T8" fmla="*/ 1 w 203"/>
              <a:gd name="T9" fmla="*/ 61 h 274"/>
              <a:gd name="T10" fmla="*/ 129 w 203"/>
              <a:gd name="T11" fmla="*/ 60 h 274"/>
              <a:gd name="T12" fmla="*/ 159 w 203"/>
              <a:gd name="T13" fmla="*/ 64 h 274"/>
              <a:gd name="T14" fmla="*/ 101 w 203"/>
              <a:gd name="T15" fmla="*/ 84 h 274"/>
              <a:gd name="T16" fmla="*/ 99 w 203"/>
              <a:gd name="T17" fmla="*/ 77 h 274"/>
              <a:gd name="T18" fmla="*/ 74 w 203"/>
              <a:gd name="T19" fmla="*/ 62 h 274"/>
              <a:gd name="T20" fmla="*/ 85 w 203"/>
              <a:gd name="T21" fmla="*/ 79 h 274"/>
              <a:gd name="T22" fmla="*/ 107 w 203"/>
              <a:gd name="T23" fmla="*/ 58 h 274"/>
              <a:gd name="T24" fmla="*/ 124 w 203"/>
              <a:gd name="T25" fmla="*/ 32 h 274"/>
              <a:gd name="T26" fmla="*/ 109 w 203"/>
              <a:gd name="T27" fmla="*/ 35 h 274"/>
              <a:gd name="T28" fmla="*/ 47 w 203"/>
              <a:gd name="T29" fmla="*/ 62 h 274"/>
              <a:gd name="T30" fmla="*/ 79 w 203"/>
              <a:gd name="T31" fmla="*/ 51 h 274"/>
              <a:gd name="T32" fmla="*/ 8 w 203"/>
              <a:gd name="T33" fmla="*/ 181 h 274"/>
              <a:gd name="T34" fmla="*/ 18 w 203"/>
              <a:gd name="T35" fmla="*/ 180 h 274"/>
              <a:gd name="T36" fmla="*/ 18 w 203"/>
              <a:gd name="T37" fmla="*/ 127 h 274"/>
              <a:gd name="T38" fmla="*/ 8 w 203"/>
              <a:gd name="T39" fmla="*/ 115 h 274"/>
              <a:gd name="T40" fmla="*/ 18 w 203"/>
              <a:gd name="T41" fmla="*/ 87 h 274"/>
              <a:gd name="T42" fmla="*/ 26 w 203"/>
              <a:gd name="T43" fmla="*/ 171 h 274"/>
              <a:gd name="T44" fmla="*/ 36 w 203"/>
              <a:gd name="T45" fmla="*/ 170 h 274"/>
              <a:gd name="T46" fmla="*/ 36 w 203"/>
              <a:gd name="T47" fmla="*/ 117 h 274"/>
              <a:gd name="T48" fmla="*/ 26 w 203"/>
              <a:gd name="T49" fmla="*/ 105 h 274"/>
              <a:gd name="T50" fmla="*/ 54 w 203"/>
              <a:gd name="T51" fmla="*/ 206 h 274"/>
              <a:gd name="T52" fmla="*/ 44 w 203"/>
              <a:gd name="T53" fmla="*/ 161 h 274"/>
              <a:gd name="T54" fmla="*/ 54 w 203"/>
              <a:gd name="T55" fmla="*/ 160 h 274"/>
              <a:gd name="T56" fmla="*/ 54 w 203"/>
              <a:gd name="T57" fmla="*/ 107 h 274"/>
              <a:gd name="T58" fmla="*/ 62 w 203"/>
              <a:gd name="T59" fmla="*/ 225 h 274"/>
              <a:gd name="T60" fmla="*/ 71 w 203"/>
              <a:gd name="T61" fmla="*/ 196 h 274"/>
              <a:gd name="T62" fmla="*/ 62 w 203"/>
              <a:gd name="T63" fmla="*/ 151 h 274"/>
              <a:gd name="T64" fmla="*/ 71 w 203"/>
              <a:gd name="T65" fmla="*/ 150 h 274"/>
              <a:gd name="T66" fmla="*/ 89 w 203"/>
              <a:gd name="T67" fmla="*/ 226 h 274"/>
              <a:gd name="T68" fmla="*/ 79 w 203"/>
              <a:gd name="T69" fmla="*/ 215 h 274"/>
              <a:gd name="T70" fmla="*/ 89 w 203"/>
              <a:gd name="T71" fmla="*/ 186 h 274"/>
              <a:gd name="T72" fmla="*/ 79 w 203"/>
              <a:gd name="T73" fmla="*/ 141 h 274"/>
              <a:gd name="T74" fmla="*/ 89 w 203"/>
              <a:gd name="T75" fmla="*/ 140 h 274"/>
              <a:gd name="T76" fmla="*/ 12 w 203"/>
              <a:gd name="T77" fmla="*/ 65 h 274"/>
              <a:gd name="T78" fmla="*/ 103 w 203"/>
              <a:gd name="T79" fmla="*/ 119 h 274"/>
              <a:gd name="T80" fmla="*/ 115 w 203"/>
              <a:gd name="T81" fmla="*/ 205 h 274"/>
              <a:gd name="T82" fmla="*/ 125 w 203"/>
              <a:gd name="T83" fmla="*/ 193 h 274"/>
              <a:gd name="T84" fmla="*/ 125 w 203"/>
              <a:gd name="T85" fmla="*/ 140 h 274"/>
              <a:gd name="T86" fmla="*/ 115 w 203"/>
              <a:gd name="T87" fmla="*/ 139 h 274"/>
              <a:gd name="T88" fmla="*/ 142 w 203"/>
              <a:gd name="T89" fmla="*/ 209 h 274"/>
              <a:gd name="T90" fmla="*/ 133 w 203"/>
              <a:gd name="T91" fmla="*/ 175 h 274"/>
              <a:gd name="T92" fmla="*/ 142 w 203"/>
              <a:gd name="T93" fmla="*/ 163 h 274"/>
              <a:gd name="T94" fmla="*/ 142 w 203"/>
              <a:gd name="T95" fmla="*/ 110 h 274"/>
              <a:gd name="T96" fmla="*/ 150 w 203"/>
              <a:gd name="T97" fmla="*/ 219 h 274"/>
              <a:gd name="T98" fmla="*/ 160 w 203"/>
              <a:gd name="T99" fmla="*/ 179 h 274"/>
              <a:gd name="T100" fmla="*/ 150 w 203"/>
              <a:gd name="T101" fmla="*/ 145 h 274"/>
              <a:gd name="T102" fmla="*/ 160 w 203"/>
              <a:gd name="T103" fmla="*/ 134 h 274"/>
              <a:gd name="T104" fmla="*/ 178 w 203"/>
              <a:gd name="T105" fmla="*/ 189 h 274"/>
              <a:gd name="T106" fmla="*/ 168 w 203"/>
              <a:gd name="T107" fmla="*/ 189 h 274"/>
              <a:gd name="T108" fmla="*/ 178 w 203"/>
              <a:gd name="T109" fmla="*/ 149 h 274"/>
              <a:gd name="T110" fmla="*/ 168 w 203"/>
              <a:gd name="T111" fmla="*/ 115 h 274"/>
              <a:gd name="T112" fmla="*/ 178 w 203"/>
              <a:gd name="T113" fmla="*/ 104 h 274"/>
              <a:gd name="T114" fmla="*/ 196 w 203"/>
              <a:gd name="T115" fmla="*/ 159 h 274"/>
              <a:gd name="T116" fmla="*/ 186 w 203"/>
              <a:gd name="T117" fmla="*/ 159 h 274"/>
              <a:gd name="T118" fmla="*/ 196 w 203"/>
              <a:gd name="T119" fmla="*/ 120 h 274"/>
              <a:gd name="T120" fmla="*/ 186 w 203"/>
              <a:gd name="T121" fmla="*/ 85 h 274"/>
              <a:gd name="T122" fmla="*/ 94 w 203"/>
              <a:gd name="T123" fmla="*/ 54 h 274"/>
              <a:gd name="T124" fmla="*/ 75 w 203"/>
              <a:gd name="T125" fmla="*/ 51 h 2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03" h="274">
                <a:moveTo>
                  <a:pt x="115" y="58"/>
                </a:moveTo>
                <a:cubicBezTo>
                  <a:pt x="108" y="46"/>
                  <a:pt x="108" y="46"/>
                  <a:pt x="108" y="46"/>
                </a:cubicBezTo>
                <a:cubicBezTo>
                  <a:pt x="124" y="36"/>
                  <a:pt x="124" y="36"/>
                  <a:pt x="124" y="36"/>
                </a:cubicBezTo>
                <a:cubicBezTo>
                  <a:pt x="131" y="48"/>
                  <a:pt x="131" y="48"/>
                  <a:pt x="131" y="48"/>
                </a:cubicBezTo>
                <a:lnTo>
                  <a:pt x="115" y="58"/>
                </a:lnTo>
                <a:close/>
                <a:moveTo>
                  <a:pt x="105" y="34"/>
                </a:moveTo>
                <a:cubicBezTo>
                  <a:pt x="98" y="22"/>
                  <a:pt x="98" y="22"/>
                  <a:pt x="98" y="22"/>
                </a:cubicBezTo>
                <a:cubicBezTo>
                  <a:pt x="82" y="32"/>
                  <a:pt x="82" y="32"/>
                  <a:pt x="82" y="32"/>
                </a:cubicBezTo>
                <a:cubicBezTo>
                  <a:pt x="89" y="44"/>
                  <a:pt x="89" y="44"/>
                  <a:pt x="89" y="44"/>
                </a:cubicBezTo>
                <a:lnTo>
                  <a:pt x="105" y="34"/>
                </a:lnTo>
                <a:close/>
                <a:moveTo>
                  <a:pt x="125" y="80"/>
                </a:moveTo>
                <a:cubicBezTo>
                  <a:pt x="118" y="68"/>
                  <a:pt x="118" y="68"/>
                  <a:pt x="118" y="68"/>
                </a:cubicBezTo>
                <a:cubicBezTo>
                  <a:pt x="102" y="78"/>
                  <a:pt x="102" y="78"/>
                  <a:pt x="102" y="78"/>
                </a:cubicBezTo>
                <a:cubicBezTo>
                  <a:pt x="109" y="90"/>
                  <a:pt x="109" y="90"/>
                  <a:pt x="109" y="90"/>
                </a:cubicBezTo>
                <a:lnTo>
                  <a:pt x="125" y="80"/>
                </a:lnTo>
                <a:close/>
                <a:moveTo>
                  <a:pt x="203" y="61"/>
                </a:moveTo>
                <a:cubicBezTo>
                  <a:pt x="203" y="215"/>
                  <a:pt x="203" y="215"/>
                  <a:pt x="203" y="215"/>
                </a:cubicBezTo>
                <a:cubicBezTo>
                  <a:pt x="203" y="216"/>
                  <a:pt x="203" y="217"/>
                  <a:pt x="202" y="217"/>
                </a:cubicBezTo>
                <a:cubicBezTo>
                  <a:pt x="174" y="233"/>
                  <a:pt x="174" y="233"/>
                  <a:pt x="174" y="233"/>
                </a:cubicBezTo>
                <a:cubicBezTo>
                  <a:pt x="174" y="213"/>
                  <a:pt x="174" y="213"/>
                  <a:pt x="174" y="213"/>
                </a:cubicBezTo>
                <a:cubicBezTo>
                  <a:pt x="159" y="221"/>
                  <a:pt x="159" y="221"/>
                  <a:pt x="159" y="221"/>
                </a:cubicBezTo>
                <a:cubicBezTo>
                  <a:pt x="159" y="241"/>
                  <a:pt x="159" y="241"/>
                  <a:pt x="159" y="241"/>
                </a:cubicBezTo>
                <a:cubicBezTo>
                  <a:pt x="155" y="244"/>
                  <a:pt x="155" y="244"/>
                  <a:pt x="155" y="244"/>
                </a:cubicBezTo>
                <a:cubicBezTo>
                  <a:pt x="155" y="223"/>
                  <a:pt x="155" y="223"/>
                  <a:pt x="155" y="223"/>
                </a:cubicBezTo>
                <a:cubicBezTo>
                  <a:pt x="139" y="233"/>
                  <a:pt x="139" y="233"/>
                  <a:pt x="139" y="233"/>
                </a:cubicBezTo>
                <a:cubicBezTo>
                  <a:pt x="139" y="253"/>
                  <a:pt x="139" y="253"/>
                  <a:pt x="139" y="253"/>
                </a:cubicBezTo>
                <a:cubicBezTo>
                  <a:pt x="102" y="274"/>
                  <a:pt x="102" y="274"/>
                  <a:pt x="102" y="274"/>
                </a:cubicBezTo>
                <a:cubicBezTo>
                  <a:pt x="102" y="274"/>
                  <a:pt x="101" y="274"/>
                  <a:pt x="100" y="274"/>
                </a:cubicBezTo>
                <a:cubicBezTo>
                  <a:pt x="1" y="219"/>
                  <a:pt x="1" y="219"/>
                  <a:pt x="1" y="219"/>
                </a:cubicBezTo>
                <a:cubicBezTo>
                  <a:pt x="1" y="218"/>
                  <a:pt x="0" y="218"/>
                  <a:pt x="0" y="217"/>
                </a:cubicBezTo>
                <a:cubicBezTo>
                  <a:pt x="0" y="62"/>
                  <a:pt x="0" y="62"/>
                  <a:pt x="0" y="62"/>
                </a:cubicBezTo>
                <a:cubicBezTo>
                  <a:pt x="0" y="62"/>
                  <a:pt x="1" y="61"/>
                  <a:pt x="1" y="61"/>
                </a:cubicBezTo>
                <a:cubicBezTo>
                  <a:pt x="1" y="61"/>
                  <a:pt x="1" y="61"/>
                  <a:pt x="1" y="61"/>
                </a:cubicBezTo>
                <a:cubicBezTo>
                  <a:pt x="1" y="61"/>
                  <a:pt x="1" y="61"/>
                  <a:pt x="1" y="61"/>
                </a:cubicBezTo>
                <a:cubicBezTo>
                  <a:pt x="1" y="61"/>
                  <a:pt x="1" y="61"/>
                  <a:pt x="1" y="61"/>
                </a:cubicBezTo>
                <a:cubicBezTo>
                  <a:pt x="101" y="1"/>
                  <a:pt x="101" y="1"/>
                  <a:pt x="101" y="1"/>
                </a:cubicBezTo>
                <a:cubicBezTo>
                  <a:pt x="102" y="0"/>
                  <a:pt x="102" y="0"/>
                  <a:pt x="103" y="1"/>
                </a:cubicBezTo>
                <a:cubicBezTo>
                  <a:pt x="202" y="59"/>
                  <a:pt x="202" y="59"/>
                  <a:pt x="202" y="59"/>
                </a:cubicBezTo>
                <a:cubicBezTo>
                  <a:pt x="203" y="59"/>
                  <a:pt x="203" y="60"/>
                  <a:pt x="203" y="61"/>
                </a:cubicBezTo>
                <a:close/>
                <a:moveTo>
                  <a:pt x="149" y="47"/>
                </a:moveTo>
                <a:cubicBezTo>
                  <a:pt x="129" y="59"/>
                  <a:pt x="129" y="59"/>
                  <a:pt x="129" y="59"/>
                </a:cubicBezTo>
                <a:cubicBezTo>
                  <a:pt x="129" y="59"/>
                  <a:pt x="129" y="59"/>
                  <a:pt x="129" y="60"/>
                </a:cubicBezTo>
                <a:cubicBezTo>
                  <a:pt x="129" y="72"/>
                  <a:pt x="129" y="72"/>
                  <a:pt x="129" y="72"/>
                </a:cubicBezTo>
                <a:cubicBezTo>
                  <a:pt x="129" y="73"/>
                  <a:pt x="129" y="74"/>
                  <a:pt x="130" y="74"/>
                </a:cubicBezTo>
                <a:cubicBezTo>
                  <a:pt x="131" y="74"/>
                  <a:pt x="132" y="73"/>
                  <a:pt x="132" y="72"/>
                </a:cubicBezTo>
                <a:cubicBezTo>
                  <a:pt x="132" y="66"/>
                  <a:pt x="132" y="66"/>
                  <a:pt x="132" y="66"/>
                </a:cubicBezTo>
                <a:cubicBezTo>
                  <a:pt x="138" y="75"/>
                  <a:pt x="138" y="75"/>
                  <a:pt x="138" y="75"/>
                </a:cubicBezTo>
                <a:cubicBezTo>
                  <a:pt x="138" y="76"/>
                  <a:pt x="139" y="76"/>
                  <a:pt x="140" y="76"/>
                </a:cubicBezTo>
                <a:cubicBezTo>
                  <a:pt x="159" y="64"/>
                  <a:pt x="159" y="64"/>
                  <a:pt x="159" y="64"/>
                </a:cubicBezTo>
                <a:cubicBezTo>
                  <a:pt x="160" y="63"/>
                  <a:pt x="160" y="62"/>
                  <a:pt x="160" y="62"/>
                </a:cubicBezTo>
                <a:cubicBezTo>
                  <a:pt x="151" y="47"/>
                  <a:pt x="151" y="47"/>
                  <a:pt x="151" y="47"/>
                </a:cubicBezTo>
                <a:cubicBezTo>
                  <a:pt x="151" y="46"/>
                  <a:pt x="150" y="46"/>
                  <a:pt x="149" y="47"/>
                </a:cubicBezTo>
                <a:close/>
                <a:moveTo>
                  <a:pt x="98" y="90"/>
                </a:moveTo>
                <a:cubicBezTo>
                  <a:pt x="98" y="91"/>
                  <a:pt x="99" y="91"/>
                  <a:pt x="100" y="91"/>
                </a:cubicBezTo>
                <a:cubicBezTo>
                  <a:pt x="100" y="91"/>
                  <a:pt x="101" y="91"/>
                  <a:pt x="101" y="90"/>
                </a:cubicBezTo>
                <a:cubicBezTo>
                  <a:pt x="101" y="84"/>
                  <a:pt x="101" y="84"/>
                  <a:pt x="101" y="84"/>
                </a:cubicBezTo>
                <a:cubicBezTo>
                  <a:pt x="107" y="93"/>
                  <a:pt x="107" y="93"/>
                  <a:pt x="107" y="93"/>
                </a:cubicBezTo>
                <a:cubicBezTo>
                  <a:pt x="108" y="94"/>
                  <a:pt x="109" y="94"/>
                  <a:pt x="109" y="94"/>
                </a:cubicBezTo>
                <a:cubicBezTo>
                  <a:pt x="129" y="82"/>
                  <a:pt x="129" y="82"/>
                  <a:pt x="129" y="82"/>
                </a:cubicBezTo>
                <a:cubicBezTo>
                  <a:pt x="129" y="81"/>
                  <a:pt x="130" y="80"/>
                  <a:pt x="129" y="79"/>
                </a:cubicBezTo>
                <a:cubicBezTo>
                  <a:pt x="120" y="65"/>
                  <a:pt x="120" y="65"/>
                  <a:pt x="120" y="65"/>
                </a:cubicBezTo>
                <a:cubicBezTo>
                  <a:pt x="120" y="64"/>
                  <a:pt x="119" y="64"/>
                  <a:pt x="118" y="65"/>
                </a:cubicBezTo>
                <a:cubicBezTo>
                  <a:pt x="99" y="77"/>
                  <a:pt x="99" y="77"/>
                  <a:pt x="99" y="77"/>
                </a:cubicBezTo>
                <a:cubicBezTo>
                  <a:pt x="98" y="77"/>
                  <a:pt x="98" y="77"/>
                  <a:pt x="98" y="78"/>
                </a:cubicBezTo>
                <a:lnTo>
                  <a:pt x="98" y="90"/>
                </a:lnTo>
                <a:close/>
                <a:moveTo>
                  <a:pt x="104" y="67"/>
                </a:moveTo>
                <a:cubicBezTo>
                  <a:pt x="105" y="67"/>
                  <a:pt x="105" y="66"/>
                  <a:pt x="105" y="65"/>
                </a:cubicBezTo>
                <a:cubicBezTo>
                  <a:pt x="96" y="51"/>
                  <a:pt x="96" y="51"/>
                  <a:pt x="96" y="51"/>
                </a:cubicBezTo>
                <a:cubicBezTo>
                  <a:pt x="95" y="50"/>
                  <a:pt x="94" y="50"/>
                  <a:pt x="93" y="50"/>
                </a:cubicBezTo>
                <a:cubicBezTo>
                  <a:pt x="74" y="62"/>
                  <a:pt x="74" y="62"/>
                  <a:pt x="74" y="62"/>
                </a:cubicBezTo>
                <a:cubicBezTo>
                  <a:pt x="73" y="63"/>
                  <a:pt x="73" y="63"/>
                  <a:pt x="73" y="64"/>
                </a:cubicBezTo>
                <a:cubicBezTo>
                  <a:pt x="73" y="76"/>
                  <a:pt x="73" y="76"/>
                  <a:pt x="73" y="76"/>
                </a:cubicBezTo>
                <a:cubicBezTo>
                  <a:pt x="73" y="77"/>
                  <a:pt x="74" y="77"/>
                  <a:pt x="75" y="77"/>
                </a:cubicBezTo>
                <a:cubicBezTo>
                  <a:pt x="76" y="77"/>
                  <a:pt x="76" y="77"/>
                  <a:pt x="76" y="76"/>
                </a:cubicBezTo>
                <a:cubicBezTo>
                  <a:pt x="76" y="69"/>
                  <a:pt x="76" y="69"/>
                  <a:pt x="76" y="69"/>
                </a:cubicBezTo>
                <a:cubicBezTo>
                  <a:pt x="82" y="79"/>
                  <a:pt x="82" y="79"/>
                  <a:pt x="82" y="79"/>
                </a:cubicBezTo>
                <a:cubicBezTo>
                  <a:pt x="83" y="80"/>
                  <a:pt x="84" y="80"/>
                  <a:pt x="85" y="79"/>
                </a:cubicBezTo>
                <a:lnTo>
                  <a:pt x="104" y="67"/>
                </a:lnTo>
                <a:close/>
                <a:moveTo>
                  <a:pt x="124" y="32"/>
                </a:moveTo>
                <a:cubicBezTo>
                  <a:pt x="105" y="44"/>
                  <a:pt x="105" y="44"/>
                  <a:pt x="105" y="44"/>
                </a:cubicBezTo>
                <a:cubicBezTo>
                  <a:pt x="104" y="45"/>
                  <a:pt x="104" y="45"/>
                  <a:pt x="104" y="46"/>
                </a:cubicBezTo>
                <a:cubicBezTo>
                  <a:pt x="104" y="58"/>
                  <a:pt x="104" y="58"/>
                  <a:pt x="104" y="58"/>
                </a:cubicBezTo>
                <a:cubicBezTo>
                  <a:pt x="104" y="59"/>
                  <a:pt x="105" y="59"/>
                  <a:pt x="105" y="59"/>
                </a:cubicBezTo>
                <a:cubicBezTo>
                  <a:pt x="106" y="59"/>
                  <a:pt x="107" y="59"/>
                  <a:pt x="107" y="58"/>
                </a:cubicBezTo>
                <a:cubicBezTo>
                  <a:pt x="107" y="51"/>
                  <a:pt x="107" y="51"/>
                  <a:pt x="107" y="51"/>
                </a:cubicBezTo>
                <a:cubicBezTo>
                  <a:pt x="113" y="61"/>
                  <a:pt x="113" y="61"/>
                  <a:pt x="113" y="61"/>
                </a:cubicBezTo>
                <a:cubicBezTo>
                  <a:pt x="114" y="62"/>
                  <a:pt x="115" y="62"/>
                  <a:pt x="115" y="62"/>
                </a:cubicBezTo>
                <a:cubicBezTo>
                  <a:pt x="135" y="50"/>
                  <a:pt x="135" y="50"/>
                  <a:pt x="135" y="50"/>
                </a:cubicBezTo>
                <a:cubicBezTo>
                  <a:pt x="135" y="49"/>
                  <a:pt x="136" y="48"/>
                  <a:pt x="135" y="47"/>
                </a:cubicBezTo>
                <a:cubicBezTo>
                  <a:pt x="126" y="33"/>
                  <a:pt x="126" y="33"/>
                  <a:pt x="126" y="33"/>
                </a:cubicBezTo>
                <a:cubicBezTo>
                  <a:pt x="126" y="32"/>
                  <a:pt x="125" y="32"/>
                  <a:pt x="124" y="32"/>
                </a:cubicBezTo>
                <a:close/>
                <a:moveTo>
                  <a:pt x="78" y="44"/>
                </a:moveTo>
                <a:cubicBezTo>
                  <a:pt x="78" y="45"/>
                  <a:pt x="79" y="45"/>
                  <a:pt x="80" y="45"/>
                </a:cubicBezTo>
                <a:cubicBezTo>
                  <a:pt x="80" y="45"/>
                  <a:pt x="81" y="45"/>
                  <a:pt x="81" y="44"/>
                </a:cubicBezTo>
                <a:cubicBezTo>
                  <a:pt x="81" y="37"/>
                  <a:pt x="81" y="37"/>
                  <a:pt x="81" y="37"/>
                </a:cubicBezTo>
                <a:cubicBezTo>
                  <a:pt x="87" y="47"/>
                  <a:pt x="87" y="47"/>
                  <a:pt x="87" y="47"/>
                </a:cubicBezTo>
                <a:cubicBezTo>
                  <a:pt x="88" y="48"/>
                  <a:pt x="89" y="48"/>
                  <a:pt x="89" y="47"/>
                </a:cubicBezTo>
                <a:cubicBezTo>
                  <a:pt x="109" y="35"/>
                  <a:pt x="109" y="35"/>
                  <a:pt x="109" y="35"/>
                </a:cubicBezTo>
                <a:cubicBezTo>
                  <a:pt x="109" y="35"/>
                  <a:pt x="110" y="34"/>
                  <a:pt x="109" y="33"/>
                </a:cubicBezTo>
                <a:cubicBezTo>
                  <a:pt x="100" y="19"/>
                  <a:pt x="100" y="19"/>
                  <a:pt x="100" y="19"/>
                </a:cubicBezTo>
                <a:cubicBezTo>
                  <a:pt x="100" y="18"/>
                  <a:pt x="99" y="18"/>
                  <a:pt x="98" y="18"/>
                </a:cubicBezTo>
                <a:cubicBezTo>
                  <a:pt x="79" y="30"/>
                  <a:pt x="79" y="30"/>
                  <a:pt x="79" y="30"/>
                </a:cubicBezTo>
                <a:cubicBezTo>
                  <a:pt x="78" y="31"/>
                  <a:pt x="78" y="31"/>
                  <a:pt x="78" y="32"/>
                </a:cubicBezTo>
                <a:lnTo>
                  <a:pt x="78" y="44"/>
                </a:lnTo>
                <a:close/>
                <a:moveTo>
                  <a:pt x="47" y="62"/>
                </a:moveTo>
                <a:cubicBezTo>
                  <a:pt x="47" y="62"/>
                  <a:pt x="48" y="63"/>
                  <a:pt x="49" y="63"/>
                </a:cubicBezTo>
                <a:cubicBezTo>
                  <a:pt x="50" y="63"/>
                  <a:pt x="51" y="62"/>
                  <a:pt x="51" y="62"/>
                </a:cubicBezTo>
                <a:cubicBezTo>
                  <a:pt x="51" y="55"/>
                  <a:pt x="51" y="55"/>
                  <a:pt x="51" y="55"/>
                </a:cubicBezTo>
                <a:cubicBezTo>
                  <a:pt x="57" y="65"/>
                  <a:pt x="57" y="65"/>
                  <a:pt x="57" y="65"/>
                </a:cubicBezTo>
                <a:cubicBezTo>
                  <a:pt x="57" y="66"/>
                  <a:pt x="58" y="66"/>
                  <a:pt x="59" y="65"/>
                </a:cubicBezTo>
                <a:cubicBezTo>
                  <a:pt x="78" y="53"/>
                  <a:pt x="78" y="53"/>
                  <a:pt x="78" y="53"/>
                </a:cubicBezTo>
                <a:cubicBezTo>
                  <a:pt x="79" y="53"/>
                  <a:pt x="79" y="52"/>
                  <a:pt x="79" y="51"/>
                </a:cubicBezTo>
                <a:cubicBezTo>
                  <a:pt x="70" y="37"/>
                  <a:pt x="70" y="37"/>
                  <a:pt x="70" y="37"/>
                </a:cubicBezTo>
                <a:cubicBezTo>
                  <a:pt x="69" y="36"/>
                  <a:pt x="69" y="36"/>
                  <a:pt x="68" y="36"/>
                </a:cubicBezTo>
                <a:cubicBezTo>
                  <a:pt x="48" y="48"/>
                  <a:pt x="48" y="48"/>
                  <a:pt x="48" y="48"/>
                </a:cubicBezTo>
                <a:cubicBezTo>
                  <a:pt x="48" y="49"/>
                  <a:pt x="47" y="49"/>
                  <a:pt x="47" y="50"/>
                </a:cubicBezTo>
                <a:lnTo>
                  <a:pt x="47" y="62"/>
                </a:lnTo>
                <a:close/>
                <a:moveTo>
                  <a:pt x="18" y="187"/>
                </a:moveTo>
                <a:cubicBezTo>
                  <a:pt x="8" y="181"/>
                  <a:pt x="8" y="181"/>
                  <a:pt x="8" y="181"/>
                </a:cubicBezTo>
                <a:cubicBezTo>
                  <a:pt x="8" y="195"/>
                  <a:pt x="8" y="195"/>
                  <a:pt x="8" y="195"/>
                </a:cubicBezTo>
                <a:cubicBezTo>
                  <a:pt x="18" y="200"/>
                  <a:pt x="18" y="200"/>
                  <a:pt x="18" y="200"/>
                </a:cubicBezTo>
                <a:lnTo>
                  <a:pt x="18" y="187"/>
                </a:lnTo>
                <a:close/>
                <a:moveTo>
                  <a:pt x="18" y="167"/>
                </a:moveTo>
                <a:cubicBezTo>
                  <a:pt x="8" y="161"/>
                  <a:pt x="8" y="161"/>
                  <a:pt x="8" y="161"/>
                </a:cubicBezTo>
                <a:cubicBezTo>
                  <a:pt x="8" y="175"/>
                  <a:pt x="8" y="175"/>
                  <a:pt x="8" y="175"/>
                </a:cubicBezTo>
                <a:cubicBezTo>
                  <a:pt x="18" y="180"/>
                  <a:pt x="18" y="180"/>
                  <a:pt x="18" y="180"/>
                </a:cubicBezTo>
                <a:lnTo>
                  <a:pt x="18" y="167"/>
                </a:lnTo>
                <a:close/>
                <a:moveTo>
                  <a:pt x="18" y="147"/>
                </a:moveTo>
                <a:cubicBezTo>
                  <a:pt x="8" y="141"/>
                  <a:pt x="8" y="141"/>
                  <a:pt x="8" y="141"/>
                </a:cubicBezTo>
                <a:cubicBezTo>
                  <a:pt x="8" y="155"/>
                  <a:pt x="8" y="155"/>
                  <a:pt x="8" y="155"/>
                </a:cubicBezTo>
                <a:cubicBezTo>
                  <a:pt x="18" y="161"/>
                  <a:pt x="18" y="161"/>
                  <a:pt x="18" y="161"/>
                </a:cubicBezTo>
                <a:lnTo>
                  <a:pt x="18" y="147"/>
                </a:lnTo>
                <a:close/>
                <a:moveTo>
                  <a:pt x="18" y="127"/>
                </a:moveTo>
                <a:cubicBezTo>
                  <a:pt x="8" y="122"/>
                  <a:pt x="8" y="122"/>
                  <a:pt x="8" y="122"/>
                </a:cubicBezTo>
                <a:cubicBezTo>
                  <a:pt x="8" y="135"/>
                  <a:pt x="8" y="135"/>
                  <a:pt x="8" y="135"/>
                </a:cubicBezTo>
                <a:cubicBezTo>
                  <a:pt x="18" y="141"/>
                  <a:pt x="18" y="141"/>
                  <a:pt x="18" y="141"/>
                </a:cubicBezTo>
                <a:lnTo>
                  <a:pt x="18" y="127"/>
                </a:lnTo>
                <a:close/>
                <a:moveTo>
                  <a:pt x="18" y="107"/>
                </a:moveTo>
                <a:cubicBezTo>
                  <a:pt x="8" y="102"/>
                  <a:pt x="8" y="102"/>
                  <a:pt x="8" y="102"/>
                </a:cubicBezTo>
                <a:cubicBezTo>
                  <a:pt x="8" y="115"/>
                  <a:pt x="8" y="115"/>
                  <a:pt x="8" y="115"/>
                </a:cubicBezTo>
                <a:cubicBezTo>
                  <a:pt x="18" y="121"/>
                  <a:pt x="18" y="121"/>
                  <a:pt x="18" y="121"/>
                </a:cubicBezTo>
                <a:lnTo>
                  <a:pt x="18" y="107"/>
                </a:lnTo>
                <a:close/>
                <a:moveTo>
                  <a:pt x="18" y="87"/>
                </a:moveTo>
                <a:cubicBezTo>
                  <a:pt x="8" y="82"/>
                  <a:pt x="8" y="82"/>
                  <a:pt x="8" y="82"/>
                </a:cubicBezTo>
                <a:cubicBezTo>
                  <a:pt x="8" y="96"/>
                  <a:pt x="8" y="96"/>
                  <a:pt x="8" y="96"/>
                </a:cubicBezTo>
                <a:cubicBezTo>
                  <a:pt x="18" y="101"/>
                  <a:pt x="18" y="101"/>
                  <a:pt x="18" y="101"/>
                </a:cubicBezTo>
                <a:lnTo>
                  <a:pt x="18" y="87"/>
                </a:lnTo>
                <a:close/>
                <a:moveTo>
                  <a:pt x="36" y="196"/>
                </a:moveTo>
                <a:cubicBezTo>
                  <a:pt x="26" y="191"/>
                  <a:pt x="26" y="191"/>
                  <a:pt x="26" y="191"/>
                </a:cubicBezTo>
                <a:cubicBezTo>
                  <a:pt x="26" y="205"/>
                  <a:pt x="26" y="205"/>
                  <a:pt x="26" y="205"/>
                </a:cubicBezTo>
                <a:cubicBezTo>
                  <a:pt x="36" y="210"/>
                  <a:pt x="36" y="210"/>
                  <a:pt x="36" y="210"/>
                </a:cubicBezTo>
                <a:lnTo>
                  <a:pt x="36" y="196"/>
                </a:lnTo>
                <a:close/>
                <a:moveTo>
                  <a:pt x="36" y="177"/>
                </a:moveTo>
                <a:cubicBezTo>
                  <a:pt x="26" y="171"/>
                  <a:pt x="26" y="171"/>
                  <a:pt x="26" y="171"/>
                </a:cubicBezTo>
                <a:cubicBezTo>
                  <a:pt x="26" y="185"/>
                  <a:pt x="26" y="185"/>
                  <a:pt x="26" y="185"/>
                </a:cubicBezTo>
                <a:cubicBezTo>
                  <a:pt x="36" y="190"/>
                  <a:pt x="36" y="190"/>
                  <a:pt x="36" y="190"/>
                </a:cubicBezTo>
                <a:lnTo>
                  <a:pt x="36" y="177"/>
                </a:lnTo>
                <a:close/>
                <a:moveTo>
                  <a:pt x="36" y="157"/>
                </a:moveTo>
                <a:cubicBezTo>
                  <a:pt x="26" y="151"/>
                  <a:pt x="26" y="151"/>
                  <a:pt x="26" y="151"/>
                </a:cubicBezTo>
                <a:cubicBezTo>
                  <a:pt x="26" y="165"/>
                  <a:pt x="26" y="165"/>
                  <a:pt x="26" y="165"/>
                </a:cubicBezTo>
                <a:cubicBezTo>
                  <a:pt x="36" y="170"/>
                  <a:pt x="36" y="170"/>
                  <a:pt x="36" y="170"/>
                </a:cubicBezTo>
                <a:lnTo>
                  <a:pt x="36" y="157"/>
                </a:lnTo>
                <a:close/>
                <a:moveTo>
                  <a:pt x="36" y="137"/>
                </a:moveTo>
                <a:cubicBezTo>
                  <a:pt x="26" y="131"/>
                  <a:pt x="26" y="131"/>
                  <a:pt x="26" y="131"/>
                </a:cubicBezTo>
                <a:cubicBezTo>
                  <a:pt x="26" y="145"/>
                  <a:pt x="26" y="145"/>
                  <a:pt x="26" y="145"/>
                </a:cubicBezTo>
                <a:cubicBezTo>
                  <a:pt x="36" y="151"/>
                  <a:pt x="36" y="151"/>
                  <a:pt x="36" y="151"/>
                </a:cubicBezTo>
                <a:lnTo>
                  <a:pt x="36" y="137"/>
                </a:lnTo>
                <a:close/>
                <a:moveTo>
                  <a:pt x="36" y="117"/>
                </a:moveTo>
                <a:cubicBezTo>
                  <a:pt x="26" y="112"/>
                  <a:pt x="26" y="112"/>
                  <a:pt x="26" y="112"/>
                </a:cubicBezTo>
                <a:cubicBezTo>
                  <a:pt x="26" y="125"/>
                  <a:pt x="26" y="125"/>
                  <a:pt x="26" y="125"/>
                </a:cubicBezTo>
                <a:cubicBezTo>
                  <a:pt x="36" y="131"/>
                  <a:pt x="36" y="131"/>
                  <a:pt x="36" y="131"/>
                </a:cubicBezTo>
                <a:lnTo>
                  <a:pt x="36" y="117"/>
                </a:lnTo>
                <a:close/>
                <a:moveTo>
                  <a:pt x="36" y="97"/>
                </a:moveTo>
                <a:cubicBezTo>
                  <a:pt x="26" y="92"/>
                  <a:pt x="26" y="92"/>
                  <a:pt x="26" y="92"/>
                </a:cubicBezTo>
                <a:cubicBezTo>
                  <a:pt x="26" y="105"/>
                  <a:pt x="26" y="105"/>
                  <a:pt x="26" y="105"/>
                </a:cubicBezTo>
                <a:cubicBezTo>
                  <a:pt x="36" y="111"/>
                  <a:pt x="36" y="111"/>
                  <a:pt x="36" y="111"/>
                </a:cubicBezTo>
                <a:lnTo>
                  <a:pt x="36" y="97"/>
                </a:lnTo>
                <a:close/>
                <a:moveTo>
                  <a:pt x="54" y="206"/>
                </a:moveTo>
                <a:cubicBezTo>
                  <a:pt x="44" y="201"/>
                  <a:pt x="44" y="201"/>
                  <a:pt x="44" y="201"/>
                </a:cubicBezTo>
                <a:cubicBezTo>
                  <a:pt x="44" y="215"/>
                  <a:pt x="44" y="215"/>
                  <a:pt x="44" y="215"/>
                </a:cubicBezTo>
                <a:cubicBezTo>
                  <a:pt x="54" y="220"/>
                  <a:pt x="54" y="220"/>
                  <a:pt x="54" y="220"/>
                </a:cubicBezTo>
                <a:lnTo>
                  <a:pt x="54" y="206"/>
                </a:lnTo>
                <a:close/>
                <a:moveTo>
                  <a:pt x="54" y="186"/>
                </a:moveTo>
                <a:cubicBezTo>
                  <a:pt x="44" y="181"/>
                  <a:pt x="44" y="181"/>
                  <a:pt x="44" y="181"/>
                </a:cubicBezTo>
                <a:cubicBezTo>
                  <a:pt x="44" y="195"/>
                  <a:pt x="44" y="195"/>
                  <a:pt x="44" y="195"/>
                </a:cubicBezTo>
                <a:cubicBezTo>
                  <a:pt x="54" y="200"/>
                  <a:pt x="54" y="200"/>
                  <a:pt x="54" y="200"/>
                </a:cubicBezTo>
                <a:lnTo>
                  <a:pt x="54" y="186"/>
                </a:lnTo>
                <a:close/>
                <a:moveTo>
                  <a:pt x="54" y="167"/>
                </a:moveTo>
                <a:cubicBezTo>
                  <a:pt x="44" y="161"/>
                  <a:pt x="44" y="161"/>
                  <a:pt x="44" y="161"/>
                </a:cubicBezTo>
                <a:cubicBezTo>
                  <a:pt x="44" y="175"/>
                  <a:pt x="44" y="175"/>
                  <a:pt x="44" y="175"/>
                </a:cubicBezTo>
                <a:cubicBezTo>
                  <a:pt x="54" y="180"/>
                  <a:pt x="54" y="180"/>
                  <a:pt x="54" y="180"/>
                </a:cubicBezTo>
                <a:lnTo>
                  <a:pt x="54" y="167"/>
                </a:lnTo>
                <a:close/>
                <a:moveTo>
                  <a:pt x="54" y="147"/>
                </a:moveTo>
                <a:cubicBezTo>
                  <a:pt x="44" y="141"/>
                  <a:pt x="44" y="141"/>
                  <a:pt x="44" y="141"/>
                </a:cubicBezTo>
                <a:cubicBezTo>
                  <a:pt x="44" y="155"/>
                  <a:pt x="44" y="155"/>
                  <a:pt x="44" y="155"/>
                </a:cubicBezTo>
                <a:cubicBezTo>
                  <a:pt x="54" y="160"/>
                  <a:pt x="54" y="160"/>
                  <a:pt x="54" y="160"/>
                </a:cubicBezTo>
                <a:lnTo>
                  <a:pt x="54" y="147"/>
                </a:lnTo>
                <a:close/>
                <a:moveTo>
                  <a:pt x="54" y="127"/>
                </a:moveTo>
                <a:cubicBezTo>
                  <a:pt x="44" y="121"/>
                  <a:pt x="44" y="121"/>
                  <a:pt x="44" y="121"/>
                </a:cubicBezTo>
                <a:cubicBezTo>
                  <a:pt x="44" y="135"/>
                  <a:pt x="44" y="135"/>
                  <a:pt x="44" y="135"/>
                </a:cubicBezTo>
                <a:cubicBezTo>
                  <a:pt x="54" y="141"/>
                  <a:pt x="54" y="141"/>
                  <a:pt x="54" y="141"/>
                </a:cubicBezTo>
                <a:lnTo>
                  <a:pt x="54" y="127"/>
                </a:lnTo>
                <a:close/>
                <a:moveTo>
                  <a:pt x="54" y="107"/>
                </a:moveTo>
                <a:cubicBezTo>
                  <a:pt x="44" y="102"/>
                  <a:pt x="44" y="102"/>
                  <a:pt x="44" y="102"/>
                </a:cubicBezTo>
                <a:cubicBezTo>
                  <a:pt x="44" y="115"/>
                  <a:pt x="44" y="115"/>
                  <a:pt x="44" y="115"/>
                </a:cubicBezTo>
                <a:cubicBezTo>
                  <a:pt x="54" y="121"/>
                  <a:pt x="54" y="121"/>
                  <a:pt x="54" y="121"/>
                </a:cubicBezTo>
                <a:lnTo>
                  <a:pt x="54" y="107"/>
                </a:lnTo>
                <a:close/>
                <a:moveTo>
                  <a:pt x="71" y="216"/>
                </a:moveTo>
                <a:cubicBezTo>
                  <a:pt x="62" y="211"/>
                  <a:pt x="62" y="211"/>
                  <a:pt x="62" y="211"/>
                </a:cubicBezTo>
                <a:cubicBezTo>
                  <a:pt x="62" y="225"/>
                  <a:pt x="62" y="225"/>
                  <a:pt x="62" y="225"/>
                </a:cubicBezTo>
                <a:cubicBezTo>
                  <a:pt x="71" y="230"/>
                  <a:pt x="71" y="230"/>
                  <a:pt x="71" y="230"/>
                </a:cubicBezTo>
                <a:lnTo>
                  <a:pt x="71" y="216"/>
                </a:lnTo>
                <a:close/>
                <a:moveTo>
                  <a:pt x="71" y="196"/>
                </a:moveTo>
                <a:cubicBezTo>
                  <a:pt x="62" y="191"/>
                  <a:pt x="62" y="191"/>
                  <a:pt x="62" y="191"/>
                </a:cubicBezTo>
                <a:cubicBezTo>
                  <a:pt x="62" y="205"/>
                  <a:pt x="62" y="205"/>
                  <a:pt x="62" y="205"/>
                </a:cubicBezTo>
                <a:cubicBezTo>
                  <a:pt x="71" y="210"/>
                  <a:pt x="71" y="210"/>
                  <a:pt x="71" y="210"/>
                </a:cubicBezTo>
                <a:lnTo>
                  <a:pt x="71" y="196"/>
                </a:lnTo>
                <a:close/>
                <a:moveTo>
                  <a:pt x="71" y="176"/>
                </a:moveTo>
                <a:cubicBezTo>
                  <a:pt x="62" y="171"/>
                  <a:pt x="62" y="171"/>
                  <a:pt x="62" y="171"/>
                </a:cubicBezTo>
                <a:cubicBezTo>
                  <a:pt x="62" y="185"/>
                  <a:pt x="62" y="185"/>
                  <a:pt x="62" y="185"/>
                </a:cubicBezTo>
                <a:cubicBezTo>
                  <a:pt x="71" y="190"/>
                  <a:pt x="71" y="190"/>
                  <a:pt x="71" y="190"/>
                </a:cubicBezTo>
                <a:lnTo>
                  <a:pt x="71" y="176"/>
                </a:lnTo>
                <a:close/>
                <a:moveTo>
                  <a:pt x="71" y="157"/>
                </a:moveTo>
                <a:cubicBezTo>
                  <a:pt x="62" y="151"/>
                  <a:pt x="62" y="151"/>
                  <a:pt x="62" y="151"/>
                </a:cubicBezTo>
                <a:cubicBezTo>
                  <a:pt x="62" y="165"/>
                  <a:pt x="62" y="165"/>
                  <a:pt x="62" y="165"/>
                </a:cubicBezTo>
                <a:cubicBezTo>
                  <a:pt x="71" y="170"/>
                  <a:pt x="71" y="170"/>
                  <a:pt x="71" y="170"/>
                </a:cubicBezTo>
                <a:lnTo>
                  <a:pt x="71" y="157"/>
                </a:lnTo>
                <a:close/>
                <a:moveTo>
                  <a:pt x="71" y="137"/>
                </a:moveTo>
                <a:cubicBezTo>
                  <a:pt x="62" y="131"/>
                  <a:pt x="62" y="131"/>
                  <a:pt x="62" y="131"/>
                </a:cubicBezTo>
                <a:cubicBezTo>
                  <a:pt x="62" y="145"/>
                  <a:pt x="62" y="145"/>
                  <a:pt x="62" y="145"/>
                </a:cubicBezTo>
                <a:cubicBezTo>
                  <a:pt x="71" y="150"/>
                  <a:pt x="71" y="150"/>
                  <a:pt x="71" y="150"/>
                </a:cubicBezTo>
                <a:lnTo>
                  <a:pt x="71" y="137"/>
                </a:lnTo>
                <a:close/>
                <a:moveTo>
                  <a:pt x="71" y="117"/>
                </a:moveTo>
                <a:cubicBezTo>
                  <a:pt x="62" y="111"/>
                  <a:pt x="62" y="111"/>
                  <a:pt x="62" y="111"/>
                </a:cubicBezTo>
                <a:cubicBezTo>
                  <a:pt x="62" y="125"/>
                  <a:pt x="62" y="125"/>
                  <a:pt x="62" y="125"/>
                </a:cubicBezTo>
                <a:cubicBezTo>
                  <a:pt x="71" y="131"/>
                  <a:pt x="71" y="131"/>
                  <a:pt x="71" y="131"/>
                </a:cubicBezTo>
                <a:lnTo>
                  <a:pt x="71" y="117"/>
                </a:lnTo>
                <a:close/>
                <a:moveTo>
                  <a:pt x="89" y="226"/>
                </a:moveTo>
                <a:cubicBezTo>
                  <a:pt x="79" y="221"/>
                  <a:pt x="79" y="221"/>
                  <a:pt x="79" y="221"/>
                </a:cubicBezTo>
                <a:cubicBezTo>
                  <a:pt x="79" y="234"/>
                  <a:pt x="79" y="234"/>
                  <a:pt x="79" y="234"/>
                </a:cubicBezTo>
                <a:cubicBezTo>
                  <a:pt x="89" y="240"/>
                  <a:pt x="89" y="240"/>
                  <a:pt x="89" y="240"/>
                </a:cubicBezTo>
                <a:lnTo>
                  <a:pt x="89" y="226"/>
                </a:lnTo>
                <a:close/>
                <a:moveTo>
                  <a:pt x="89" y="206"/>
                </a:moveTo>
                <a:cubicBezTo>
                  <a:pt x="79" y="201"/>
                  <a:pt x="79" y="201"/>
                  <a:pt x="79" y="201"/>
                </a:cubicBezTo>
                <a:cubicBezTo>
                  <a:pt x="79" y="215"/>
                  <a:pt x="79" y="215"/>
                  <a:pt x="79" y="215"/>
                </a:cubicBezTo>
                <a:cubicBezTo>
                  <a:pt x="89" y="220"/>
                  <a:pt x="89" y="220"/>
                  <a:pt x="89" y="220"/>
                </a:cubicBezTo>
                <a:lnTo>
                  <a:pt x="89" y="206"/>
                </a:lnTo>
                <a:close/>
                <a:moveTo>
                  <a:pt x="89" y="186"/>
                </a:moveTo>
                <a:cubicBezTo>
                  <a:pt x="79" y="181"/>
                  <a:pt x="79" y="181"/>
                  <a:pt x="79" y="181"/>
                </a:cubicBezTo>
                <a:cubicBezTo>
                  <a:pt x="79" y="195"/>
                  <a:pt x="79" y="195"/>
                  <a:pt x="79" y="195"/>
                </a:cubicBezTo>
                <a:cubicBezTo>
                  <a:pt x="89" y="200"/>
                  <a:pt x="89" y="200"/>
                  <a:pt x="89" y="200"/>
                </a:cubicBezTo>
                <a:lnTo>
                  <a:pt x="89" y="186"/>
                </a:lnTo>
                <a:close/>
                <a:moveTo>
                  <a:pt x="89" y="166"/>
                </a:moveTo>
                <a:cubicBezTo>
                  <a:pt x="79" y="161"/>
                  <a:pt x="79" y="161"/>
                  <a:pt x="79" y="161"/>
                </a:cubicBezTo>
                <a:cubicBezTo>
                  <a:pt x="79" y="175"/>
                  <a:pt x="79" y="175"/>
                  <a:pt x="79" y="175"/>
                </a:cubicBezTo>
                <a:cubicBezTo>
                  <a:pt x="89" y="180"/>
                  <a:pt x="89" y="180"/>
                  <a:pt x="89" y="180"/>
                </a:cubicBezTo>
                <a:lnTo>
                  <a:pt x="89" y="166"/>
                </a:lnTo>
                <a:close/>
                <a:moveTo>
                  <a:pt x="89" y="147"/>
                </a:moveTo>
                <a:cubicBezTo>
                  <a:pt x="79" y="141"/>
                  <a:pt x="79" y="141"/>
                  <a:pt x="79" y="141"/>
                </a:cubicBezTo>
                <a:cubicBezTo>
                  <a:pt x="79" y="155"/>
                  <a:pt x="79" y="155"/>
                  <a:pt x="79" y="155"/>
                </a:cubicBezTo>
                <a:cubicBezTo>
                  <a:pt x="89" y="160"/>
                  <a:pt x="89" y="160"/>
                  <a:pt x="89" y="160"/>
                </a:cubicBezTo>
                <a:lnTo>
                  <a:pt x="89" y="147"/>
                </a:lnTo>
                <a:close/>
                <a:moveTo>
                  <a:pt x="89" y="127"/>
                </a:moveTo>
                <a:cubicBezTo>
                  <a:pt x="79" y="121"/>
                  <a:pt x="79" y="121"/>
                  <a:pt x="79" y="121"/>
                </a:cubicBezTo>
                <a:cubicBezTo>
                  <a:pt x="79" y="135"/>
                  <a:pt x="79" y="135"/>
                  <a:pt x="79" y="135"/>
                </a:cubicBezTo>
                <a:cubicBezTo>
                  <a:pt x="89" y="140"/>
                  <a:pt x="89" y="140"/>
                  <a:pt x="89" y="140"/>
                </a:cubicBezTo>
                <a:lnTo>
                  <a:pt x="89" y="127"/>
                </a:lnTo>
                <a:close/>
                <a:moveTo>
                  <a:pt x="103" y="119"/>
                </a:moveTo>
                <a:cubicBezTo>
                  <a:pt x="194" y="67"/>
                  <a:pt x="194" y="67"/>
                  <a:pt x="194" y="67"/>
                </a:cubicBezTo>
                <a:cubicBezTo>
                  <a:pt x="195" y="67"/>
                  <a:pt x="195" y="66"/>
                  <a:pt x="195" y="65"/>
                </a:cubicBezTo>
                <a:cubicBezTo>
                  <a:pt x="194" y="64"/>
                  <a:pt x="193" y="63"/>
                  <a:pt x="192" y="64"/>
                </a:cubicBezTo>
                <a:cubicBezTo>
                  <a:pt x="101" y="115"/>
                  <a:pt x="101" y="115"/>
                  <a:pt x="101" y="115"/>
                </a:cubicBezTo>
                <a:cubicBezTo>
                  <a:pt x="12" y="65"/>
                  <a:pt x="12" y="65"/>
                  <a:pt x="12" y="65"/>
                </a:cubicBezTo>
                <a:cubicBezTo>
                  <a:pt x="11" y="65"/>
                  <a:pt x="9" y="65"/>
                  <a:pt x="9" y="66"/>
                </a:cubicBezTo>
                <a:cubicBezTo>
                  <a:pt x="8" y="67"/>
                  <a:pt x="9" y="68"/>
                  <a:pt x="10" y="69"/>
                </a:cubicBezTo>
                <a:cubicBezTo>
                  <a:pt x="99" y="119"/>
                  <a:pt x="99" y="119"/>
                  <a:pt x="99" y="119"/>
                </a:cubicBezTo>
                <a:cubicBezTo>
                  <a:pt x="99" y="265"/>
                  <a:pt x="99" y="265"/>
                  <a:pt x="99" y="265"/>
                </a:cubicBezTo>
                <a:cubicBezTo>
                  <a:pt x="99" y="266"/>
                  <a:pt x="100" y="267"/>
                  <a:pt x="101" y="267"/>
                </a:cubicBezTo>
                <a:cubicBezTo>
                  <a:pt x="102" y="267"/>
                  <a:pt x="103" y="266"/>
                  <a:pt x="103" y="265"/>
                </a:cubicBezTo>
                <a:lnTo>
                  <a:pt x="103" y="119"/>
                </a:lnTo>
                <a:close/>
                <a:moveTo>
                  <a:pt x="125" y="219"/>
                </a:moveTo>
                <a:cubicBezTo>
                  <a:pt x="115" y="225"/>
                  <a:pt x="115" y="225"/>
                  <a:pt x="115" y="225"/>
                </a:cubicBezTo>
                <a:cubicBezTo>
                  <a:pt x="115" y="239"/>
                  <a:pt x="115" y="239"/>
                  <a:pt x="115" y="239"/>
                </a:cubicBezTo>
                <a:cubicBezTo>
                  <a:pt x="125" y="233"/>
                  <a:pt x="125" y="233"/>
                  <a:pt x="125" y="233"/>
                </a:cubicBezTo>
                <a:lnTo>
                  <a:pt x="125" y="219"/>
                </a:lnTo>
                <a:close/>
                <a:moveTo>
                  <a:pt x="125" y="199"/>
                </a:moveTo>
                <a:cubicBezTo>
                  <a:pt x="115" y="205"/>
                  <a:pt x="115" y="205"/>
                  <a:pt x="115" y="205"/>
                </a:cubicBezTo>
                <a:cubicBezTo>
                  <a:pt x="115" y="219"/>
                  <a:pt x="115" y="219"/>
                  <a:pt x="115" y="219"/>
                </a:cubicBezTo>
                <a:cubicBezTo>
                  <a:pt x="125" y="213"/>
                  <a:pt x="125" y="213"/>
                  <a:pt x="125" y="213"/>
                </a:cubicBezTo>
                <a:lnTo>
                  <a:pt x="125" y="199"/>
                </a:lnTo>
                <a:close/>
                <a:moveTo>
                  <a:pt x="125" y="180"/>
                </a:moveTo>
                <a:cubicBezTo>
                  <a:pt x="115" y="185"/>
                  <a:pt x="115" y="185"/>
                  <a:pt x="115" y="185"/>
                </a:cubicBezTo>
                <a:cubicBezTo>
                  <a:pt x="115" y="199"/>
                  <a:pt x="115" y="199"/>
                  <a:pt x="115" y="199"/>
                </a:cubicBezTo>
                <a:cubicBezTo>
                  <a:pt x="125" y="193"/>
                  <a:pt x="125" y="193"/>
                  <a:pt x="125" y="193"/>
                </a:cubicBezTo>
                <a:lnTo>
                  <a:pt x="125" y="180"/>
                </a:lnTo>
                <a:close/>
                <a:moveTo>
                  <a:pt x="125" y="160"/>
                </a:moveTo>
                <a:cubicBezTo>
                  <a:pt x="115" y="165"/>
                  <a:pt x="115" y="165"/>
                  <a:pt x="115" y="165"/>
                </a:cubicBezTo>
                <a:cubicBezTo>
                  <a:pt x="115" y="179"/>
                  <a:pt x="115" y="179"/>
                  <a:pt x="115" y="179"/>
                </a:cubicBezTo>
                <a:cubicBezTo>
                  <a:pt x="125" y="173"/>
                  <a:pt x="125" y="173"/>
                  <a:pt x="125" y="173"/>
                </a:cubicBezTo>
                <a:lnTo>
                  <a:pt x="125" y="160"/>
                </a:lnTo>
                <a:close/>
                <a:moveTo>
                  <a:pt x="125" y="140"/>
                </a:moveTo>
                <a:cubicBezTo>
                  <a:pt x="115" y="145"/>
                  <a:pt x="115" y="145"/>
                  <a:pt x="115" y="145"/>
                </a:cubicBezTo>
                <a:cubicBezTo>
                  <a:pt x="115" y="159"/>
                  <a:pt x="115" y="159"/>
                  <a:pt x="115" y="159"/>
                </a:cubicBezTo>
                <a:cubicBezTo>
                  <a:pt x="125" y="154"/>
                  <a:pt x="125" y="154"/>
                  <a:pt x="125" y="154"/>
                </a:cubicBezTo>
                <a:lnTo>
                  <a:pt x="125" y="140"/>
                </a:lnTo>
                <a:close/>
                <a:moveTo>
                  <a:pt x="125" y="120"/>
                </a:moveTo>
                <a:cubicBezTo>
                  <a:pt x="115" y="125"/>
                  <a:pt x="115" y="125"/>
                  <a:pt x="115" y="125"/>
                </a:cubicBezTo>
                <a:cubicBezTo>
                  <a:pt x="115" y="139"/>
                  <a:pt x="115" y="139"/>
                  <a:pt x="115" y="139"/>
                </a:cubicBezTo>
                <a:cubicBezTo>
                  <a:pt x="125" y="134"/>
                  <a:pt x="125" y="134"/>
                  <a:pt x="125" y="134"/>
                </a:cubicBezTo>
                <a:lnTo>
                  <a:pt x="125" y="120"/>
                </a:lnTo>
                <a:close/>
                <a:moveTo>
                  <a:pt x="142" y="209"/>
                </a:moveTo>
                <a:cubicBezTo>
                  <a:pt x="133" y="215"/>
                  <a:pt x="133" y="215"/>
                  <a:pt x="133" y="215"/>
                </a:cubicBezTo>
                <a:cubicBezTo>
                  <a:pt x="133" y="229"/>
                  <a:pt x="133" y="229"/>
                  <a:pt x="133" y="229"/>
                </a:cubicBezTo>
                <a:cubicBezTo>
                  <a:pt x="142" y="223"/>
                  <a:pt x="142" y="223"/>
                  <a:pt x="142" y="223"/>
                </a:cubicBezTo>
                <a:lnTo>
                  <a:pt x="142" y="209"/>
                </a:lnTo>
                <a:close/>
                <a:moveTo>
                  <a:pt x="142" y="189"/>
                </a:moveTo>
                <a:cubicBezTo>
                  <a:pt x="133" y="195"/>
                  <a:pt x="133" y="195"/>
                  <a:pt x="133" y="195"/>
                </a:cubicBezTo>
                <a:cubicBezTo>
                  <a:pt x="133" y="209"/>
                  <a:pt x="133" y="209"/>
                  <a:pt x="133" y="209"/>
                </a:cubicBezTo>
                <a:cubicBezTo>
                  <a:pt x="142" y="203"/>
                  <a:pt x="142" y="203"/>
                  <a:pt x="142" y="203"/>
                </a:cubicBezTo>
                <a:lnTo>
                  <a:pt x="142" y="189"/>
                </a:lnTo>
                <a:close/>
                <a:moveTo>
                  <a:pt x="142" y="170"/>
                </a:moveTo>
                <a:cubicBezTo>
                  <a:pt x="133" y="175"/>
                  <a:pt x="133" y="175"/>
                  <a:pt x="133" y="175"/>
                </a:cubicBezTo>
                <a:cubicBezTo>
                  <a:pt x="133" y="189"/>
                  <a:pt x="133" y="189"/>
                  <a:pt x="133" y="189"/>
                </a:cubicBezTo>
                <a:cubicBezTo>
                  <a:pt x="142" y="183"/>
                  <a:pt x="142" y="183"/>
                  <a:pt x="142" y="183"/>
                </a:cubicBezTo>
                <a:lnTo>
                  <a:pt x="142" y="170"/>
                </a:lnTo>
                <a:close/>
                <a:moveTo>
                  <a:pt x="142" y="150"/>
                </a:moveTo>
                <a:cubicBezTo>
                  <a:pt x="133" y="155"/>
                  <a:pt x="133" y="155"/>
                  <a:pt x="133" y="155"/>
                </a:cubicBezTo>
                <a:cubicBezTo>
                  <a:pt x="133" y="169"/>
                  <a:pt x="133" y="169"/>
                  <a:pt x="133" y="169"/>
                </a:cubicBezTo>
                <a:cubicBezTo>
                  <a:pt x="142" y="163"/>
                  <a:pt x="142" y="163"/>
                  <a:pt x="142" y="163"/>
                </a:cubicBezTo>
                <a:lnTo>
                  <a:pt x="142" y="150"/>
                </a:lnTo>
                <a:close/>
                <a:moveTo>
                  <a:pt x="142" y="130"/>
                </a:moveTo>
                <a:cubicBezTo>
                  <a:pt x="133" y="135"/>
                  <a:pt x="133" y="135"/>
                  <a:pt x="133" y="135"/>
                </a:cubicBezTo>
                <a:cubicBezTo>
                  <a:pt x="133" y="149"/>
                  <a:pt x="133" y="149"/>
                  <a:pt x="133" y="149"/>
                </a:cubicBezTo>
                <a:cubicBezTo>
                  <a:pt x="142" y="144"/>
                  <a:pt x="142" y="144"/>
                  <a:pt x="142" y="144"/>
                </a:cubicBezTo>
                <a:lnTo>
                  <a:pt x="142" y="130"/>
                </a:lnTo>
                <a:close/>
                <a:moveTo>
                  <a:pt x="142" y="110"/>
                </a:moveTo>
                <a:cubicBezTo>
                  <a:pt x="133" y="115"/>
                  <a:pt x="133" y="115"/>
                  <a:pt x="133" y="115"/>
                </a:cubicBezTo>
                <a:cubicBezTo>
                  <a:pt x="133" y="129"/>
                  <a:pt x="133" y="129"/>
                  <a:pt x="133" y="129"/>
                </a:cubicBezTo>
                <a:cubicBezTo>
                  <a:pt x="142" y="124"/>
                  <a:pt x="142" y="124"/>
                  <a:pt x="142" y="124"/>
                </a:cubicBezTo>
                <a:lnTo>
                  <a:pt x="142" y="110"/>
                </a:lnTo>
                <a:close/>
                <a:moveTo>
                  <a:pt x="160" y="199"/>
                </a:moveTo>
                <a:cubicBezTo>
                  <a:pt x="150" y="205"/>
                  <a:pt x="150" y="205"/>
                  <a:pt x="150" y="205"/>
                </a:cubicBezTo>
                <a:cubicBezTo>
                  <a:pt x="150" y="219"/>
                  <a:pt x="150" y="219"/>
                  <a:pt x="150" y="219"/>
                </a:cubicBezTo>
                <a:cubicBezTo>
                  <a:pt x="160" y="213"/>
                  <a:pt x="160" y="213"/>
                  <a:pt x="160" y="213"/>
                </a:cubicBezTo>
                <a:lnTo>
                  <a:pt x="160" y="199"/>
                </a:lnTo>
                <a:close/>
                <a:moveTo>
                  <a:pt x="160" y="179"/>
                </a:moveTo>
                <a:cubicBezTo>
                  <a:pt x="150" y="185"/>
                  <a:pt x="150" y="185"/>
                  <a:pt x="150" y="185"/>
                </a:cubicBezTo>
                <a:cubicBezTo>
                  <a:pt x="150" y="199"/>
                  <a:pt x="150" y="199"/>
                  <a:pt x="150" y="199"/>
                </a:cubicBezTo>
                <a:cubicBezTo>
                  <a:pt x="160" y="193"/>
                  <a:pt x="160" y="193"/>
                  <a:pt x="160" y="193"/>
                </a:cubicBezTo>
                <a:lnTo>
                  <a:pt x="160" y="179"/>
                </a:lnTo>
                <a:close/>
                <a:moveTo>
                  <a:pt x="160" y="159"/>
                </a:moveTo>
                <a:cubicBezTo>
                  <a:pt x="150" y="165"/>
                  <a:pt x="150" y="165"/>
                  <a:pt x="150" y="165"/>
                </a:cubicBezTo>
                <a:cubicBezTo>
                  <a:pt x="150" y="179"/>
                  <a:pt x="150" y="179"/>
                  <a:pt x="150" y="179"/>
                </a:cubicBezTo>
                <a:cubicBezTo>
                  <a:pt x="160" y="173"/>
                  <a:pt x="160" y="173"/>
                  <a:pt x="160" y="173"/>
                </a:cubicBezTo>
                <a:lnTo>
                  <a:pt x="160" y="159"/>
                </a:lnTo>
                <a:close/>
                <a:moveTo>
                  <a:pt x="160" y="140"/>
                </a:moveTo>
                <a:cubicBezTo>
                  <a:pt x="150" y="145"/>
                  <a:pt x="150" y="145"/>
                  <a:pt x="150" y="145"/>
                </a:cubicBezTo>
                <a:cubicBezTo>
                  <a:pt x="150" y="159"/>
                  <a:pt x="150" y="159"/>
                  <a:pt x="150" y="159"/>
                </a:cubicBezTo>
                <a:cubicBezTo>
                  <a:pt x="160" y="153"/>
                  <a:pt x="160" y="153"/>
                  <a:pt x="160" y="153"/>
                </a:cubicBezTo>
                <a:lnTo>
                  <a:pt x="160" y="140"/>
                </a:lnTo>
                <a:close/>
                <a:moveTo>
                  <a:pt x="160" y="120"/>
                </a:moveTo>
                <a:cubicBezTo>
                  <a:pt x="150" y="125"/>
                  <a:pt x="150" y="125"/>
                  <a:pt x="150" y="125"/>
                </a:cubicBezTo>
                <a:cubicBezTo>
                  <a:pt x="150" y="139"/>
                  <a:pt x="150" y="139"/>
                  <a:pt x="150" y="139"/>
                </a:cubicBezTo>
                <a:cubicBezTo>
                  <a:pt x="160" y="134"/>
                  <a:pt x="160" y="134"/>
                  <a:pt x="160" y="134"/>
                </a:cubicBezTo>
                <a:lnTo>
                  <a:pt x="160" y="120"/>
                </a:lnTo>
                <a:close/>
                <a:moveTo>
                  <a:pt x="160" y="100"/>
                </a:moveTo>
                <a:cubicBezTo>
                  <a:pt x="150" y="105"/>
                  <a:pt x="150" y="105"/>
                  <a:pt x="150" y="105"/>
                </a:cubicBezTo>
                <a:cubicBezTo>
                  <a:pt x="150" y="119"/>
                  <a:pt x="150" y="119"/>
                  <a:pt x="150" y="119"/>
                </a:cubicBezTo>
                <a:cubicBezTo>
                  <a:pt x="160" y="114"/>
                  <a:pt x="160" y="114"/>
                  <a:pt x="160" y="114"/>
                </a:cubicBezTo>
                <a:lnTo>
                  <a:pt x="160" y="100"/>
                </a:lnTo>
                <a:close/>
                <a:moveTo>
                  <a:pt x="178" y="189"/>
                </a:moveTo>
                <a:cubicBezTo>
                  <a:pt x="168" y="195"/>
                  <a:pt x="168" y="195"/>
                  <a:pt x="168" y="195"/>
                </a:cubicBezTo>
                <a:cubicBezTo>
                  <a:pt x="168" y="208"/>
                  <a:pt x="168" y="208"/>
                  <a:pt x="168" y="208"/>
                </a:cubicBezTo>
                <a:cubicBezTo>
                  <a:pt x="178" y="203"/>
                  <a:pt x="178" y="203"/>
                  <a:pt x="178" y="203"/>
                </a:cubicBezTo>
                <a:lnTo>
                  <a:pt x="178" y="189"/>
                </a:lnTo>
                <a:close/>
                <a:moveTo>
                  <a:pt x="178" y="169"/>
                </a:moveTo>
                <a:cubicBezTo>
                  <a:pt x="168" y="175"/>
                  <a:pt x="168" y="175"/>
                  <a:pt x="168" y="175"/>
                </a:cubicBezTo>
                <a:cubicBezTo>
                  <a:pt x="168" y="189"/>
                  <a:pt x="168" y="189"/>
                  <a:pt x="168" y="189"/>
                </a:cubicBezTo>
                <a:cubicBezTo>
                  <a:pt x="178" y="183"/>
                  <a:pt x="178" y="183"/>
                  <a:pt x="178" y="183"/>
                </a:cubicBezTo>
                <a:lnTo>
                  <a:pt x="178" y="169"/>
                </a:lnTo>
                <a:close/>
                <a:moveTo>
                  <a:pt x="178" y="149"/>
                </a:moveTo>
                <a:cubicBezTo>
                  <a:pt x="168" y="155"/>
                  <a:pt x="168" y="155"/>
                  <a:pt x="168" y="155"/>
                </a:cubicBezTo>
                <a:cubicBezTo>
                  <a:pt x="168" y="169"/>
                  <a:pt x="168" y="169"/>
                  <a:pt x="168" y="169"/>
                </a:cubicBezTo>
                <a:cubicBezTo>
                  <a:pt x="178" y="163"/>
                  <a:pt x="178" y="163"/>
                  <a:pt x="178" y="163"/>
                </a:cubicBezTo>
                <a:lnTo>
                  <a:pt x="178" y="149"/>
                </a:lnTo>
                <a:close/>
                <a:moveTo>
                  <a:pt x="178" y="130"/>
                </a:moveTo>
                <a:cubicBezTo>
                  <a:pt x="168" y="135"/>
                  <a:pt x="168" y="135"/>
                  <a:pt x="168" y="135"/>
                </a:cubicBezTo>
                <a:cubicBezTo>
                  <a:pt x="168" y="149"/>
                  <a:pt x="168" y="149"/>
                  <a:pt x="168" y="149"/>
                </a:cubicBezTo>
                <a:cubicBezTo>
                  <a:pt x="178" y="143"/>
                  <a:pt x="178" y="143"/>
                  <a:pt x="178" y="143"/>
                </a:cubicBezTo>
                <a:lnTo>
                  <a:pt x="178" y="130"/>
                </a:lnTo>
                <a:close/>
                <a:moveTo>
                  <a:pt x="178" y="110"/>
                </a:moveTo>
                <a:cubicBezTo>
                  <a:pt x="168" y="115"/>
                  <a:pt x="168" y="115"/>
                  <a:pt x="168" y="115"/>
                </a:cubicBezTo>
                <a:cubicBezTo>
                  <a:pt x="168" y="129"/>
                  <a:pt x="168" y="129"/>
                  <a:pt x="168" y="129"/>
                </a:cubicBezTo>
                <a:cubicBezTo>
                  <a:pt x="178" y="123"/>
                  <a:pt x="178" y="123"/>
                  <a:pt x="178" y="123"/>
                </a:cubicBezTo>
                <a:lnTo>
                  <a:pt x="178" y="110"/>
                </a:lnTo>
                <a:close/>
                <a:moveTo>
                  <a:pt x="178" y="90"/>
                </a:moveTo>
                <a:cubicBezTo>
                  <a:pt x="168" y="95"/>
                  <a:pt x="168" y="95"/>
                  <a:pt x="168" y="95"/>
                </a:cubicBezTo>
                <a:cubicBezTo>
                  <a:pt x="168" y="109"/>
                  <a:pt x="168" y="109"/>
                  <a:pt x="168" y="109"/>
                </a:cubicBezTo>
                <a:cubicBezTo>
                  <a:pt x="178" y="104"/>
                  <a:pt x="178" y="104"/>
                  <a:pt x="178" y="104"/>
                </a:cubicBezTo>
                <a:lnTo>
                  <a:pt x="178" y="90"/>
                </a:lnTo>
                <a:close/>
                <a:moveTo>
                  <a:pt x="196" y="179"/>
                </a:moveTo>
                <a:cubicBezTo>
                  <a:pt x="186" y="185"/>
                  <a:pt x="186" y="185"/>
                  <a:pt x="186" y="185"/>
                </a:cubicBezTo>
                <a:cubicBezTo>
                  <a:pt x="186" y="198"/>
                  <a:pt x="186" y="198"/>
                  <a:pt x="186" y="198"/>
                </a:cubicBezTo>
                <a:cubicBezTo>
                  <a:pt x="196" y="193"/>
                  <a:pt x="196" y="193"/>
                  <a:pt x="196" y="193"/>
                </a:cubicBezTo>
                <a:lnTo>
                  <a:pt x="196" y="179"/>
                </a:lnTo>
                <a:close/>
                <a:moveTo>
                  <a:pt x="196" y="159"/>
                </a:moveTo>
                <a:cubicBezTo>
                  <a:pt x="186" y="165"/>
                  <a:pt x="186" y="165"/>
                  <a:pt x="186" y="165"/>
                </a:cubicBezTo>
                <a:cubicBezTo>
                  <a:pt x="186" y="179"/>
                  <a:pt x="186" y="179"/>
                  <a:pt x="186" y="179"/>
                </a:cubicBezTo>
                <a:cubicBezTo>
                  <a:pt x="196" y="173"/>
                  <a:pt x="196" y="173"/>
                  <a:pt x="196" y="173"/>
                </a:cubicBezTo>
                <a:lnTo>
                  <a:pt x="196" y="159"/>
                </a:lnTo>
                <a:close/>
                <a:moveTo>
                  <a:pt x="196" y="139"/>
                </a:moveTo>
                <a:cubicBezTo>
                  <a:pt x="186" y="145"/>
                  <a:pt x="186" y="145"/>
                  <a:pt x="186" y="145"/>
                </a:cubicBezTo>
                <a:cubicBezTo>
                  <a:pt x="186" y="159"/>
                  <a:pt x="186" y="159"/>
                  <a:pt x="186" y="159"/>
                </a:cubicBezTo>
                <a:cubicBezTo>
                  <a:pt x="196" y="153"/>
                  <a:pt x="196" y="153"/>
                  <a:pt x="196" y="153"/>
                </a:cubicBezTo>
                <a:lnTo>
                  <a:pt x="196" y="139"/>
                </a:lnTo>
                <a:close/>
                <a:moveTo>
                  <a:pt x="196" y="120"/>
                </a:moveTo>
                <a:cubicBezTo>
                  <a:pt x="186" y="125"/>
                  <a:pt x="186" y="125"/>
                  <a:pt x="186" y="125"/>
                </a:cubicBezTo>
                <a:cubicBezTo>
                  <a:pt x="186" y="139"/>
                  <a:pt x="186" y="139"/>
                  <a:pt x="186" y="139"/>
                </a:cubicBezTo>
                <a:cubicBezTo>
                  <a:pt x="196" y="133"/>
                  <a:pt x="196" y="133"/>
                  <a:pt x="196" y="133"/>
                </a:cubicBezTo>
                <a:lnTo>
                  <a:pt x="196" y="120"/>
                </a:lnTo>
                <a:close/>
                <a:moveTo>
                  <a:pt x="196" y="100"/>
                </a:moveTo>
                <a:cubicBezTo>
                  <a:pt x="186" y="105"/>
                  <a:pt x="186" y="105"/>
                  <a:pt x="186" y="105"/>
                </a:cubicBezTo>
                <a:cubicBezTo>
                  <a:pt x="186" y="119"/>
                  <a:pt x="186" y="119"/>
                  <a:pt x="186" y="119"/>
                </a:cubicBezTo>
                <a:cubicBezTo>
                  <a:pt x="196" y="113"/>
                  <a:pt x="196" y="113"/>
                  <a:pt x="196" y="113"/>
                </a:cubicBezTo>
                <a:lnTo>
                  <a:pt x="196" y="100"/>
                </a:lnTo>
                <a:close/>
                <a:moveTo>
                  <a:pt x="196" y="80"/>
                </a:moveTo>
                <a:cubicBezTo>
                  <a:pt x="186" y="85"/>
                  <a:pt x="186" y="85"/>
                  <a:pt x="186" y="85"/>
                </a:cubicBezTo>
                <a:cubicBezTo>
                  <a:pt x="186" y="99"/>
                  <a:pt x="186" y="99"/>
                  <a:pt x="186" y="99"/>
                </a:cubicBezTo>
                <a:cubicBezTo>
                  <a:pt x="196" y="94"/>
                  <a:pt x="196" y="94"/>
                  <a:pt x="196" y="94"/>
                </a:cubicBezTo>
                <a:lnTo>
                  <a:pt x="196" y="80"/>
                </a:lnTo>
                <a:close/>
                <a:moveTo>
                  <a:pt x="77" y="64"/>
                </a:moveTo>
                <a:cubicBezTo>
                  <a:pt x="84" y="76"/>
                  <a:pt x="84" y="76"/>
                  <a:pt x="84" y="76"/>
                </a:cubicBezTo>
                <a:cubicBezTo>
                  <a:pt x="101" y="66"/>
                  <a:pt x="101" y="66"/>
                  <a:pt x="101" y="66"/>
                </a:cubicBezTo>
                <a:cubicBezTo>
                  <a:pt x="94" y="54"/>
                  <a:pt x="94" y="54"/>
                  <a:pt x="94" y="54"/>
                </a:cubicBezTo>
                <a:lnTo>
                  <a:pt x="77" y="64"/>
                </a:lnTo>
                <a:close/>
                <a:moveTo>
                  <a:pt x="156" y="62"/>
                </a:moveTo>
                <a:cubicBezTo>
                  <a:pt x="149" y="50"/>
                  <a:pt x="149" y="50"/>
                  <a:pt x="149" y="50"/>
                </a:cubicBezTo>
                <a:cubicBezTo>
                  <a:pt x="133" y="61"/>
                  <a:pt x="133" y="61"/>
                  <a:pt x="133" y="61"/>
                </a:cubicBezTo>
                <a:cubicBezTo>
                  <a:pt x="140" y="72"/>
                  <a:pt x="140" y="72"/>
                  <a:pt x="140" y="72"/>
                </a:cubicBezTo>
                <a:lnTo>
                  <a:pt x="156" y="62"/>
                </a:lnTo>
                <a:close/>
                <a:moveTo>
                  <a:pt x="75" y="51"/>
                </a:moveTo>
                <a:cubicBezTo>
                  <a:pt x="68" y="40"/>
                  <a:pt x="68" y="40"/>
                  <a:pt x="68" y="40"/>
                </a:cubicBezTo>
                <a:cubicBezTo>
                  <a:pt x="51" y="50"/>
                  <a:pt x="51" y="50"/>
                  <a:pt x="51" y="50"/>
                </a:cubicBezTo>
                <a:cubicBezTo>
                  <a:pt x="58" y="62"/>
                  <a:pt x="58" y="62"/>
                  <a:pt x="58" y="62"/>
                </a:cubicBezTo>
                <a:lnTo>
                  <a:pt x="75" y="51"/>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nvGrpSpPr>
          <xdr:cNvPr id="10" name="グループ化 9">
            <a:extLst>
              <a:ext uri="{FF2B5EF4-FFF2-40B4-BE49-F238E27FC236}">
                <a16:creationId xmlns:a16="http://schemas.microsoft.com/office/drawing/2014/main" id="{8213BCC1-EB76-4BBE-47FC-F05CA008A67C}"/>
              </a:ext>
            </a:extLst>
          </xdr:cNvPr>
          <xdr:cNvGrpSpPr/>
        </xdr:nvGrpSpPr>
        <xdr:grpSpPr>
          <a:xfrm>
            <a:off x="0" y="1142122"/>
            <a:ext cx="1528189" cy="1200983"/>
            <a:chOff x="0" y="1142124"/>
            <a:chExt cx="1380068" cy="1084578"/>
          </a:xfrm>
          <a:grpFill/>
        </xdr:grpSpPr>
        <xdr:grpSp>
          <xdr:nvGrpSpPr>
            <xdr:cNvPr id="11" name="グループ化 10">
              <a:extLst>
                <a:ext uri="{FF2B5EF4-FFF2-40B4-BE49-F238E27FC236}">
                  <a16:creationId xmlns:a16="http://schemas.microsoft.com/office/drawing/2014/main" id="{11E8A0E9-4254-9FE1-CFA1-33DA332A6358}"/>
                </a:ext>
              </a:extLst>
            </xdr:cNvPr>
            <xdr:cNvGrpSpPr/>
          </xdr:nvGrpSpPr>
          <xdr:grpSpPr>
            <a:xfrm>
              <a:off x="475666" y="1412450"/>
              <a:ext cx="904402" cy="814252"/>
              <a:chOff x="475668" y="1412450"/>
              <a:chExt cx="822601" cy="740604"/>
            </a:xfrm>
            <a:grpFill/>
          </xdr:grpSpPr>
          <xdr:sp macro="" textlink="">
            <xdr:nvSpPr>
              <xdr:cNvPr id="25" name="Freeform 48">
                <a:extLst>
                  <a:ext uri="{FF2B5EF4-FFF2-40B4-BE49-F238E27FC236}">
                    <a16:creationId xmlns:a16="http://schemas.microsoft.com/office/drawing/2014/main" id="{23670307-45D3-D652-7856-0FB4E2CC7D56}"/>
                  </a:ext>
                </a:extLst>
              </xdr:cNvPr>
              <xdr:cNvSpPr>
                <a:spLocks noEditPoints="1"/>
              </xdr:cNvSpPr>
            </xdr:nvSpPr>
            <xdr:spPr bwMode="auto">
              <a:xfrm>
                <a:off x="657363" y="1729672"/>
                <a:ext cx="335918" cy="243342"/>
              </a:xfrm>
              <a:custGeom>
                <a:avLst/>
                <a:gdLst>
                  <a:gd name="T0" fmla="*/ 5 w 109"/>
                  <a:gd name="T1" fmla="*/ 36 h 79"/>
                  <a:gd name="T2" fmla="*/ 14 w 109"/>
                  <a:gd name="T3" fmla="*/ 49 h 79"/>
                  <a:gd name="T4" fmla="*/ 19 w 109"/>
                  <a:gd name="T5" fmla="*/ 45 h 79"/>
                  <a:gd name="T6" fmla="*/ 63 w 109"/>
                  <a:gd name="T7" fmla="*/ 78 h 79"/>
                  <a:gd name="T8" fmla="*/ 70 w 109"/>
                  <a:gd name="T9" fmla="*/ 78 h 79"/>
                  <a:gd name="T10" fmla="*/ 73 w 109"/>
                  <a:gd name="T11" fmla="*/ 78 h 79"/>
                  <a:gd name="T12" fmla="*/ 83 w 109"/>
                  <a:gd name="T13" fmla="*/ 79 h 79"/>
                  <a:gd name="T14" fmla="*/ 109 w 109"/>
                  <a:gd name="T15" fmla="*/ 55 h 79"/>
                  <a:gd name="T16" fmla="*/ 107 w 109"/>
                  <a:gd name="T17" fmla="*/ 56 h 79"/>
                  <a:gd name="T18" fmla="*/ 104 w 109"/>
                  <a:gd name="T19" fmla="*/ 57 h 79"/>
                  <a:gd name="T20" fmla="*/ 103 w 109"/>
                  <a:gd name="T21" fmla="*/ 57 h 79"/>
                  <a:gd name="T22" fmla="*/ 102 w 109"/>
                  <a:gd name="T23" fmla="*/ 47 h 79"/>
                  <a:gd name="T24" fmla="*/ 90 w 109"/>
                  <a:gd name="T25" fmla="*/ 35 h 79"/>
                  <a:gd name="T26" fmla="*/ 70 w 109"/>
                  <a:gd name="T27" fmla="*/ 17 h 79"/>
                  <a:gd name="T28" fmla="*/ 33 w 109"/>
                  <a:gd name="T29" fmla="*/ 0 h 79"/>
                  <a:gd name="T30" fmla="*/ 27 w 109"/>
                  <a:gd name="T31" fmla="*/ 2 h 79"/>
                  <a:gd name="T32" fmla="*/ 3 w 109"/>
                  <a:gd name="T33" fmla="*/ 19 h 79"/>
                  <a:gd name="T34" fmla="*/ 1 w 109"/>
                  <a:gd name="T35" fmla="*/ 25 h 79"/>
                  <a:gd name="T36" fmla="*/ 4 w 109"/>
                  <a:gd name="T37" fmla="*/ 36 h 79"/>
                  <a:gd name="T38" fmla="*/ 92 w 109"/>
                  <a:gd name="T39" fmla="*/ 68 h 79"/>
                  <a:gd name="T40" fmla="*/ 102 w 109"/>
                  <a:gd name="T41" fmla="*/ 62 h 79"/>
                  <a:gd name="T42" fmla="*/ 102 w 109"/>
                  <a:gd name="T43" fmla="*/ 65 h 79"/>
                  <a:gd name="T44" fmla="*/ 92 w 109"/>
                  <a:gd name="T45" fmla="*/ 71 h 79"/>
                  <a:gd name="T46" fmla="*/ 92 w 109"/>
                  <a:gd name="T47" fmla="*/ 71 h 79"/>
                  <a:gd name="T48" fmla="*/ 92 w 109"/>
                  <a:gd name="T49" fmla="*/ 68 h 79"/>
                  <a:gd name="T50" fmla="*/ 74 w 109"/>
                  <a:gd name="T51" fmla="*/ 63 h 79"/>
                  <a:gd name="T52" fmla="*/ 81 w 109"/>
                  <a:gd name="T53" fmla="*/ 63 h 79"/>
                  <a:gd name="T54" fmla="*/ 87 w 109"/>
                  <a:gd name="T55" fmla="*/ 67 h 79"/>
                  <a:gd name="T56" fmla="*/ 87 w 109"/>
                  <a:gd name="T57" fmla="*/ 68 h 79"/>
                  <a:gd name="T58" fmla="*/ 78 w 109"/>
                  <a:gd name="T59" fmla="*/ 71 h 79"/>
                  <a:gd name="T60" fmla="*/ 76 w 109"/>
                  <a:gd name="T61" fmla="*/ 70 h 79"/>
                  <a:gd name="T62" fmla="*/ 63 w 109"/>
                  <a:gd name="T63" fmla="*/ 53 h 79"/>
                  <a:gd name="T64" fmla="*/ 63 w 109"/>
                  <a:gd name="T65" fmla="*/ 52 h 79"/>
                  <a:gd name="T66" fmla="*/ 48 w 109"/>
                  <a:gd name="T67" fmla="*/ 32 h 79"/>
                  <a:gd name="T68" fmla="*/ 48 w 109"/>
                  <a:gd name="T69" fmla="*/ 31 h 79"/>
                  <a:gd name="T70" fmla="*/ 69 w 109"/>
                  <a:gd name="T71" fmla="*/ 19 h 79"/>
                  <a:gd name="T72" fmla="*/ 88 w 109"/>
                  <a:gd name="T73" fmla="*/ 36 h 79"/>
                  <a:gd name="T74" fmla="*/ 63 w 109"/>
                  <a:gd name="T75" fmla="*/ 53 h 79"/>
                  <a:gd name="T76" fmla="*/ 63 w 109"/>
                  <a:gd name="T77" fmla="*/ 67 h 79"/>
                  <a:gd name="T78" fmla="*/ 69 w 109"/>
                  <a:gd name="T79" fmla="*/ 72 h 79"/>
                  <a:gd name="T80" fmla="*/ 65 w 109"/>
                  <a:gd name="T81" fmla="*/ 76 h 79"/>
                  <a:gd name="T82" fmla="*/ 60 w 109"/>
                  <a:gd name="T83" fmla="*/ 69 h 79"/>
                  <a:gd name="T84" fmla="*/ 40 w 109"/>
                  <a:gd name="T85" fmla="*/ 28 h 79"/>
                  <a:gd name="T86" fmla="*/ 48 w 109"/>
                  <a:gd name="T87" fmla="*/ 36 h 79"/>
                  <a:gd name="T88" fmla="*/ 59 w 109"/>
                  <a:gd name="T89" fmla="*/ 53 h 79"/>
                  <a:gd name="T90" fmla="*/ 58 w 109"/>
                  <a:gd name="T91" fmla="*/ 53 h 79"/>
                  <a:gd name="T92" fmla="*/ 33 w 109"/>
                  <a:gd name="T93" fmla="*/ 24 h 79"/>
                  <a:gd name="T94" fmla="*/ 9 w 109"/>
                  <a:gd name="T95" fmla="*/ 22 h 79"/>
                  <a:gd name="T96" fmla="*/ 13 w 109"/>
                  <a:gd name="T97" fmla="*/ 18 h 79"/>
                  <a:gd name="T98" fmla="*/ 21 w 109"/>
                  <a:gd name="T99" fmla="*/ 18 h 79"/>
                  <a:gd name="T100" fmla="*/ 28 w 109"/>
                  <a:gd name="T101" fmla="*/ 34 h 79"/>
                  <a:gd name="T102" fmla="*/ 7 w 109"/>
                  <a:gd name="T103" fmla="*/ 38 h 79"/>
                  <a:gd name="T104" fmla="*/ 13 w 109"/>
                  <a:gd name="T105" fmla="*/ 37 h 79"/>
                  <a:gd name="T106" fmla="*/ 15 w 109"/>
                  <a:gd name="T107" fmla="*/ 45 h 79"/>
                  <a:gd name="T108" fmla="*/ 10 w 109"/>
                  <a:gd name="T109" fmla="*/ 45 h 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 h="79">
                    <a:moveTo>
                      <a:pt x="4" y="36"/>
                    </a:moveTo>
                    <a:cubicBezTo>
                      <a:pt x="4" y="36"/>
                      <a:pt x="4" y="36"/>
                      <a:pt x="5" y="36"/>
                    </a:cubicBezTo>
                    <a:cubicBezTo>
                      <a:pt x="4" y="40"/>
                      <a:pt x="6" y="45"/>
                      <a:pt x="10" y="47"/>
                    </a:cubicBezTo>
                    <a:cubicBezTo>
                      <a:pt x="11" y="48"/>
                      <a:pt x="12" y="49"/>
                      <a:pt x="14" y="49"/>
                    </a:cubicBezTo>
                    <a:cubicBezTo>
                      <a:pt x="15" y="49"/>
                      <a:pt x="17" y="48"/>
                      <a:pt x="17" y="47"/>
                    </a:cubicBezTo>
                    <a:cubicBezTo>
                      <a:pt x="18" y="47"/>
                      <a:pt x="19" y="46"/>
                      <a:pt x="19" y="45"/>
                    </a:cubicBezTo>
                    <a:cubicBezTo>
                      <a:pt x="33" y="53"/>
                      <a:pt x="52" y="65"/>
                      <a:pt x="58" y="68"/>
                    </a:cubicBezTo>
                    <a:cubicBezTo>
                      <a:pt x="57" y="72"/>
                      <a:pt x="59" y="76"/>
                      <a:pt x="63" y="78"/>
                    </a:cubicBezTo>
                    <a:cubicBezTo>
                      <a:pt x="64" y="79"/>
                      <a:pt x="65" y="79"/>
                      <a:pt x="67" y="79"/>
                    </a:cubicBezTo>
                    <a:cubicBezTo>
                      <a:pt x="68" y="79"/>
                      <a:pt x="69" y="79"/>
                      <a:pt x="70" y="78"/>
                    </a:cubicBezTo>
                    <a:cubicBezTo>
                      <a:pt x="71" y="78"/>
                      <a:pt x="71" y="77"/>
                      <a:pt x="71" y="77"/>
                    </a:cubicBezTo>
                    <a:cubicBezTo>
                      <a:pt x="72" y="77"/>
                      <a:pt x="72" y="78"/>
                      <a:pt x="73" y="78"/>
                    </a:cubicBezTo>
                    <a:cubicBezTo>
                      <a:pt x="75" y="79"/>
                      <a:pt x="77" y="79"/>
                      <a:pt x="79" y="79"/>
                    </a:cubicBezTo>
                    <a:cubicBezTo>
                      <a:pt x="80" y="79"/>
                      <a:pt x="81" y="79"/>
                      <a:pt x="83" y="79"/>
                    </a:cubicBezTo>
                    <a:cubicBezTo>
                      <a:pt x="87" y="77"/>
                      <a:pt x="105" y="66"/>
                      <a:pt x="107" y="65"/>
                    </a:cubicBezTo>
                    <a:cubicBezTo>
                      <a:pt x="109" y="63"/>
                      <a:pt x="109" y="59"/>
                      <a:pt x="109" y="55"/>
                    </a:cubicBezTo>
                    <a:cubicBezTo>
                      <a:pt x="109" y="54"/>
                      <a:pt x="108" y="54"/>
                      <a:pt x="108" y="53"/>
                    </a:cubicBezTo>
                    <a:cubicBezTo>
                      <a:pt x="108" y="54"/>
                      <a:pt x="108" y="55"/>
                      <a:pt x="107" y="56"/>
                    </a:cubicBezTo>
                    <a:cubicBezTo>
                      <a:pt x="106" y="56"/>
                      <a:pt x="104" y="57"/>
                      <a:pt x="104" y="57"/>
                    </a:cubicBezTo>
                    <a:cubicBezTo>
                      <a:pt x="104" y="57"/>
                      <a:pt x="104" y="57"/>
                      <a:pt x="104" y="57"/>
                    </a:cubicBezTo>
                    <a:cubicBezTo>
                      <a:pt x="104" y="57"/>
                      <a:pt x="104" y="57"/>
                      <a:pt x="104" y="57"/>
                    </a:cubicBezTo>
                    <a:cubicBezTo>
                      <a:pt x="104" y="57"/>
                      <a:pt x="104" y="57"/>
                      <a:pt x="103" y="57"/>
                    </a:cubicBezTo>
                    <a:cubicBezTo>
                      <a:pt x="102" y="54"/>
                      <a:pt x="99" y="48"/>
                      <a:pt x="100" y="47"/>
                    </a:cubicBezTo>
                    <a:cubicBezTo>
                      <a:pt x="100" y="47"/>
                      <a:pt x="101" y="47"/>
                      <a:pt x="102" y="47"/>
                    </a:cubicBezTo>
                    <a:cubicBezTo>
                      <a:pt x="102" y="47"/>
                      <a:pt x="103" y="47"/>
                      <a:pt x="103" y="47"/>
                    </a:cubicBezTo>
                    <a:cubicBezTo>
                      <a:pt x="97" y="41"/>
                      <a:pt x="91" y="36"/>
                      <a:pt x="90" y="35"/>
                    </a:cubicBezTo>
                    <a:cubicBezTo>
                      <a:pt x="70" y="17"/>
                      <a:pt x="70" y="17"/>
                      <a:pt x="70" y="17"/>
                    </a:cubicBezTo>
                    <a:cubicBezTo>
                      <a:pt x="70" y="17"/>
                      <a:pt x="70" y="17"/>
                      <a:pt x="70" y="17"/>
                    </a:cubicBezTo>
                    <a:cubicBezTo>
                      <a:pt x="68" y="16"/>
                      <a:pt x="42" y="2"/>
                      <a:pt x="39" y="1"/>
                    </a:cubicBezTo>
                    <a:cubicBezTo>
                      <a:pt x="38" y="0"/>
                      <a:pt x="35" y="0"/>
                      <a:pt x="33" y="0"/>
                    </a:cubicBezTo>
                    <a:cubicBezTo>
                      <a:pt x="32" y="0"/>
                      <a:pt x="30" y="0"/>
                      <a:pt x="29" y="0"/>
                    </a:cubicBezTo>
                    <a:cubicBezTo>
                      <a:pt x="27" y="2"/>
                      <a:pt x="27" y="2"/>
                      <a:pt x="27" y="2"/>
                    </a:cubicBezTo>
                    <a:cubicBezTo>
                      <a:pt x="20" y="6"/>
                      <a:pt x="6" y="15"/>
                      <a:pt x="5" y="15"/>
                    </a:cubicBezTo>
                    <a:cubicBezTo>
                      <a:pt x="4" y="16"/>
                      <a:pt x="3" y="18"/>
                      <a:pt x="3" y="19"/>
                    </a:cubicBezTo>
                    <a:cubicBezTo>
                      <a:pt x="3" y="20"/>
                      <a:pt x="3" y="22"/>
                      <a:pt x="3" y="23"/>
                    </a:cubicBezTo>
                    <a:cubicBezTo>
                      <a:pt x="2" y="24"/>
                      <a:pt x="1" y="24"/>
                      <a:pt x="1" y="25"/>
                    </a:cubicBezTo>
                    <a:cubicBezTo>
                      <a:pt x="1" y="26"/>
                      <a:pt x="1" y="31"/>
                      <a:pt x="1" y="31"/>
                    </a:cubicBezTo>
                    <a:cubicBezTo>
                      <a:pt x="0" y="32"/>
                      <a:pt x="0" y="33"/>
                      <a:pt x="4" y="36"/>
                    </a:cubicBezTo>
                    <a:close/>
                    <a:moveTo>
                      <a:pt x="92" y="68"/>
                    </a:moveTo>
                    <a:cubicBezTo>
                      <a:pt x="92" y="68"/>
                      <a:pt x="92" y="68"/>
                      <a:pt x="92" y="68"/>
                    </a:cubicBezTo>
                    <a:cubicBezTo>
                      <a:pt x="101" y="62"/>
                      <a:pt x="101" y="62"/>
                      <a:pt x="101" y="62"/>
                    </a:cubicBezTo>
                    <a:cubicBezTo>
                      <a:pt x="101" y="62"/>
                      <a:pt x="102" y="62"/>
                      <a:pt x="102" y="62"/>
                    </a:cubicBezTo>
                    <a:cubicBezTo>
                      <a:pt x="102" y="62"/>
                      <a:pt x="102" y="62"/>
                      <a:pt x="102" y="62"/>
                    </a:cubicBezTo>
                    <a:cubicBezTo>
                      <a:pt x="102" y="65"/>
                      <a:pt x="102" y="65"/>
                      <a:pt x="102" y="65"/>
                    </a:cubicBezTo>
                    <a:cubicBezTo>
                      <a:pt x="102" y="65"/>
                      <a:pt x="102" y="65"/>
                      <a:pt x="102" y="65"/>
                    </a:cubicBezTo>
                    <a:cubicBezTo>
                      <a:pt x="92" y="71"/>
                      <a:pt x="92" y="71"/>
                      <a:pt x="92" y="71"/>
                    </a:cubicBezTo>
                    <a:cubicBezTo>
                      <a:pt x="92" y="71"/>
                      <a:pt x="92" y="71"/>
                      <a:pt x="92" y="71"/>
                    </a:cubicBezTo>
                    <a:cubicBezTo>
                      <a:pt x="92" y="71"/>
                      <a:pt x="92" y="71"/>
                      <a:pt x="92" y="71"/>
                    </a:cubicBezTo>
                    <a:cubicBezTo>
                      <a:pt x="92" y="71"/>
                      <a:pt x="92" y="71"/>
                      <a:pt x="92" y="71"/>
                    </a:cubicBezTo>
                    <a:lnTo>
                      <a:pt x="92" y="68"/>
                    </a:lnTo>
                    <a:close/>
                    <a:moveTo>
                      <a:pt x="73" y="63"/>
                    </a:moveTo>
                    <a:cubicBezTo>
                      <a:pt x="73" y="63"/>
                      <a:pt x="73" y="63"/>
                      <a:pt x="74" y="63"/>
                    </a:cubicBezTo>
                    <a:cubicBezTo>
                      <a:pt x="74" y="63"/>
                      <a:pt x="74" y="63"/>
                      <a:pt x="75" y="63"/>
                    </a:cubicBezTo>
                    <a:cubicBezTo>
                      <a:pt x="77" y="63"/>
                      <a:pt x="81" y="63"/>
                      <a:pt x="81" y="63"/>
                    </a:cubicBezTo>
                    <a:cubicBezTo>
                      <a:pt x="81" y="63"/>
                      <a:pt x="81" y="63"/>
                      <a:pt x="81" y="63"/>
                    </a:cubicBezTo>
                    <a:cubicBezTo>
                      <a:pt x="87" y="67"/>
                      <a:pt x="87" y="67"/>
                      <a:pt x="87" y="67"/>
                    </a:cubicBezTo>
                    <a:cubicBezTo>
                      <a:pt x="87" y="67"/>
                      <a:pt x="87" y="67"/>
                      <a:pt x="87" y="67"/>
                    </a:cubicBezTo>
                    <a:cubicBezTo>
                      <a:pt x="87" y="67"/>
                      <a:pt x="87" y="68"/>
                      <a:pt x="87" y="68"/>
                    </a:cubicBezTo>
                    <a:cubicBezTo>
                      <a:pt x="87" y="68"/>
                      <a:pt x="82" y="70"/>
                      <a:pt x="80" y="71"/>
                    </a:cubicBezTo>
                    <a:cubicBezTo>
                      <a:pt x="79" y="71"/>
                      <a:pt x="78" y="71"/>
                      <a:pt x="78" y="71"/>
                    </a:cubicBezTo>
                    <a:cubicBezTo>
                      <a:pt x="77" y="71"/>
                      <a:pt x="76" y="70"/>
                      <a:pt x="76" y="70"/>
                    </a:cubicBezTo>
                    <a:cubicBezTo>
                      <a:pt x="76" y="70"/>
                      <a:pt x="76" y="70"/>
                      <a:pt x="76" y="70"/>
                    </a:cubicBezTo>
                    <a:cubicBezTo>
                      <a:pt x="75" y="69"/>
                      <a:pt x="73" y="65"/>
                      <a:pt x="73" y="63"/>
                    </a:cubicBezTo>
                    <a:close/>
                    <a:moveTo>
                      <a:pt x="63" y="53"/>
                    </a:moveTo>
                    <a:cubicBezTo>
                      <a:pt x="63" y="53"/>
                      <a:pt x="63" y="53"/>
                      <a:pt x="63" y="53"/>
                    </a:cubicBezTo>
                    <a:cubicBezTo>
                      <a:pt x="63" y="53"/>
                      <a:pt x="63" y="52"/>
                      <a:pt x="63" y="52"/>
                    </a:cubicBezTo>
                    <a:cubicBezTo>
                      <a:pt x="63" y="52"/>
                      <a:pt x="60" y="49"/>
                      <a:pt x="58" y="46"/>
                    </a:cubicBezTo>
                    <a:cubicBezTo>
                      <a:pt x="52" y="38"/>
                      <a:pt x="48" y="33"/>
                      <a:pt x="48" y="32"/>
                    </a:cubicBezTo>
                    <a:cubicBezTo>
                      <a:pt x="48" y="32"/>
                      <a:pt x="48" y="32"/>
                      <a:pt x="48" y="32"/>
                    </a:cubicBezTo>
                    <a:cubicBezTo>
                      <a:pt x="48" y="31"/>
                      <a:pt x="48" y="31"/>
                      <a:pt x="48" y="31"/>
                    </a:cubicBezTo>
                    <a:cubicBezTo>
                      <a:pt x="54" y="29"/>
                      <a:pt x="62" y="24"/>
                      <a:pt x="67" y="20"/>
                    </a:cubicBezTo>
                    <a:cubicBezTo>
                      <a:pt x="67" y="20"/>
                      <a:pt x="68" y="19"/>
                      <a:pt x="69" y="19"/>
                    </a:cubicBezTo>
                    <a:cubicBezTo>
                      <a:pt x="69" y="19"/>
                      <a:pt x="69" y="19"/>
                      <a:pt x="69" y="19"/>
                    </a:cubicBezTo>
                    <a:cubicBezTo>
                      <a:pt x="70" y="20"/>
                      <a:pt x="87" y="35"/>
                      <a:pt x="88" y="36"/>
                    </a:cubicBezTo>
                    <a:cubicBezTo>
                      <a:pt x="88" y="36"/>
                      <a:pt x="88" y="36"/>
                      <a:pt x="88" y="36"/>
                    </a:cubicBezTo>
                    <a:cubicBezTo>
                      <a:pt x="87" y="39"/>
                      <a:pt x="72" y="50"/>
                      <a:pt x="63" y="53"/>
                    </a:cubicBezTo>
                    <a:close/>
                    <a:moveTo>
                      <a:pt x="60" y="69"/>
                    </a:moveTo>
                    <a:cubicBezTo>
                      <a:pt x="61" y="67"/>
                      <a:pt x="62" y="67"/>
                      <a:pt x="63" y="67"/>
                    </a:cubicBezTo>
                    <a:cubicBezTo>
                      <a:pt x="64" y="67"/>
                      <a:pt x="65" y="67"/>
                      <a:pt x="66" y="68"/>
                    </a:cubicBezTo>
                    <a:cubicBezTo>
                      <a:pt x="67" y="69"/>
                      <a:pt x="69" y="71"/>
                      <a:pt x="69" y="72"/>
                    </a:cubicBezTo>
                    <a:cubicBezTo>
                      <a:pt x="69" y="74"/>
                      <a:pt x="68" y="75"/>
                      <a:pt x="67" y="75"/>
                    </a:cubicBezTo>
                    <a:cubicBezTo>
                      <a:pt x="67" y="76"/>
                      <a:pt x="66" y="76"/>
                      <a:pt x="65" y="76"/>
                    </a:cubicBezTo>
                    <a:cubicBezTo>
                      <a:pt x="64" y="76"/>
                      <a:pt x="63" y="76"/>
                      <a:pt x="63" y="75"/>
                    </a:cubicBezTo>
                    <a:cubicBezTo>
                      <a:pt x="61" y="74"/>
                      <a:pt x="59" y="71"/>
                      <a:pt x="60" y="69"/>
                    </a:cubicBezTo>
                    <a:close/>
                    <a:moveTo>
                      <a:pt x="33" y="24"/>
                    </a:moveTo>
                    <a:cubicBezTo>
                      <a:pt x="35" y="25"/>
                      <a:pt x="37" y="26"/>
                      <a:pt x="40" y="28"/>
                    </a:cubicBezTo>
                    <a:cubicBezTo>
                      <a:pt x="41" y="28"/>
                      <a:pt x="41" y="28"/>
                      <a:pt x="41" y="28"/>
                    </a:cubicBezTo>
                    <a:cubicBezTo>
                      <a:pt x="42" y="29"/>
                      <a:pt x="45" y="32"/>
                      <a:pt x="48" y="36"/>
                    </a:cubicBezTo>
                    <a:cubicBezTo>
                      <a:pt x="50" y="38"/>
                      <a:pt x="59" y="52"/>
                      <a:pt x="59" y="53"/>
                    </a:cubicBezTo>
                    <a:cubicBezTo>
                      <a:pt x="59" y="53"/>
                      <a:pt x="59" y="53"/>
                      <a:pt x="59" y="53"/>
                    </a:cubicBezTo>
                    <a:cubicBezTo>
                      <a:pt x="59" y="53"/>
                      <a:pt x="59" y="53"/>
                      <a:pt x="59" y="53"/>
                    </a:cubicBezTo>
                    <a:cubicBezTo>
                      <a:pt x="59" y="53"/>
                      <a:pt x="59" y="53"/>
                      <a:pt x="58" y="53"/>
                    </a:cubicBezTo>
                    <a:cubicBezTo>
                      <a:pt x="33" y="37"/>
                      <a:pt x="33" y="37"/>
                      <a:pt x="33" y="37"/>
                    </a:cubicBezTo>
                    <a:lnTo>
                      <a:pt x="33" y="24"/>
                    </a:lnTo>
                    <a:close/>
                    <a:moveTo>
                      <a:pt x="9" y="22"/>
                    </a:moveTo>
                    <a:cubicBezTo>
                      <a:pt x="9" y="22"/>
                      <a:pt x="9" y="22"/>
                      <a:pt x="9" y="22"/>
                    </a:cubicBezTo>
                    <a:cubicBezTo>
                      <a:pt x="9" y="22"/>
                      <a:pt x="9" y="21"/>
                      <a:pt x="9" y="21"/>
                    </a:cubicBezTo>
                    <a:cubicBezTo>
                      <a:pt x="9" y="21"/>
                      <a:pt x="12" y="18"/>
                      <a:pt x="13" y="18"/>
                    </a:cubicBezTo>
                    <a:cubicBezTo>
                      <a:pt x="14" y="17"/>
                      <a:pt x="15" y="17"/>
                      <a:pt x="16" y="17"/>
                    </a:cubicBezTo>
                    <a:cubicBezTo>
                      <a:pt x="18" y="17"/>
                      <a:pt x="20" y="17"/>
                      <a:pt x="21" y="18"/>
                    </a:cubicBezTo>
                    <a:cubicBezTo>
                      <a:pt x="21" y="18"/>
                      <a:pt x="24" y="19"/>
                      <a:pt x="28" y="21"/>
                    </a:cubicBezTo>
                    <a:cubicBezTo>
                      <a:pt x="28" y="34"/>
                      <a:pt x="28" y="34"/>
                      <a:pt x="28" y="34"/>
                    </a:cubicBezTo>
                    <a:lnTo>
                      <a:pt x="9" y="22"/>
                    </a:lnTo>
                    <a:close/>
                    <a:moveTo>
                      <a:pt x="7" y="38"/>
                    </a:moveTo>
                    <a:cubicBezTo>
                      <a:pt x="8" y="37"/>
                      <a:pt x="9" y="36"/>
                      <a:pt x="10" y="36"/>
                    </a:cubicBezTo>
                    <a:cubicBezTo>
                      <a:pt x="11" y="36"/>
                      <a:pt x="12" y="36"/>
                      <a:pt x="13" y="37"/>
                    </a:cubicBezTo>
                    <a:cubicBezTo>
                      <a:pt x="15" y="38"/>
                      <a:pt x="16" y="40"/>
                      <a:pt x="16" y="42"/>
                    </a:cubicBezTo>
                    <a:cubicBezTo>
                      <a:pt x="16" y="43"/>
                      <a:pt x="15" y="44"/>
                      <a:pt x="15" y="45"/>
                    </a:cubicBezTo>
                    <a:cubicBezTo>
                      <a:pt x="14" y="45"/>
                      <a:pt x="13" y="45"/>
                      <a:pt x="13" y="45"/>
                    </a:cubicBezTo>
                    <a:cubicBezTo>
                      <a:pt x="12" y="45"/>
                      <a:pt x="11" y="45"/>
                      <a:pt x="10" y="45"/>
                    </a:cubicBezTo>
                    <a:cubicBezTo>
                      <a:pt x="8" y="43"/>
                      <a:pt x="7" y="40"/>
                      <a:pt x="7" y="38"/>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6" name="Freeform 47">
                <a:extLst>
                  <a:ext uri="{FF2B5EF4-FFF2-40B4-BE49-F238E27FC236}">
                    <a16:creationId xmlns:a16="http://schemas.microsoft.com/office/drawing/2014/main" id="{9278552F-EABF-EF5B-7F55-8FEADAE86E75}"/>
                  </a:ext>
                </a:extLst>
              </xdr:cNvPr>
              <xdr:cNvSpPr>
                <a:spLocks noEditPoints="1"/>
              </xdr:cNvSpPr>
            </xdr:nvSpPr>
            <xdr:spPr bwMode="auto">
              <a:xfrm>
                <a:off x="877522" y="1567448"/>
                <a:ext cx="333272" cy="245987"/>
              </a:xfrm>
              <a:custGeom>
                <a:avLst/>
                <a:gdLst>
                  <a:gd name="T0" fmla="*/ 5 w 109"/>
                  <a:gd name="T1" fmla="*/ 37 h 80"/>
                  <a:gd name="T2" fmla="*/ 14 w 109"/>
                  <a:gd name="T3" fmla="*/ 49 h 80"/>
                  <a:gd name="T4" fmla="*/ 19 w 109"/>
                  <a:gd name="T5" fmla="*/ 46 h 80"/>
                  <a:gd name="T6" fmla="*/ 63 w 109"/>
                  <a:gd name="T7" fmla="*/ 79 h 80"/>
                  <a:gd name="T8" fmla="*/ 70 w 109"/>
                  <a:gd name="T9" fmla="*/ 79 h 80"/>
                  <a:gd name="T10" fmla="*/ 73 w 109"/>
                  <a:gd name="T11" fmla="*/ 78 h 80"/>
                  <a:gd name="T12" fmla="*/ 83 w 109"/>
                  <a:gd name="T13" fmla="*/ 79 h 80"/>
                  <a:gd name="T14" fmla="*/ 109 w 109"/>
                  <a:gd name="T15" fmla="*/ 56 h 80"/>
                  <a:gd name="T16" fmla="*/ 107 w 109"/>
                  <a:gd name="T17" fmla="*/ 56 h 80"/>
                  <a:gd name="T18" fmla="*/ 104 w 109"/>
                  <a:gd name="T19" fmla="*/ 58 h 80"/>
                  <a:gd name="T20" fmla="*/ 104 w 109"/>
                  <a:gd name="T21" fmla="*/ 58 h 80"/>
                  <a:gd name="T22" fmla="*/ 103 w 109"/>
                  <a:gd name="T23" fmla="*/ 47 h 80"/>
                  <a:gd name="T24" fmla="*/ 90 w 109"/>
                  <a:gd name="T25" fmla="*/ 35 h 80"/>
                  <a:gd name="T26" fmla="*/ 70 w 109"/>
                  <a:gd name="T27" fmla="*/ 17 h 80"/>
                  <a:gd name="T28" fmla="*/ 33 w 109"/>
                  <a:gd name="T29" fmla="*/ 0 h 80"/>
                  <a:gd name="T30" fmla="*/ 27 w 109"/>
                  <a:gd name="T31" fmla="*/ 3 h 80"/>
                  <a:gd name="T32" fmla="*/ 3 w 109"/>
                  <a:gd name="T33" fmla="*/ 20 h 80"/>
                  <a:gd name="T34" fmla="*/ 1 w 109"/>
                  <a:gd name="T35" fmla="*/ 26 h 80"/>
                  <a:gd name="T36" fmla="*/ 4 w 109"/>
                  <a:gd name="T37" fmla="*/ 36 h 80"/>
                  <a:gd name="T38" fmla="*/ 92 w 109"/>
                  <a:gd name="T39" fmla="*/ 68 h 80"/>
                  <a:gd name="T40" fmla="*/ 102 w 109"/>
                  <a:gd name="T41" fmla="*/ 62 h 80"/>
                  <a:gd name="T42" fmla="*/ 102 w 109"/>
                  <a:gd name="T43" fmla="*/ 66 h 80"/>
                  <a:gd name="T44" fmla="*/ 92 w 109"/>
                  <a:gd name="T45" fmla="*/ 72 h 80"/>
                  <a:gd name="T46" fmla="*/ 92 w 109"/>
                  <a:gd name="T47" fmla="*/ 72 h 80"/>
                  <a:gd name="T48" fmla="*/ 92 w 109"/>
                  <a:gd name="T49" fmla="*/ 69 h 80"/>
                  <a:gd name="T50" fmla="*/ 74 w 109"/>
                  <a:gd name="T51" fmla="*/ 64 h 80"/>
                  <a:gd name="T52" fmla="*/ 81 w 109"/>
                  <a:gd name="T53" fmla="*/ 64 h 80"/>
                  <a:gd name="T54" fmla="*/ 87 w 109"/>
                  <a:gd name="T55" fmla="*/ 68 h 80"/>
                  <a:gd name="T56" fmla="*/ 87 w 109"/>
                  <a:gd name="T57" fmla="*/ 68 h 80"/>
                  <a:gd name="T58" fmla="*/ 78 w 109"/>
                  <a:gd name="T59" fmla="*/ 71 h 80"/>
                  <a:gd name="T60" fmla="*/ 76 w 109"/>
                  <a:gd name="T61" fmla="*/ 70 h 80"/>
                  <a:gd name="T62" fmla="*/ 64 w 109"/>
                  <a:gd name="T63" fmla="*/ 53 h 80"/>
                  <a:gd name="T64" fmla="*/ 63 w 109"/>
                  <a:gd name="T65" fmla="*/ 53 h 80"/>
                  <a:gd name="T66" fmla="*/ 48 w 109"/>
                  <a:gd name="T67" fmla="*/ 33 h 80"/>
                  <a:gd name="T68" fmla="*/ 48 w 109"/>
                  <a:gd name="T69" fmla="*/ 32 h 80"/>
                  <a:gd name="T70" fmla="*/ 69 w 109"/>
                  <a:gd name="T71" fmla="*/ 20 h 80"/>
                  <a:gd name="T72" fmla="*/ 88 w 109"/>
                  <a:gd name="T73" fmla="*/ 36 h 80"/>
                  <a:gd name="T74" fmla="*/ 64 w 109"/>
                  <a:gd name="T75" fmla="*/ 53 h 80"/>
                  <a:gd name="T76" fmla="*/ 63 w 109"/>
                  <a:gd name="T77" fmla="*/ 67 h 80"/>
                  <a:gd name="T78" fmla="*/ 69 w 109"/>
                  <a:gd name="T79" fmla="*/ 73 h 80"/>
                  <a:gd name="T80" fmla="*/ 66 w 109"/>
                  <a:gd name="T81" fmla="*/ 77 h 80"/>
                  <a:gd name="T82" fmla="*/ 60 w 109"/>
                  <a:gd name="T83" fmla="*/ 69 h 80"/>
                  <a:gd name="T84" fmla="*/ 40 w 109"/>
                  <a:gd name="T85" fmla="*/ 28 h 80"/>
                  <a:gd name="T86" fmla="*/ 48 w 109"/>
                  <a:gd name="T87" fmla="*/ 37 h 80"/>
                  <a:gd name="T88" fmla="*/ 59 w 109"/>
                  <a:gd name="T89" fmla="*/ 54 h 80"/>
                  <a:gd name="T90" fmla="*/ 59 w 109"/>
                  <a:gd name="T91" fmla="*/ 54 h 80"/>
                  <a:gd name="T92" fmla="*/ 33 w 109"/>
                  <a:gd name="T93" fmla="*/ 24 h 80"/>
                  <a:gd name="T94" fmla="*/ 9 w 109"/>
                  <a:gd name="T95" fmla="*/ 22 h 80"/>
                  <a:gd name="T96" fmla="*/ 13 w 109"/>
                  <a:gd name="T97" fmla="*/ 18 h 80"/>
                  <a:gd name="T98" fmla="*/ 21 w 109"/>
                  <a:gd name="T99" fmla="*/ 18 h 80"/>
                  <a:gd name="T100" fmla="*/ 28 w 109"/>
                  <a:gd name="T101" fmla="*/ 35 h 80"/>
                  <a:gd name="T102" fmla="*/ 7 w 109"/>
                  <a:gd name="T103" fmla="*/ 39 h 80"/>
                  <a:gd name="T104" fmla="*/ 13 w 109"/>
                  <a:gd name="T105" fmla="*/ 38 h 80"/>
                  <a:gd name="T106" fmla="*/ 15 w 109"/>
                  <a:gd name="T107" fmla="*/ 45 h 80"/>
                  <a:gd name="T108" fmla="*/ 10 w 109"/>
                  <a:gd name="T109" fmla="*/ 45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 h="80">
                    <a:moveTo>
                      <a:pt x="4" y="36"/>
                    </a:moveTo>
                    <a:cubicBezTo>
                      <a:pt x="4" y="36"/>
                      <a:pt x="4" y="37"/>
                      <a:pt x="5" y="37"/>
                    </a:cubicBezTo>
                    <a:cubicBezTo>
                      <a:pt x="4" y="41"/>
                      <a:pt x="6" y="45"/>
                      <a:pt x="10" y="48"/>
                    </a:cubicBezTo>
                    <a:cubicBezTo>
                      <a:pt x="11" y="49"/>
                      <a:pt x="12" y="49"/>
                      <a:pt x="14" y="49"/>
                    </a:cubicBezTo>
                    <a:cubicBezTo>
                      <a:pt x="15" y="49"/>
                      <a:pt x="17" y="49"/>
                      <a:pt x="17" y="48"/>
                    </a:cubicBezTo>
                    <a:cubicBezTo>
                      <a:pt x="18" y="47"/>
                      <a:pt x="19" y="47"/>
                      <a:pt x="19" y="46"/>
                    </a:cubicBezTo>
                    <a:cubicBezTo>
                      <a:pt x="33" y="54"/>
                      <a:pt x="52" y="66"/>
                      <a:pt x="58" y="69"/>
                    </a:cubicBezTo>
                    <a:cubicBezTo>
                      <a:pt x="57" y="73"/>
                      <a:pt x="59" y="76"/>
                      <a:pt x="63" y="79"/>
                    </a:cubicBezTo>
                    <a:cubicBezTo>
                      <a:pt x="64" y="79"/>
                      <a:pt x="65" y="80"/>
                      <a:pt x="67" y="80"/>
                    </a:cubicBezTo>
                    <a:cubicBezTo>
                      <a:pt x="68" y="80"/>
                      <a:pt x="69" y="79"/>
                      <a:pt x="70" y="79"/>
                    </a:cubicBezTo>
                    <a:cubicBezTo>
                      <a:pt x="71" y="78"/>
                      <a:pt x="71" y="78"/>
                      <a:pt x="71" y="78"/>
                    </a:cubicBezTo>
                    <a:cubicBezTo>
                      <a:pt x="72" y="78"/>
                      <a:pt x="72" y="78"/>
                      <a:pt x="73" y="78"/>
                    </a:cubicBezTo>
                    <a:cubicBezTo>
                      <a:pt x="75" y="79"/>
                      <a:pt x="77" y="80"/>
                      <a:pt x="79" y="80"/>
                    </a:cubicBezTo>
                    <a:cubicBezTo>
                      <a:pt x="80" y="80"/>
                      <a:pt x="81" y="80"/>
                      <a:pt x="83" y="79"/>
                    </a:cubicBezTo>
                    <a:cubicBezTo>
                      <a:pt x="87" y="78"/>
                      <a:pt x="105" y="67"/>
                      <a:pt x="107" y="65"/>
                    </a:cubicBezTo>
                    <a:cubicBezTo>
                      <a:pt x="109" y="64"/>
                      <a:pt x="109" y="60"/>
                      <a:pt x="109" y="56"/>
                    </a:cubicBezTo>
                    <a:cubicBezTo>
                      <a:pt x="109" y="55"/>
                      <a:pt x="109" y="54"/>
                      <a:pt x="108" y="53"/>
                    </a:cubicBezTo>
                    <a:cubicBezTo>
                      <a:pt x="108" y="54"/>
                      <a:pt x="108" y="56"/>
                      <a:pt x="107" y="56"/>
                    </a:cubicBezTo>
                    <a:cubicBezTo>
                      <a:pt x="107" y="57"/>
                      <a:pt x="104" y="58"/>
                      <a:pt x="104" y="58"/>
                    </a:cubicBezTo>
                    <a:cubicBezTo>
                      <a:pt x="104" y="58"/>
                      <a:pt x="104" y="58"/>
                      <a:pt x="104" y="58"/>
                    </a:cubicBezTo>
                    <a:cubicBezTo>
                      <a:pt x="104" y="58"/>
                      <a:pt x="104" y="58"/>
                      <a:pt x="104" y="58"/>
                    </a:cubicBezTo>
                    <a:cubicBezTo>
                      <a:pt x="104" y="58"/>
                      <a:pt x="104" y="58"/>
                      <a:pt x="104" y="58"/>
                    </a:cubicBezTo>
                    <a:cubicBezTo>
                      <a:pt x="102" y="54"/>
                      <a:pt x="99" y="49"/>
                      <a:pt x="100" y="48"/>
                    </a:cubicBezTo>
                    <a:cubicBezTo>
                      <a:pt x="100" y="48"/>
                      <a:pt x="101" y="47"/>
                      <a:pt x="103" y="47"/>
                    </a:cubicBezTo>
                    <a:cubicBezTo>
                      <a:pt x="103" y="47"/>
                      <a:pt x="103" y="47"/>
                      <a:pt x="103" y="47"/>
                    </a:cubicBezTo>
                    <a:cubicBezTo>
                      <a:pt x="97" y="42"/>
                      <a:pt x="91" y="36"/>
                      <a:pt x="90" y="35"/>
                    </a:cubicBezTo>
                    <a:cubicBezTo>
                      <a:pt x="70" y="17"/>
                      <a:pt x="70" y="17"/>
                      <a:pt x="70" y="17"/>
                    </a:cubicBezTo>
                    <a:cubicBezTo>
                      <a:pt x="70" y="17"/>
                      <a:pt x="70" y="17"/>
                      <a:pt x="70" y="17"/>
                    </a:cubicBezTo>
                    <a:cubicBezTo>
                      <a:pt x="68" y="17"/>
                      <a:pt x="42" y="2"/>
                      <a:pt x="39" y="1"/>
                    </a:cubicBezTo>
                    <a:cubicBezTo>
                      <a:pt x="38" y="1"/>
                      <a:pt x="35" y="0"/>
                      <a:pt x="33" y="0"/>
                    </a:cubicBezTo>
                    <a:cubicBezTo>
                      <a:pt x="32" y="0"/>
                      <a:pt x="30" y="0"/>
                      <a:pt x="29" y="1"/>
                    </a:cubicBezTo>
                    <a:cubicBezTo>
                      <a:pt x="27" y="3"/>
                      <a:pt x="27" y="3"/>
                      <a:pt x="27" y="3"/>
                    </a:cubicBezTo>
                    <a:cubicBezTo>
                      <a:pt x="21" y="6"/>
                      <a:pt x="6" y="15"/>
                      <a:pt x="6" y="16"/>
                    </a:cubicBezTo>
                    <a:cubicBezTo>
                      <a:pt x="4" y="17"/>
                      <a:pt x="3" y="18"/>
                      <a:pt x="3" y="20"/>
                    </a:cubicBezTo>
                    <a:cubicBezTo>
                      <a:pt x="3" y="21"/>
                      <a:pt x="3" y="23"/>
                      <a:pt x="3" y="24"/>
                    </a:cubicBezTo>
                    <a:cubicBezTo>
                      <a:pt x="2" y="24"/>
                      <a:pt x="1" y="25"/>
                      <a:pt x="1" y="26"/>
                    </a:cubicBezTo>
                    <a:cubicBezTo>
                      <a:pt x="1" y="26"/>
                      <a:pt x="1" y="31"/>
                      <a:pt x="1" y="32"/>
                    </a:cubicBezTo>
                    <a:cubicBezTo>
                      <a:pt x="0" y="33"/>
                      <a:pt x="0" y="34"/>
                      <a:pt x="4" y="36"/>
                    </a:cubicBezTo>
                    <a:close/>
                    <a:moveTo>
                      <a:pt x="92" y="69"/>
                    </a:moveTo>
                    <a:cubicBezTo>
                      <a:pt x="92" y="68"/>
                      <a:pt x="92" y="68"/>
                      <a:pt x="92" y="68"/>
                    </a:cubicBezTo>
                    <a:cubicBezTo>
                      <a:pt x="101" y="62"/>
                      <a:pt x="101" y="62"/>
                      <a:pt x="101" y="62"/>
                    </a:cubicBezTo>
                    <a:cubicBezTo>
                      <a:pt x="102" y="62"/>
                      <a:pt x="102" y="62"/>
                      <a:pt x="102" y="62"/>
                    </a:cubicBezTo>
                    <a:cubicBezTo>
                      <a:pt x="102" y="62"/>
                      <a:pt x="102" y="63"/>
                      <a:pt x="102" y="63"/>
                    </a:cubicBezTo>
                    <a:cubicBezTo>
                      <a:pt x="102" y="66"/>
                      <a:pt x="102" y="66"/>
                      <a:pt x="102" y="66"/>
                    </a:cubicBezTo>
                    <a:cubicBezTo>
                      <a:pt x="102" y="66"/>
                      <a:pt x="102" y="66"/>
                      <a:pt x="102" y="66"/>
                    </a:cubicBezTo>
                    <a:cubicBezTo>
                      <a:pt x="92" y="72"/>
                      <a:pt x="92" y="72"/>
                      <a:pt x="92" y="72"/>
                    </a:cubicBezTo>
                    <a:cubicBezTo>
                      <a:pt x="92" y="72"/>
                      <a:pt x="92" y="72"/>
                      <a:pt x="92" y="72"/>
                    </a:cubicBezTo>
                    <a:cubicBezTo>
                      <a:pt x="92" y="72"/>
                      <a:pt x="92" y="72"/>
                      <a:pt x="92" y="72"/>
                    </a:cubicBezTo>
                    <a:cubicBezTo>
                      <a:pt x="92" y="72"/>
                      <a:pt x="92" y="72"/>
                      <a:pt x="92" y="72"/>
                    </a:cubicBezTo>
                    <a:lnTo>
                      <a:pt x="92" y="69"/>
                    </a:lnTo>
                    <a:close/>
                    <a:moveTo>
                      <a:pt x="73" y="64"/>
                    </a:moveTo>
                    <a:cubicBezTo>
                      <a:pt x="73" y="64"/>
                      <a:pt x="73" y="64"/>
                      <a:pt x="74" y="64"/>
                    </a:cubicBezTo>
                    <a:cubicBezTo>
                      <a:pt x="74" y="63"/>
                      <a:pt x="74" y="63"/>
                      <a:pt x="75" y="63"/>
                    </a:cubicBezTo>
                    <a:cubicBezTo>
                      <a:pt x="77" y="63"/>
                      <a:pt x="81" y="64"/>
                      <a:pt x="81" y="64"/>
                    </a:cubicBezTo>
                    <a:cubicBezTo>
                      <a:pt x="81" y="64"/>
                      <a:pt x="81" y="64"/>
                      <a:pt x="81" y="64"/>
                    </a:cubicBezTo>
                    <a:cubicBezTo>
                      <a:pt x="87" y="68"/>
                      <a:pt x="87" y="68"/>
                      <a:pt x="87" y="68"/>
                    </a:cubicBezTo>
                    <a:cubicBezTo>
                      <a:pt x="87" y="68"/>
                      <a:pt x="87" y="68"/>
                      <a:pt x="87" y="68"/>
                    </a:cubicBezTo>
                    <a:cubicBezTo>
                      <a:pt x="87" y="68"/>
                      <a:pt x="87" y="68"/>
                      <a:pt x="87" y="68"/>
                    </a:cubicBezTo>
                    <a:cubicBezTo>
                      <a:pt x="87" y="68"/>
                      <a:pt x="82" y="71"/>
                      <a:pt x="80" y="71"/>
                    </a:cubicBezTo>
                    <a:cubicBezTo>
                      <a:pt x="79" y="71"/>
                      <a:pt x="78" y="71"/>
                      <a:pt x="78" y="71"/>
                    </a:cubicBezTo>
                    <a:cubicBezTo>
                      <a:pt x="77" y="71"/>
                      <a:pt x="76" y="71"/>
                      <a:pt x="76" y="70"/>
                    </a:cubicBezTo>
                    <a:cubicBezTo>
                      <a:pt x="76" y="70"/>
                      <a:pt x="76" y="70"/>
                      <a:pt x="76" y="70"/>
                    </a:cubicBezTo>
                    <a:cubicBezTo>
                      <a:pt x="75" y="70"/>
                      <a:pt x="73" y="65"/>
                      <a:pt x="73" y="64"/>
                    </a:cubicBezTo>
                    <a:close/>
                    <a:moveTo>
                      <a:pt x="64" y="53"/>
                    </a:moveTo>
                    <a:cubicBezTo>
                      <a:pt x="64" y="53"/>
                      <a:pt x="63" y="53"/>
                      <a:pt x="63" y="53"/>
                    </a:cubicBezTo>
                    <a:cubicBezTo>
                      <a:pt x="63" y="53"/>
                      <a:pt x="63" y="53"/>
                      <a:pt x="63" y="53"/>
                    </a:cubicBezTo>
                    <a:cubicBezTo>
                      <a:pt x="63" y="53"/>
                      <a:pt x="60" y="50"/>
                      <a:pt x="58" y="46"/>
                    </a:cubicBezTo>
                    <a:cubicBezTo>
                      <a:pt x="52" y="39"/>
                      <a:pt x="48" y="33"/>
                      <a:pt x="48" y="33"/>
                    </a:cubicBezTo>
                    <a:cubicBezTo>
                      <a:pt x="48" y="33"/>
                      <a:pt x="48" y="32"/>
                      <a:pt x="48" y="32"/>
                    </a:cubicBezTo>
                    <a:cubicBezTo>
                      <a:pt x="48" y="32"/>
                      <a:pt x="48" y="32"/>
                      <a:pt x="48" y="32"/>
                    </a:cubicBezTo>
                    <a:cubicBezTo>
                      <a:pt x="54" y="30"/>
                      <a:pt x="62" y="24"/>
                      <a:pt x="67" y="21"/>
                    </a:cubicBezTo>
                    <a:cubicBezTo>
                      <a:pt x="67" y="21"/>
                      <a:pt x="68" y="20"/>
                      <a:pt x="69" y="20"/>
                    </a:cubicBezTo>
                    <a:cubicBezTo>
                      <a:pt x="69" y="20"/>
                      <a:pt x="69" y="20"/>
                      <a:pt x="69" y="20"/>
                    </a:cubicBezTo>
                    <a:cubicBezTo>
                      <a:pt x="70" y="21"/>
                      <a:pt x="87" y="35"/>
                      <a:pt x="88" y="36"/>
                    </a:cubicBezTo>
                    <a:cubicBezTo>
                      <a:pt x="88" y="36"/>
                      <a:pt x="88" y="37"/>
                      <a:pt x="88" y="37"/>
                    </a:cubicBezTo>
                    <a:cubicBezTo>
                      <a:pt x="87" y="40"/>
                      <a:pt x="72" y="51"/>
                      <a:pt x="64" y="53"/>
                    </a:cubicBezTo>
                    <a:close/>
                    <a:moveTo>
                      <a:pt x="60" y="69"/>
                    </a:moveTo>
                    <a:cubicBezTo>
                      <a:pt x="61" y="68"/>
                      <a:pt x="62" y="67"/>
                      <a:pt x="63" y="67"/>
                    </a:cubicBezTo>
                    <a:cubicBezTo>
                      <a:pt x="64" y="67"/>
                      <a:pt x="65" y="68"/>
                      <a:pt x="66" y="68"/>
                    </a:cubicBezTo>
                    <a:cubicBezTo>
                      <a:pt x="68" y="69"/>
                      <a:pt x="69" y="71"/>
                      <a:pt x="69" y="73"/>
                    </a:cubicBezTo>
                    <a:cubicBezTo>
                      <a:pt x="69" y="74"/>
                      <a:pt x="68" y="75"/>
                      <a:pt x="68" y="76"/>
                    </a:cubicBezTo>
                    <a:cubicBezTo>
                      <a:pt x="67" y="76"/>
                      <a:pt x="66" y="77"/>
                      <a:pt x="66" y="77"/>
                    </a:cubicBezTo>
                    <a:cubicBezTo>
                      <a:pt x="65" y="77"/>
                      <a:pt x="64" y="76"/>
                      <a:pt x="63" y="76"/>
                    </a:cubicBezTo>
                    <a:cubicBezTo>
                      <a:pt x="61" y="74"/>
                      <a:pt x="59" y="72"/>
                      <a:pt x="60" y="69"/>
                    </a:cubicBezTo>
                    <a:close/>
                    <a:moveTo>
                      <a:pt x="33" y="24"/>
                    </a:moveTo>
                    <a:cubicBezTo>
                      <a:pt x="35" y="25"/>
                      <a:pt x="37" y="27"/>
                      <a:pt x="40" y="28"/>
                    </a:cubicBezTo>
                    <a:cubicBezTo>
                      <a:pt x="41" y="29"/>
                      <a:pt x="41" y="29"/>
                      <a:pt x="41" y="29"/>
                    </a:cubicBezTo>
                    <a:cubicBezTo>
                      <a:pt x="43" y="30"/>
                      <a:pt x="45" y="32"/>
                      <a:pt x="48" y="37"/>
                    </a:cubicBezTo>
                    <a:cubicBezTo>
                      <a:pt x="50" y="39"/>
                      <a:pt x="59" y="53"/>
                      <a:pt x="59" y="53"/>
                    </a:cubicBezTo>
                    <a:cubicBezTo>
                      <a:pt x="59" y="53"/>
                      <a:pt x="59" y="54"/>
                      <a:pt x="59" y="54"/>
                    </a:cubicBezTo>
                    <a:cubicBezTo>
                      <a:pt x="59" y="54"/>
                      <a:pt x="59" y="54"/>
                      <a:pt x="59" y="54"/>
                    </a:cubicBezTo>
                    <a:cubicBezTo>
                      <a:pt x="59" y="54"/>
                      <a:pt x="59" y="54"/>
                      <a:pt x="59" y="54"/>
                    </a:cubicBezTo>
                    <a:cubicBezTo>
                      <a:pt x="33" y="38"/>
                      <a:pt x="33" y="38"/>
                      <a:pt x="33" y="38"/>
                    </a:cubicBezTo>
                    <a:lnTo>
                      <a:pt x="33" y="24"/>
                    </a:lnTo>
                    <a:close/>
                    <a:moveTo>
                      <a:pt x="9" y="23"/>
                    </a:moveTo>
                    <a:cubicBezTo>
                      <a:pt x="9" y="23"/>
                      <a:pt x="9" y="23"/>
                      <a:pt x="9" y="22"/>
                    </a:cubicBezTo>
                    <a:cubicBezTo>
                      <a:pt x="9" y="22"/>
                      <a:pt x="9" y="22"/>
                      <a:pt x="9" y="22"/>
                    </a:cubicBezTo>
                    <a:cubicBezTo>
                      <a:pt x="9" y="22"/>
                      <a:pt x="12" y="19"/>
                      <a:pt x="13" y="18"/>
                    </a:cubicBezTo>
                    <a:cubicBezTo>
                      <a:pt x="14" y="18"/>
                      <a:pt x="15" y="18"/>
                      <a:pt x="16" y="18"/>
                    </a:cubicBezTo>
                    <a:cubicBezTo>
                      <a:pt x="18" y="18"/>
                      <a:pt x="20" y="18"/>
                      <a:pt x="21" y="18"/>
                    </a:cubicBezTo>
                    <a:cubicBezTo>
                      <a:pt x="21" y="18"/>
                      <a:pt x="24" y="20"/>
                      <a:pt x="28" y="22"/>
                    </a:cubicBezTo>
                    <a:cubicBezTo>
                      <a:pt x="28" y="35"/>
                      <a:pt x="28" y="35"/>
                      <a:pt x="28" y="35"/>
                    </a:cubicBezTo>
                    <a:lnTo>
                      <a:pt x="9" y="23"/>
                    </a:lnTo>
                    <a:close/>
                    <a:moveTo>
                      <a:pt x="7" y="39"/>
                    </a:moveTo>
                    <a:cubicBezTo>
                      <a:pt x="8" y="37"/>
                      <a:pt x="9" y="37"/>
                      <a:pt x="10" y="37"/>
                    </a:cubicBezTo>
                    <a:cubicBezTo>
                      <a:pt x="11" y="37"/>
                      <a:pt x="12" y="37"/>
                      <a:pt x="13" y="38"/>
                    </a:cubicBezTo>
                    <a:cubicBezTo>
                      <a:pt x="15" y="39"/>
                      <a:pt x="16" y="41"/>
                      <a:pt x="16" y="42"/>
                    </a:cubicBezTo>
                    <a:cubicBezTo>
                      <a:pt x="16" y="44"/>
                      <a:pt x="15" y="45"/>
                      <a:pt x="15" y="45"/>
                    </a:cubicBezTo>
                    <a:cubicBezTo>
                      <a:pt x="14" y="46"/>
                      <a:pt x="13" y="46"/>
                      <a:pt x="13" y="46"/>
                    </a:cubicBezTo>
                    <a:cubicBezTo>
                      <a:pt x="12" y="46"/>
                      <a:pt x="11" y="46"/>
                      <a:pt x="10" y="45"/>
                    </a:cubicBezTo>
                    <a:cubicBezTo>
                      <a:pt x="8" y="44"/>
                      <a:pt x="7" y="41"/>
                      <a:pt x="7" y="39"/>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27" name="グループ化 26">
                <a:extLst>
                  <a:ext uri="{FF2B5EF4-FFF2-40B4-BE49-F238E27FC236}">
                    <a16:creationId xmlns:a16="http://schemas.microsoft.com/office/drawing/2014/main" id="{04328D4E-B2B3-D234-D0BB-4E428FF41817}"/>
                  </a:ext>
                </a:extLst>
              </xdr:cNvPr>
              <xdr:cNvGrpSpPr/>
            </xdr:nvGrpSpPr>
            <xdr:grpSpPr>
              <a:xfrm>
                <a:off x="475668" y="1412450"/>
                <a:ext cx="822601" cy="740604"/>
                <a:chOff x="475668" y="1412450"/>
                <a:chExt cx="493713" cy="444500"/>
              </a:xfrm>
              <a:grpFill/>
            </xdr:grpSpPr>
            <xdr:sp macro="" textlink="">
              <xdr:nvSpPr>
                <xdr:cNvPr id="28" name="Freeform 49">
                  <a:extLst>
                    <a:ext uri="{FF2B5EF4-FFF2-40B4-BE49-F238E27FC236}">
                      <a16:creationId xmlns:a16="http://schemas.microsoft.com/office/drawing/2014/main" id="{1C38A6DB-9534-51C0-E7E0-76EC4E3EF114}"/>
                    </a:ext>
                  </a:extLst>
                </xdr:cNvPr>
                <xdr:cNvSpPr>
                  <a:spLocks/>
                </xdr:cNvSpPr>
              </xdr:nvSpPr>
              <xdr:spPr bwMode="auto">
                <a:xfrm>
                  <a:off x="495438" y="1423562"/>
                  <a:ext cx="454025" cy="307975"/>
                </a:xfrm>
                <a:custGeom>
                  <a:avLst/>
                  <a:gdLst>
                    <a:gd name="T0" fmla="*/ 244 w 246"/>
                    <a:gd name="T1" fmla="*/ 36 h 167"/>
                    <a:gd name="T2" fmla="*/ 181 w 246"/>
                    <a:gd name="T3" fmla="*/ 0 h 167"/>
                    <a:gd name="T4" fmla="*/ 179 w 246"/>
                    <a:gd name="T5" fmla="*/ 0 h 167"/>
                    <a:gd name="T6" fmla="*/ 1 w 246"/>
                    <a:gd name="T7" fmla="*/ 127 h 167"/>
                    <a:gd name="T8" fmla="*/ 0 w 246"/>
                    <a:gd name="T9" fmla="*/ 129 h 167"/>
                    <a:gd name="T10" fmla="*/ 1 w 246"/>
                    <a:gd name="T11" fmla="*/ 131 h 167"/>
                    <a:gd name="T12" fmla="*/ 64 w 246"/>
                    <a:gd name="T13" fmla="*/ 167 h 167"/>
                    <a:gd name="T14" fmla="*/ 65 w 246"/>
                    <a:gd name="T15" fmla="*/ 167 h 167"/>
                    <a:gd name="T16" fmla="*/ 67 w 246"/>
                    <a:gd name="T17" fmla="*/ 167 h 167"/>
                    <a:gd name="T18" fmla="*/ 244 w 246"/>
                    <a:gd name="T19" fmla="*/ 40 h 167"/>
                    <a:gd name="T20" fmla="*/ 246 w 246"/>
                    <a:gd name="T21" fmla="*/ 38 h 167"/>
                    <a:gd name="T22" fmla="*/ 244 w 246"/>
                    <a:gd name="T23" fmla="*/ 36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46" h="167">
                      <a:moveTo>
                        <a:pt x="244" y="36"/>
                      </a:moveTo>
                      <a:cubicBezTo>
                        <a:pt x="181" y="0"/>
                        <a:pt x="181" y="0"/>
                        <a:pt x="181" y="0"/>
                      </a:cubicBezTo>
                      <a:cubicBezTo>
                        <a:pt x="180" y="0"/>
                        <a:pt x="179" y="0"/>
                        <a:pt x="179" y="0"/>
                      </a:cubicBezTo>
                      <a:cubicBezTo>
                        <a:pt x="1" y="127"/>
                        <a:pt x="1" y="127"/>
                        <a:pt x="1" y="127"/>
                      </a:cubicBezTo>
                      <a:cubicBezTo>
                        <a:pt x="0" y="127"/>
                        <a:pt x="0" y="128"/>
                        <a:pt x="0" y="129"/>
                      </a:cubicBezTo>
                      <a:cubicBezTo>
                        <a:pt x="0" y="130"/>
                        <a:pt x="0" y="131"/>
                        <a:pt x="1" y="131"/>
                      </a:cubicBezTo>
                      <a:cubicBezTo>
                        <a:pt x="64" y="167"/>
                        <a:pt x="64" y="167"/>
                        <a:pt x="64" y="167"/>
                      </a:cubicBezTo>
                      <a:cubicBezTo>
                        <a:pt x="64" y="167"/>
                        <a:pt x="65" y="167"/>
                        <a:pt x="65" y="167"/>
                      </a:cubicBezTo>
                      <a:cubicBezTo>
                        <a:pt x="66" y="167"/>
                        <a:pt x="66" y="167"/>
                        <a:pt x="67" y="167"/>
                      </a:cubicBezTo>
                      <a:cubicBezTo>
                        <a:pt x="244" y="40"/>
                        <a:pt x="244" y="40"/>
                        <a:pt x="244" y="40"/>
                      </a:cubicBezTo>
                      <a:cubicBezTo>
                        <a:pt x="245" y="40"/>
                        <a:pt x="246" y="39"/>
                        <a:pt x="246" y="38"/>
                      </a:cubicBezTo>
                      <a:cubicBezTo>
                        <a:pt x="246" y="37"/>
                        <a:pt x="245" y="36"/>
                        <a:pt x="244" y="36"/>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29" name="グループ化 28">
                  <a:extLst>
                    <a:ext uri="{FF2B5EF4-FFF2-40B4-BE49-F238E27FC236}">
                      <a16:creationId xmlns:a16="http://schemas.microsoft.com/office/drawing/2014/main" id="{CDC4F0C9-4BAB-E1DC-4312-DF7A335C110C}"/>
                    </a:ext>
                  </a:extLst>
                </xdr:cNvPr>
                <xdr:cNvGrpSpPr/>
              </xdr:nvGrpSpPr>
              <xdr:grpSpPr>
                <a:xfrm>
                  <a:off x="475668" y="1412450"/>
                  <a:ext cx="493713" cy="444500"/>
                  <a:chOff x="475668" y="1412450"/>
                  <a:chExt cx="493713" cy="444500"/>
                </a:xfrm>
                <a:grpFill/>
              </xdr:grpSpPr>
              <xdr:sp macro="" textlink="">
                <xdr:nvSpPr>
                  <xdr:cNvPr id="30" name="Freeform 50">
                    <a:extLst>
                      <a:ext uri="{FF2B5EF4-FFF2-40B4-BE49-F238E27FC236}">
                        <a16:creationId xmlns:a16="http://schemas.microsoft.com/office/drawing/2014/main" id="{9AF7FE3C-9D6C-2ED7-9A43-83EF176B4F7C}"/>
                      </a:ext>
                    </a:extLst>
                  </xdr:cNvPr>
                  <xdr:cNvSpPr>
                    <a:spLocks noEditPoints="1"/>
                  </xdr:cNvSpPr>
                </xdr:nvSpPr>
                <xdr:spPr bwMode="auto">
                  <a:xfrm>
                    <a:off x="475668" y="1412450"/>
                    <a:ext cx="493713" cy="444500"/>
                  </a:xfrm>
                  <a:custGeom>
                    <a:avLst/>
                    <a:gdLst>
                      <a:gd name="T0" fmla="*/ 266 w 268"/>
                      <a:gd name="T1" fmla="*/ 42 h 241"/>
                      <a:gd name="T2" fmla="*/ 193 w 268"/>
                      <a:gd name="T3" fmla="*/ 1 h 241"/>
                      <a:gd name="T4" fmla="*/ 188 w 268"/>
                      <a:gd name="T5" fmla="*/ 1 h 241"/>
                      <a:gd name="T6" fmla="*/ 1 w 268"/>
                      <a:gd name="T7" fmla="*/ 134 h 241"/>
                      <a:gd name="T8" fmla="*/ 1 w 268"/>
                      <a:gd name="T9" fmla="*/ 137 h 241"/>
                      <a:gd name="T10" fmla="*/ 2 w 268"/>
                      <a:gd name="T11" fmla="*/ 138 h 241"/>
                      <a:gd name="T12" fmla="*/ 2 w 268"/>
                      <a:gd name="T13" fmla="*/ 138 h 241"/>
                      <a:gd name="T14" fmla="*/ 2 w 268"/>
                      <a:gd name="T15" fmla="*/ 201 h 241"/>
                      <a:gd name="T16" fmla="*/ 6 w 268"/>
                      <a:gd name="T17" fmla="*/ 205 h 241"/>
                      <a:gd name="T18" fmla="*/ 10 w 268"/>
                      <a:gd name="T19" fmla="*/ 201 h 241"/>
                      <a:gd name="T20" fmla="*/ 10 w 268"/>
                      <a:gd name="T21" fmla="*/ 142 h 241"/>
                      <a:gd name="T22" fmla="*/ 72 w 268"/>
                      <a:gd name="T23" fmla="*/ 177 h 241"/>
                      <a:gd name="T24" fmla="*/ 72 w 268"/>
                      <a:gd name="T25" fmla="*/ 236 h 241"/>
                      <a:gd name="T26" fmla="*/ 76 w 268"/>
                      <a:gd name="T27" fmla="*/ 241 h 241"/>
                      <a:gd name="T28" fmla="*/ 80 w 268"/>
                      <a:gd name="T29" fmla="*/ 236 h 241"/>
                      <a:gd name="T30" fmla="*/ 80 w 268"/>
                      <a:gd name="T31" fmla="*/ 178 h 241"/>
                      <a:gd name="T32" fmla="*/ 257 w 268"/>
                      <a:gd name="T33" fmla="*/ 52 h 241"/>
                      <a:gd name="T34" fmla="*/ 257 w 268"/>
                      <a:gd name="T35" fmla="*/ 109 h 241"/>
                      <a:gd name="T36" fmla="*/ 261 w 268"/>
                      <a:gd name="T37" fmla="*/ 113 h 241"/>
                      <a:gd name="T38" fmla="*/ 265 w 268"/>
                      <a:gd name="T39" fmla="*/ 109 h 241"/>
                      <a:gd name="T40" fmla="*/ 265 w 268"/>
                      <a:gd name="T41" fmla="*/ 46 h 241"/>
                      <a:gd name="T42" fmla="*/ 266 w 268"/>
                      <a:gd name="T43" fmla="*/ 45 h 241"/>
                      <a:gd name="T44" fmla="*/ 266 w 268"/>
                      <a:gd name="T45" fmla="*/ 42 h 241"/>
                      <a:gd name="T46" fmla="*/ 255 w 268"/>
                      <a:gd name="T47" fmla="*/ 46 h 241"/>
                      <a:gd name="T48" fmla="*/ 78 w 268"/>
                      <a:gd name="T49" fmla="*/ 173 h 241"/>
                      <a:gd name="T50" fmla="*/ 76 w 268"/>
                      <a:gd name="T51" fmla="*/ 173 h 241"/>
                      <a:gd name="T52" fmla="*/ 75 w 268"/>
                      <a:gd name="T53" fmla="*/ 173 h 241"/>
                      <a:gd name="T54" fmla="*/ 12 w 268"/>
                      <a:gd name="T55" fmla="*/ 137 h 241"/>
                      <a:gd name="T56" fmla="*/ 11 w 268"/>
                      <a:gd name="T57" fmla="*/ 135 h 241"/>
                      <a:gd name="T58" fmla="*/ 12 w 268"/>
                      <a:gd name="T59" fmla="*/ 133 h 241"/>
                      <a:gd name="T60" fmla="*/ 187 w 268"/>
                      <a:gd name="T61" fmla="*/ 8 h 241"/>
                      <a:gd name="T62" fmla="*/ 189 w 268"/>
                      <a:gd name="T63" fmla="*/ 7 h 241"/>
                      <a:gd name="T64" fmla="*/ 189 w 268"/>
                      <a:gd name="T65" fmla="*/ 7 h 241"/>
                      <a:gd name="T66" fmla="*/ 190 w 268"/>
                      <a:gd name="T67" fmla="*/ 6 h 241"/>
                      <a:gd name="T68" fmla="*/ 192 w 268"/>
                      <a:gd name="T69" fmla="*/ 6 h 241"/>
                      <a:gd name="T70" fmla="*/ 255 w 268"/>
                      <a:gd name="T71" fmla="*/ 42 h 241"/>
                      <a:gd name="T72" fmla="*/ 257 w 268"/>
                      <a:gd name="T73" fmla="*/ 44 h 241"/>
                      <a:gd name="T74" fmla="*/ 255 w 268"/>
                      <a:gd name="T75" fmla="*/ 46 h 2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268" h="241">
                        <a:moveTo>
                          <a:pt x="266" y="42"/>
                        </a:moveTo>
                        <a:cubicBezTo>
                          <a:pt x="193" y="1"/>
                          <a:pt x="193" y="1"/>
                          <a:pt x="193" y="1"/>
                        </a:cubicBezTo>
                        <a:cubicBezTo>
                          <a:pt x="192" y="0"/>
                          <a:pt x="189" y="0"/>
                          <a:pt x="188" y="1"/>
                        </a:cubicBezTo>
                        <a:cubicBezTo>
                          <a:pt x="1" y="134"/>
                          <a:pt x="1" y="134"/>
                          <a:pt x="1" y="134"/>
                        </a:cubicBezTo>
                        <a:cubicBezTo>
                          <a:pt x="0" y="135"/>
                          <a:pt x="0" y="136"/>
                          <a:pt x="1" y="137"/>
                        </a:cubicBezTo>
                        <a:cubicBezTo>
                          <a:pt x="2" y="138"/>
                          <a:pt x="2" y="138"/>
                          <a:pt x="2" y="138"/>
                        </a:cubicBezTo>
                        <a:cubicBezTo>
                          <a:pt x="2" y="138"/>
                          <a:pt x="2" y="138"/>
                          <a:pt x="2" y="138"/>
                        </a:cubicBezTo>
                        <a:cubicBezTo>
                          <a:pt x="2" y="201"/>
                          <a:pt x="2" y="201"/>
                          <a:pt x="2" y="201"/>
                        </a:cubicBezTo>
                        <a:cubicBezTo>
                          <a:pt x="2" y="204"/>
                          <a:pt x="4" y="205"/>
                          <a:pt x="6" y="205"/>
                        </a:cubicBezTo>
                        <a:cubicBezTo>
                          <a:pt x="9" y="205"/>
                          <a:pt x="10" y="204"/>
                          <a:pt x="10" y="201"/>
                        </a:cubicBezTo>
                        <a:cubicBezTo>
                          <a:pt x="10" y="142"/>
                          <a:pt x="10" y="142"/>
                          <a:pt x="10" y="142"/>
                        </a:cubicBezTo>
                        <a:cubicBezTo>
                          <a:pt x="72" y="177"/>
                          <a:pt x="72" y="177"/>
                          <a:pt x="72" y="177"/>
                        </a:cubicBezTo>
                        <a:cubicBezTo>
                          <a:pt x="72" y="236"/>
                          <a:pt x="72" y="236"/>
                          <a:pt x="72" y="236"/>
                        </a:cubicBezTo>
                        <a:cubicBezTo>
                          <a:pt x="72" y="239"/>
                          <a:pt x="74" y="241"/>
                          <a:pt x="76" y="241"/>
                        </a:cubicBezTo>
                        <a:cubicBezTo>
                          <a:pt x="78" y="241"/>
                          <a:pt x="80" y="239"/>
                          <a:pt x="80" y="236"/>
                        </a:cubicBezTo>
                        <a:cubicBezTo>
                          <a:pt x="80" y="178"/>
                          <a:pt x="80" y="178"/>
                          <a:pt x="80" y="178"/>
                        </a:cubicBezTo>
                        <a:cubicBezTo>
                          <a:pt x="257" y="52"/>
                          <a:pt x="257" y="52"/>
                          <a:pt x="257" y="52"/>
                        </a:cubicBezTo>
                        <a:cubicBezTo>
                          <a:pt x="257" y="109"/>
                          <a:pt x="257" y="109"/>
                          <a:pt x="257" y="109"/>
                        </a:cubicBezTo>
                        <a:cubicBezTo>
                          <a:pt x="257" y="111"/>
                          <a:pt x="258" y="113"/>
                          <a:pt x="261" y="113"/>
                        </a:cubicBezTo>
                        <a:cubicBezTo>
                          <a:pt x="263" y="113"/>
                          <a:pt x="265" y="111"/>
                          <a:pt x="265" y="109"/>
                        </a:cubicBezTo>
                        <a:cubicBezTo>
                          <a:pt x="265" y="46"/>
                          <a:pt x="265" y="46"/>
                          <a:pt x="265" y="46"/>
                        </a:cubicBezTo>
                        <a:cubicBezTo>
                          <a:pt x="266" y="45"/>
                          <a:pt x="266" y="45"/>
                          <a:pt x="266" y="45"/>
                        </a:cubicBezTo>
                        <a:cubicBezTo>
                          <a:pt x="268" y="44"/>
                          <a:pt x="268" y="43"/>
                          <a:pt x="266" y="42"/>
                        </a:cubicBezTo>
                        <a:close/>
                        <a:moveTo>
                          <a:pt x="255" y="46"/>
                        </a:moveTo>
                        <a:cubicBezTo>
                          <a:pt x="78" y="173"/>
                          <a:pt x="78" y="173"/>
                          <a:pt x="78" y="173"/>
                        </a:cubicBezTo>
                        <a:cubicBezTo>
                          <a:pt x="77" y="173"/>
                          <a:pt x="77" y="173"/>
                          <a:pt x="76" y="173"/>
                        </a:cubicBezTo>
                        <a:cubicBezTo>
                          <a:pt x="76" y="173"/>
                          <a:pt x="75" y="173"/>
                          <a:pt x="75" y="173"/>
                        </a:cubicBezTo>
                        <a:cubicBezTo>
                          <a:pt x="12" y="137"/>
                          <a:pt x="12" y="137"/>
                          <a:pt x="12" y="137"/>
                        </a:cubicBezTo>
                        <a:cubicBezTo>
                          <a:pt x="11" y="137"/>
                          <a:pt x="11" y="136"/>
                          <a:pt x="11" y="135"/>
                        </a:cubicBezTo>
                        <a:cubicBezTo>
                          <a:pt x="11" y="134"/>
                          <a:pt x="11" y="133"/>
                          <a:pt x="12" y="133"/>
                        </a:cubicBezTo>
                        <a:cubicBezTo>
                          <a:pt x="187" y="8"/>
                          <a:pt x="187" y="8"/>
                          <a:pt x="187" y="8"/>
                        </a:cubicBezTo>
                        <a:cubicBezTo>
                          <a:pt x="189" y="7"/>
                          <a:pt x="189" y="7"/>
                          <a:pt x="189" y="7"/>
                        </a:cubicBezTo>
                        <a:cubicBezTo>
                          <a:pt x="189" y="7"/>
                          <a:pt x="189" y="7"/>
                          <a:pt x="189" y="7"/>
                        </a:cubicBezTo>
                        <a:cubicBezTo>
                          <a:pt x="190" y="6"/>
                          <a:pt x="190" y="6"/>
                          <a:pt x="190" y="6"/>
                        </a:cubicBezTo>
                        <a:cubicBezTo>
                          <a:pt x="190" y="6"/>
                          <a:pt x="191" y="6"/>
                          <a:pt x="192" y="6"/>
                        </a:cubicBezTo>
                        <a:cubicBezTo>
                          <a:pt x="255" y="42"/>
                          <a:pt x="255" y="42"/>
                          <a:pt x="255" y="42"/>
                        </a:cubicBezTo>
                        <a:cubicBezTo>
                          <a:pt x="256" y="42"/>
                          <a:pt x="257" y="43"/>
                          <a:pt x="257" y="44"/>
                        </a:cubicBezTo>
                        <a:cubicBezTo>
                          <a:pt x="257" y="45"/>
                          <a:pt x="256" y="46"/>
                          <a:pt x="255" y="4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1" name="Freeform 51">
                    <a:extLst>
                      <a:ext uri="{FF2B5EF4-FFF2-40B4-BE49-F238E27FC236}">
                        <a16:creationId xmlns:a16="http://schemas.microsoft.com/office/drawing/2014/main" id="{7343D9B8-8CF4-AB99-6E7E-0389271C76F0}"/>
                      </a:ext>
                    </a:extLst>
                  </xdr:cNvPr>
                  <xdr:cNvSpPr>
                    <a:spLocks/>
                  </xdr:cNvSpPr>
                </xdr:nvSpPr>
                <xdr:spPr bwMode="auto">
                  <a:xfrm>
                    <a:off x="567743" y="1585487"/>
                    <a:ext cx="153988" cy="92075"/>
                  </a:xfrm>
                  <a:custGeom>
                    <a:avLst/>
                    <a:gdLst>
                      <a:gd name="T0" fmla="*/ 0 w 97"/>
                      <a:gd name="T1" fmla="*/ 20 h 58"/>
                      <a:gd name="T2" fmla="*/ 69 w 97"/>
                      <a:gd name="T3" fmla="*/ 58 h 58"/>
                      <a:gd name="T4" fmla="*/ 97 w 97"/>
                      <a:gd name="T5" fmla="*/ 39 h 58"/>
                      <a:gd name="T6" fmla="*/ 28 w 97"/>
                      <a:gd name="T7" fmla="*/ 0 h 58"/>
                      <a:gd name="T8" fmla="*/ 0 w 97"/>
                      <a:gd name="T9" fmla="*/ 20 h 58"/>
                    </a:gdLst>
                    <a:ahLst/>
                    <a:cxnLst>
                      <a:cxn ang="0">
                        <a:pos x="T0" y="T1"/>
                      </a:cxn>
                      <a:cxn ang="0">
                        <a:pos x="T2" y="T3"/>
                      </a:cxn>
                      <a:cxn ang="0">
                        <a:pos x="T4" y="T5"/>
                      </a:cxn>
                      <a:cxn ang="0">
                        <a:pos x="T6" y="T7"/>
                      </a:cxn>
                      <a:cxn ang="0">
                        <a:pos x="T8" y="T9"/>
                      </a:cxn>
                    </a:cxnLst>
                    <a:rect l="0" t="0" r="r" b="b"/>
                    <a:pathLst>
                      <a:path w="97" h="58">
                        <a:moveTo>
                          <a:pt x="0" y="20"/>
                        </a:moveTo>
                        <a:lnTo>
                          <a:pt x="69" y="58"/>
                        </a:lnTo>
                        <a:lnTo>
                          <a:pt x="97" y="39"/>
                        </a:lnTo>
                        <a:lnTo>
                          <a:pt x="28"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2" name="Freeform 52">
                    <a:extLst>
                      <a:ext uri="{FF2B5EF4-FFF2-40B4-BE49-F238E27FC236}">
                        <a16:creationId xmlns:a16="http://schemas.microsoft.com/office/drawing/2014/main" id="{BC854D74-66F9-59FE-3FB2-C79D39BE8A0C}"/>
                      </a:ext>
                    </a:extLst>
                  </xdr:cNvPr>
                  <xdr:cNvSpPr>
                    <a:spLocks/>
                  </xdr:cNvSpPr>
                </xdr:nvSpPr>
                <xdr:spPr bwMode="auto">
                  <a:xfrm>
                    <a:off x="677281" y="1509287"/>
                    <a:ext cx="153988" cy="92075"/>
                  </a:xfrm>
                  <a:custGeom>
                    <a:avLst/>
                    <a:gdLst>
                      <a:gd name="T0" fmla="*/ 0 w 97"/>
                      <a:gd name="T1" fmla="*/ 18 h 58"/>
                      <a:gd name="T2" fmla="*/ 69 w 97"/>
                      <a:gd name="T3" fmla="*/ 58 h 58"/>
                      <a:gd name="T4" fmla="*/ 97 w 97"/>
                      <a:gd name="T5" fmla="*/ 38 h 58"/>
                      <a:gd name="T6" fmla="*/ 28 w 97"/>
                      <a:gd name="T7" fmla="*/ 0 h 58"/>
                      <a:gd name="T8" fmla="*/ 0 w 97"/>
                      <a:gd name="T9" fmla="*/ 18 h 58"/>
                    </a:gdLst>
                    <a:ahLst/>
                    <a:cxnLst>
                      <a:cxn ang="0">
                        <a:pos x="T0" y="T1"/>
                      </a:cxn>
                      <a:cxn ang="0">
                        <a:pos x="T2" y="T3"/>
                      </a:cxn>
                      <a:cxn ang="0">
                        <a:pos x="T4" y="T5"/>
                      </a:cxn>
                      <a:cxn ang="0">
                        <a:pos x="T6" y="T7"/>
                      </a:cxn>
                      <a:cxn ang="0">
                        <a:pos x="T8" y="T9"/>
                      </a:cxn>
                    </a:cxnLst>
                    <a:rect l="0" t="0" r="r" b="b"/>
                    <a:pathLst>
                      <a:path w="97" h="58">
                        <a:moveTo>
                          <a:pt x="0" y="18"/>
                        </a:moveTo>
                        <a:lnTo>
                          <a:pt x="69" y="58"/>
                        </a:lnTo>
                        <a:lnTo>
                          <a:pt x="97" y="38"/>
                        </a:lnTo>
                        <a:lnTo>
                          <a:pt x="28" y="0"/>
                        </a:lnTo>
                        <a:lnTo>
                          <a:pt x="0" y="1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3" name="Freeform 53">
                    <a:extLst>
                      <a:ext uri="{FF2B5EF4-FFF2-40B4-BE49-F238E27FC236}">
                        <a16:creationId xmlns:a16="http://schemas.microsoft.com/office/drawing/2014/main" id="{66DB908C-48FD-3898-AE76-BFA4D948E275}"/>
                      </a:ext>
                    </a:extLst>
                  </xdr:cNvPr>
                  <xdr:cNvSpPr>
                    <a:spLocks/>
                  </xdr:cNvSpPr>
                </xdr:nvSpPr>
                <xdr:spPr bwMode="auto">
                  <a:xfrm>
                    <a:off x="623306" y="1547387"/>
                    <a:ext cx="152400" cy="92075"/>
                  </a:xfrm>
                  <a:custGeom>
                    <a:avLst/>
                    <a:gdLst>
                      <a:gd name="T0" fmla="*/ 0 w 96"/>
                      <a:gd name="T1" fmla="*/ 20 h 58"/>
                      <a:gd name="T2" fmla="*/ 69 w 96"/>
                      <a:gd name="T3" fmla="*/ 58 h 58"/>
                      <a:gd name="T4" fmla="*/ 96 w 96"/>
                      <a:gd name="T5" fmla="*/ 38 h 58"/>
                      <a:gd name="T6" fmla="*/ 27 w 96"/>
                      <a:gd name="T7" fmla="*/ 0 h 58"/>
                      <a:gd name="T8" fmla="*/ 0 w 96"/>
                      <a:gd name="T9" fmla="*/ 20 h 58"/>
                    </a:gdLst>
                    <a:ahLst/>
                    <a:cxnLst>
                      <a:cxn ang="0">
                        <a:pos x="T0" y="T1"/>
                      </a:cxn>
                      <a:cxn ang="0">
                        <a:pos x="T2" y="T3"/>
                      </a:cxn>
                      <a:cxn ang="0">
                        <a:pos x="T4" y="T5"/>
                      </a:cxn>
                      <a:cxn ang="0">
                        <a:pos x="T6" y="T7"/>
                      </a:cxn>
                      <a:cxn ang="0">
                        <a:pos x="T8" y="T9"/>
                      </a:cxn>
                    </a:cxnLst>
                    <a:rect l="0" t="0" r="r" b="b"/>
                    <a:pathLst>
                      <a:path w="96" h="58">
                        <a:moveTo>
                          <a:pt x="0" y="20"/>
                        </a:moveTo>
                        <a:lnTo>
                          <a:pt x="69" y="58"/>
                        </a:lnTo>
                        <a:lnTo>
                          <a:pt x="96" y="38"/>
                        </a:lnTo>
                        <a:lnTo>
                          <a:pt x="27"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4" name="Freeform 54">
                    <a:extLst>
                      <a:ext uri="{FF2B5EF4-FFF2-40B4-BE49-F238E27FC236}">
                        <a16:creationId xmlns:a16="http://schemas.microsoft.com/office/drawing/2014/main" id="{E2AEA665-0C1F-2CF9-BDD0-7A4E76B84758}"/>
                      </a:ext>
                    </a:extLst>
                  </xdr:cNvPr>
                  <xdr:cNvSpPr>
                    <a:spLocks/>
                  </xdr:cNvSpPr>
                </xdr:nvSpPr>
                <xdr:spPr bwMode="auto">
                  <a:xfrm>
                    <a:off x="510593" y="1625175"/>
                    <a:ext cx="155575" cy="96838"/>
                  </a:xfrm>
                  <a:custGeom>
                    <a:avLst/>
                    <a:gdLst>
                      <a:gd name="T0" fmla="*/ 1 w 85"/>
                      <a:gd name="T1" fmla="*/ 17 h 53"/>
                      <a:gd name="T2" fmla="*/ 0 w 85"/>
                      <a:gd name="T3" fmla="*/ 20 h 53"/>
                      <a:gd name="T4" fmla="*/ 1 w 85"/>
                      <a:gd name="T5" fmla="*/ 22 h 53"/>
                      <a:gd name="T6" fmla="*/ 56 w 85"/>
                      <a:gd name="T7" fmla="*/ 53 h 53"/>
                      <a:gd name="T8" fmla="*/ 57 w 85"/>
                      <a:gd name="T9" fmla="*/ 53 h 53"/>
                      <a:gd name="T10" fmla="*/ 58 w 85"/>
                      <a:gd name="T11" fmla="*/ 53 h 53"/>
                      <a:gd name="T12" fmla="*/ 85 w 85"/>
                      <a:gd name="T13" fmla="*/ 34 h 53"/>
                      <a:gd name="T14" fmla="*/ 25 w 85"/>
                      <a:gd name="T15" fmla="*/ 0 h 53"/>
                      <a:gd name="T16" fmla="*/ 1 w 85"/>
                      <a:gd name="T17" fmla="*/ 17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5" h="53">
                        <a:moveTo>
                          <a:pt x="1" y="17"/>
                        </a:moveTo>
                        <a:cubicBezTo>
                          <a:pt x="0" y="18"/>
                          <a:pt x="0" y="19"/>
                          <a:pt x="0" y="20"/>
                        </a:cubicBezTo>
                        <a:cubicBezTo>
                          <a:pt x="0" y="20"/>
                          <a:pt x="0" y="21"/>
                          <a:pt x="1" y="22"/>
                        </a:cubicBezTo>
                        <a:cubicBezTo>
                          <a:pt x="56" y="53"/>
                          <a:pt x="56" y="53"/>
                          <a:pt x="56" y="53"/>
                        </a:cubicBezTo>
                        <a:cubicBezTo>
                          <a:pt x="56" y="53"/>
                          <a:pt x="56" y="53"/>
                          <a:pt x="57" y="53"/>
                        </a:cubicBezTo>
                        <a:cubicBezTo>
                          <a:pt x="57" y="53"/>
                          <a:pt x="58" y="53"/>
                          <a:pt x="58" y="53"/>
                        </a:cubicBezTo>
                        <a:cubicBezTo>
                          <a:pt x="85" y="34"/>
                          <a:pt x="85" y="34"/>
                          <a:pt x="85" y="34"/>
                        </a:cubicBezTo>
                        <a:cubicBezTo>
                          <a:pt x="25" y="0"/>
                          <a:pt x="25" y="0"/>
                          <a:pt x="25" y="0"/>
                        </a:cubicBezTo>
                        <a:lnTo>
                          <a:pt x="1" y="17"/>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5" name="Freeform 55">
                    <a:extLst>
                      <a:ext uri="{FF2B5EF4-FFF2-40B4-BE49-F238E27FC236}">
                        <a16:creationId xmlns:a16="http://schemas.microsoft.com/office/drawing/2014/main" id="{18E2ECC3-F7F0-6670-F2A7-F0F289F445B7}"/>
                      </a:ext>
                    </a:extLst>
                  </xdr:cNvPr>
                  <xdr:cNvSpPr>
                    <a:spLocks/>
                  </xdr:cNvSpPr>
                </xdr:nvSpPr>
                <xdr:spPr bwMode="auto">
                  <a:xfrm>
                    <a:off x="786818" y="1433087"/>
                    <a:ext cx="147638" cy="90488"/>
                  </a:xfrm>
                  <a:custGeom>
                    <a:avLst/>
                    <a:gdLst>
                      <a:gd name="T0" fmla="*/ 78 w 80"/>
                      <a:gd name="T1" fmla="*/ 31 h 49"/>
                      <a:gd name="T2" fmla="*/ 24 w 80"/>
                      <a:gd name="T3" fmla="*/ 0 h 49"/>
                      <a:gd name="T4" fmla="*/ 21 w 80"/>
                      <a:gd name="T5" fmla="*/ 1 h 49"/>
                      <a:gd name="T6" fmla="*/ 0 w 80"/>
                      <a:gd name="T7" fmla="*/ 15 h 49"/>
                      <a:gd name="T8" fmla="*/ 60 w 80"/>
                      <a:gd name="T9" fmla="*/ 49 h 49"/>
                      <a:gd name="T10" fmla="*/ 78 w 80"/>
                      <a:gd name="T11" fmla="*/ 36 h 49"/>
                      <a:gd name="T12" fmla="*/ 79 w 80"/>
                      <a:gd name="T13" fmla="*/ 33 h 49"/>
                      <a:gd name="T14" fmla="*/ 78 w 80"/>
                      <a:gd name="T15" fmla="*/ 31 h 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0" h="49">
                        <a:moveTo>
                          <a:pt x="78" y="31"/>
                        </a:moveTo>
                        <a:cubicBezTo>
                          <a:pt x="24" y="0"/>
                          <a:pt x="24" y="0"/>
                          <a:pt x="24" y="0"/>
                        </a:cubicBezTo>
                        <a:cubicBezTo>
                          <a:pt x="23" y="0"/>
                          <a:pt x="22" y="0"/>
                          <a:pt x="21" y="1"/>
                        </a:cubicBezTo>
                        <a:cubicBezTo>
                          <a:pt x="0" y="15"/>
                          <a:pt x="0" y="15"/>
                          <a:pt x="0" y="15"/>
                        </a:cubicBezTo>
                        <a:cubicBezTo>
                          <a:pt x="60" y="49"/>
                          <a:pt x="60" y="49"/>
                          <a:pt x="60" y="49"/>
                        </a:cubicBezTo>
                        <a:cubicBezTo>
                          <a:pt x="78" y="36"/>
                          <a:pt x="78" y="36"/>
                          <a:pt x="78" y="36"/>
                        </a:cubicBezTo>
                        <a:cubicBezTo>
                          <a:pt x="79" y="35"/>
                          <a:pt x="80" y="34"/>
                          <a:pt x="79" y="33"/>
                        </a:cubicBezTo>
                        <a:cubicBezTo>
                          <a:pt x="79" y="33"/>
                          <a:pt x="79" y="32"/>
                          <a:pt x="78" y="31"/>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36" name="Freeform 56">
                    <a:extLst>
                      <a:ext uri="{FF2B5EF4-FFF2-40B4-BE49-F238E27FC236}">
                        <a16:creationId xmlns:a16="http://schemas.microsoft.com/office/drawing/2014/main" id="{440E49A4-3514-2F38-C3D0-32A477DE2C4F}"/>
                      </a:ext>
                    </a:extLst>
                  </xdr:cNvPr>
                  <xdr:cNvSpPr>
                    <a:spLocks/>
                  </xdr:cNvSpPr>
                </xdr:nvSpPr>
                <xdr:spPr bwMode="auto">
                  <a:xfrm>
                    <a:off x="731256" y="1468012"/>
                    <a:ext cx="155575" cy="93663"/>
                  </a:xfrm>
                  <a:custGeom>
                    <a:avLst/>
                    <a:gdLst>
                      <a:gd name="T0" fmla="*/ 0 w 98"/>
                      <a:gd name="T1" fmla="*/ 20 h 59"/>
                      <a:gd name="T2" fmla="*/ 70 w 98"/>
                      <a:gd name="T3" fmla="*/ 59 h 59"/>
                      <a:gd name="T4" fmla="*/ 98 w 98"/>
                      <a:gd name="T5" fmla="*/ 39 h 59"/>
                      <a:gd name="T6" fmla="*/ 28 w 98"/>
                      <a:gd name="T7" fmla="*/ 0 h 59"/>
                      <a:gd name="T8" fmla="*/ 0 w 98"/>
                      <a:gd name="T9" fmla="*/ 20 h 59"/>
                    </a:gdLst>
                    <a:ahLst/>
                    <a:cxnLst>
                      <a:cxn ang="0">
                        <a:pos x="T0" y="T1"/>
                      </a:cxn>
                      <a:cxn ang="0">
                        <a:pos x="T2" y="T3"/>
                      </a:cxn>
                      <a:cxn ang="0">
                        <a:pos x="T4" y="T5"/>
                      </a:cxn>
                      <a:cxn ang="0">
                        <a:pos x="T6" y="T7"/>
                      </a:cxn>
                      <a:cxn ang="0">
                        <a:pos x="T8" y="T9"/>
                      </a:cxn>
                    </a:cxnLst>
                    <a:rect l="0" t="0" r="r" b="b"/>
                    <a:pathLst>
                      <a:path w="98" h="59">
                        <a:moveTo>
                          <a:pt x="0" y="20"/>
                        </a:moveTo>
                        <a:lnTo>
                          <a:pt x="70" y="59"/>
                        </a:lnTo>
                        <a:lnTo>
                          <a:pt x="98" y="39"/>
                        </a:lnTo>
                        <a:lnTo>
                          <a:pt x="28"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grpSp>
        </xdr:grpSp>
        <xdr:grpSp>
          <xdr:nvGrpSpPr>
            <xdr:cNvPr id="12" name="グループ化 11">
              <a:extLst>
                <a:ext uri="{FF2B5EF4-FFF2-40B4-BE49-F238E27FC236}">
                  <a16:creationId xmlns:a16="http://schemas.microsoft.com/office/drawing/2014/main" id="{3736A177-3CE5-4CEF-6B69-269F65F3AE46}"/>
                </a:ext>
              </a:extLst>
            </xdr:cNvPr>
            <xdr:cNvGrpSpPr/>
          </xdr:nvGrpSpPr>
          <xdr:grpSpPr>
            <a:xfrm>
              <a:off x="0" y="1142124"/>
              <a:ext cx="904402" cy="814252"/>
              <a:chOff x="0" y="1142125"/>
              <a:chExt cx="822601" cy="740604"/>
            </a:xfrm>
            <a:grpFill/>
          </xdr:grpSpPr>
          <xdr:sp macro="" textlink="">
            <xdr:nvSpPr>
              <xdr:cNvPr id="13" name="Freeform 48">
                <a:extLst>
                  <a:ext uri="{FF2B5EF4-FFF2-40B4-BE49-F238E27FC236}">
                    <a16:creationId xmlns:a16="http://schemas.microsoft.com/office/drawing/2014/main" id="{39AEE3B5-9F49-9C50-C106-9D98E7572091}"/>
                  </a:ext>
                </a:extLst>
              </xdr:cNvPr>
              <xdr:cNvSpPr>
                <a:spLocks noEditPoints="1"/>
              </xdr:cNvSpPr>
            </xdr:nvSpPr>
            <xdr:spPr bwMode="auto">
              <a:xfrm>
                <a:off x="181695" y="1459347"/>
                <a:ext cx="335918" cy="243342"/>
              </a:xfrm>
              <a:custGeom>
                <a:avLst/>
                <a:gdLst>
                  <a:gd name="T0" fmla="*/ 5 w 109"/>
                  <a:gd name="T1" fmla="*/ 36 h 79"/>
                  <a:gd name="T2" fmla="*/ 14 w 109"/>
                  <a:gd name="T3" fmla="*/ 49 h 79"/>
                  <a:gd name="T4" fmla="*/ 19 w 109"/>
                  <a:gd name="T5" fmla="*/ 45 h 79"/>
                  <a:gd name="T6" fmla="*/ 63 w 109"/>
                  <a:gd name="T7" fmla="*/ 78 h 79"/>
                  <a:gd name="T8" fmla="*/ 70 w 109"/>
                  <a:gd name="T9" fmla="*/ 78 h 79"/>
                  <a:gd name="T10" fmla="*/ 73 w 109"/>
                  <a:gd name="T11" fmla="*/ 78 h 79"/>
                  <a:gd name="T12" fmla="*/ 83 w 109"/>
                  <a:gd name="T13" fmla="*/ 79 h 79"/>
                  <a:gd name="T14" fmla="*/ 109 w 109"/>
                  <a:gd name="T15" fmla="*/ 55 h 79"/>
                  <a:gd name="T16" fmla="*/ 107 w 109"/>
                  <a:gd name="T17" fmla="*/ 56 h 79"/>
                  <a:gd name="T18" fmla="*/ 104 w 109"/>
                  <a:gd name="T19" fmla="*/ 57 h 79"/>
                  <a:gd name="T20" fmla="*/ 103 w 109"/>
                  <a:gd name="T21" fmla="*/ 57 h 79"/>
                  <a:gd name="T22" fmla="*/ 102 w 109"/>
                  <a:gd name="T23" fmla="*/ 47 h 79"/>
                  <a:gd name="T24" fmla="*/ 90 w 109"/>
                  <a:gd name="T25" fmla="*/ 35 h 79"/>
                  <a:gd name="T26" fmla="*/ 70 w 109"/>
                  <a:gd name="T27" fmla="*/ 17 h 79"/>
                  <a:gd name="T28" fmla="*/ 33 w 109"/>
                  <a:gd name="T29" fmla="*/ 0 h 79"/>
                  <a:gd name="T30" fmla="*/ 27 w 109"/>
                  <a:gd name="T31" fmla="*/ 2 h 79"/>
                  <a:gd name="T32" fmla="*/ 3 w 109"/>
                  <a:gd name="T33" fmla="*/ 19 h 79"/>
                  <a:gd name="T34" fmla="*/ 1 w 109"/>
                  <a:gd name="T35" fmla="*/ 25 h 79"/>
                  <a:gd name="T36" fmla="*/ 4 w 109"/>
                  <a:gd name="T37" fmla="*/ 36 h 79"/>
                  <a:gd name="T38" fmla="*/ 92 w 109"/>
                  <a:gd name="T39" fmla="*/ 68 h 79"/>
                  <a:gd name="T40" fmla="*/ 102 w 109"/>
                  <a:gd name="T41" fmla="*/ 62 h 79"/>
                  <a:gd name="T42" fmla="*/ 102 w 109"/>
                  <a:gd name="T43" fmla="*/ 65 h 79"/>
                  <a:gd name="T44" fmla="*/ 92 w 109"/>
                  <a:gd name="T45" fmla="*/ 71 h 79"/>
                  <a:gd name="T46" fmla="*/ 92 w 109"/>
                  <a:gd name="T47" fmla="*/ 71 h 79"/>
                  <a:gd name="T48" fmla="*/ 92 w 109"/>
                  <a:gd name="T49" fmla="*/ 68 h 79"/>
                  <a:gd name="T50" fmla="*/ 74 w 109"/>
                  <a:gd name="T51" fmla="*/ 63 h 79"/>
                  <a:gd name="T52" fmla="*/ 81 w 109"/>
                  <a:gd name="T53" fmla="*/ 63 h 79"/>
                  <a:gd name="T54" fmla="*/ 87 w 109"/>
                  <a:gd name="T55" fmla="*/ 67 h 79"/>
                  <a:gd name="T56" fmla="*/ 87 w 109"/>
                  <a:gd name="T57" fmla="*/ 68 h 79"/>
                  <a:gd name="T58" fmla="*/ 78 w 109"/>
                  <a:gd name="T59" fmla="*/ 71 h 79"/>
                  <a:gd name="T60" fmla="*/ 76 w 109"/>
                  <a:gd name="T61" fmla="*/ 70 h 79"/>
                  <a:gd name="T62" fmla="*/ 63 w 109"/>
                  <a:gd name="T63" fmla="*/ 53 h 79"/>
                  <a:gd name="T64" fmla="*/ 63 w 109"/>
                  <a:gd name="T65" fmla="*/ 52 h 79"/>
                  <a:gd name="T66" fmla="*/ 48 w 109"/>
                  <a:gd name="T67" fmla="*/ 32 h 79"/>
                  <a:gd name="T68" fmla="*/ 48 w 109"/>
                  <a:gd name="T69" fmla="*/ 31 h 79"/>
                  <a:gd name="T70" fmla="*/ 69 w 109"/>
                  <a:gd name="T71" fmla="*/ 19 h 79"/>
                  <a:gd name="T72" fmla="*/ 88 w 109"/>
                  <a:gd name="T73" fmla="*/ 36 h 79"/>
                  <a:gd name="T74" fmla="*/ 63 w 109"/>
                  <a:gd name="T75" fmla="*/ 53 h 79"/>
                  <a:gd name="T76" fmla="*/ 63 w 109"/>
                  <a:gd name="T77" fmla="*/ 67 h 79"/>
                  <a:gd name="T78" fmla="*/ 69 w 109"/>
                  <a:gd name="T79" fmla="*/ 72 h 79"/>
                  <a:gd name="T80" fmla="*/ 65 w 109"/>
                  <a:gd name="T81" fmla="*/ 76 h 79"/>
                  <a:gd name="T82" fmla="*/ 60 w 109"/>
                  <a:gd name="T83" fmla="*/ 69 h 79"/>
                  <a:gd name="T84" fmla="*/ 40 w 109"/>
                  <a:gd name="T85" fmla="*/ 28 h 79"/>
                  <a:gd name="T86" fmla="*/ 48 w 109"/>
                  <a:gd name="T87" fmla="*/ 36 h 79"/>
                  <a:gd name="T88" fmla="*/ 59 w 109"/>
                  <a:gd name="T89" fmla="*/ 53 h 79"/>
                  <a:gd name="T90" fmla="*/ 58 w 109"/>
                  <a:gd name="T91" fmla="*/ 53 h 79"/>
                  <a:gd name="T92" fmla="*/ 33 w 109"/>
                  <a:gd name="T93" fmla="*/ 24 h 79"/>
                  <a:gd name="T94" fmla="*/ 9 w 109"/>
                  <a:gd name="T95" fmla="*/ 22 h 79"/>
                  <a:gd name="T96" fmla="*/ 13 w 109"/>
                  <a:gd name="T97" fmla="*/ 18 h 79"/>
                  <a:gd name="T98" fmla="*/ 21 w 109"/>
                  <a:gd name="T99" fmla="*/ 18 h 79"/>
                  <a:gd name="T100" fmla="*/ 28 w 109"/>
                  <a:gd name="T101" fmla="*/ 34 h 79"/>
                  <a:gd name="T102" fmla="*/ 7 w 109"/>
                  <a:gd name="T103" fmla="*/ 38 h 79"/>
                  <a:gd name="T104" fmla="*/ 13 w 109"/>
                  <a:gd name="T105" fmla="*/ 37 h 79"/>
                  <a:gd name="T106" fmla="*/ 15 w 109"/>
                  <a:gd name="T107" fmla="*/ 45 h 79"/>
                  <a:gd name="T108" fmla="*/ 10 w 109"/>
                  <a:gd name="T109" fmla="*/ 45 h 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 h="79">
                    <a:moveTo>
                      <a:pt x="4" y="36"/>
                    </a:moveTo>
                    <a:cubicBezTo>
                      <a:pt x="4" y="36"/>
                      <a:pt x="4" y="36"/>
                      <a:pt x="5" y="36"/>
                    </a:cubicBezTo>
                    <a:cubicBezTo>
                      <a:pt x="4" y="40"/>
                      <a:pt x="6" y="45"/>
                      <a:pt x="10" y="47"/>
                    </a:cubicBezTo>
                    <a:cubicBezTo>
                      <a:pt x="11" y="48"/>
                      <a:pt x="12" y="49"/>
                      <a:pt x="14" y="49"/>
                    </a:cubicBezTo>
                    <a:cubicBezTo>
                      <a:pt x="15" y="49"/>
                      <a:pt x="17" y="48"/>
                      <a:pt x="17" y="47"/>
                    </a:cubicBezTo>
                    <a:cubicBezTo>
                      <a:pt x="18" y="47"/>
                      <a:pt x="19" y="46"/>
                      <a:pt x="19" y="45"/>
                    </a:cubicBezTo>
                    <a:cubicBezTo>
                      <a:pt x="33" y="53"/>
                      <a:pt x="52" y="65"/>
                      <a:pt x="58" y="68"/>
                    </a:cubicBezTo>
                    <a:cubicBezTo>
                      <a:pt x="57" y="72"/>
                      <a:pt x="59" y="76"/>
                      <a:pt x="63" y="78"/>
                    </a:cubicBezTo>
                    <a:cubicBezTo>
                      <a:pt x="64" y="79"/>
                      <a:pt x="65" y="79"/>
                      <a:pt x="67" y="79"/>
                    </a:cubicBezTo>
                    <a:cubicBezTo>
                      <a:pt x="68" y="79"/>
                      <a:pt x="69" y="79"/>
                      <a:pt x="70" y="78"/>
                    </a:cubicBezTo>
                    <a:cubicBezTo>
                      <a:pt x="71" y="78"/>
                      <a:pt x="71" y="77"/>
                      <a:pt x="71" y="77"/>
                    </a:cubicBezTo>
                    <a:cubicBezTo>
                      <a:pt x="72" y="77"/>
                      <a:pt x="72" y="78"/>
                      <a:pt x="73" y="78"/>
                    </a:cubicBezTo>
                    <a:cubicBezTo>
                      <a:pt x="75" y="79"/>
                      <a:pt x="77" y="79"/>
                      <a:pt x="79" y="79"/>
                    </a:cubicBezTo>
                    <a:cubicBezTo>
                      <a:pt x="80" y="79"/>
                      <a:pt x="81" y="79"/>
                      <a:pt x="83" y="79"/>
                    </a:cubicBezTo>
                    <a:cubicBezTo>
                      <a:pt x="87" y="77"/>
                      <a:pt x="105" y="66"/>
                      <a:pt x="107" y="65"/>
                    </a:cubicBezTo>
                    <a:cubicBezTo>
                      <a:pt x="109" y="63"/>
                      <a:pt x="109" y="59"/>
                      <a:pt x="109" y="55"/>
                    </a:cubicBezTo>
                    <a:cubicBezTo>
                      <a:pt x="109" y="54"/>
                      <a:pt x="108" y="54"/>
                      <a:pt x="108" y="53"/>
                    </a:cubicBezTo>
                    <a:cubicBezTo>
                      <a:pt x="108" y="54"/>
                      <a:pt x="108" y="55"/>
                      <a:pt x="107" y="56"/>
                    </a:cubicBezTo>
                    <a:cubicBezTo>
                      <a:pt x="106" y="56"/>
                      <a:pt x="104" y="57"/>
                      <a:pt x="104" y="57"/>
                    </a:cubicBezTo>
                    <a:cubicBezTo>
                      <a:pt x="104" y="57"/>
                      <a:pt x="104" y="57"/>
                      <a:pt x="104" y="57"/>
                    </a:cubicBezTo>
                    <a:cubicBezTo>
                      <a:pt x="104" y="57"/>
                      <a:pt x="104" y="57"/>
                      <a:pt x="104" y="57"/>
                    </a:cubicBezTo>
                    <a:cubicBezTo>
                      <a:pt x="104" y="57"/>
                      <a:pt x="104" y="57"/>
                      <a:pt x="103" y="57"/>
                    </a:cubicBezTo>
                    <a:cubicBezTo>
                      <a:pt x="102" y="54"/>
                      <a:pt x="99" y="48"/>
                      <a:pt x="100" y="47"/>
                    </a:cubicBezTo>
                    <a:cubicBezTo>
                      <a:pt x="100" y="47"/>
                      <a:pt x="101" y="47"/>
                      <a:pt x="102" y="47"/>
                    </a:cubicBezTo>
                    <a:cubicBezTo>
                      <a:pt x="102" y="47"/>
                      <a:pt x="103" y="47"/>
                      <a:pt x="103" y="47"/>
                    </a:cubicBezTo>
                    <a:cubicBezTo>
                      <a:pt x="97" y="41"/>
                      <a:pt x="91" y="36"/>
                      <a:pt x="90" y="35"/>
                    </a:cubicBezTo>
                    <a:cubicBezTo>
                      <a:pt x="70" y="17"/>
                      <a:pt x="70" y="17"/>
                      <a:pt x="70" y="17"/>
                    </a:cubicBezTo>
                    <a:cubicBezTo>
                      <a:pt x="70" y="17"/>
                      <a:pt x="70" y="17"/>
                      <a:pt x="70" y="17"/>
                    </a:cubicBezTo>
                    <a:cubicBezTo>
                      <a:pt x="68" y="16"/>
                      <a:pt x="42" y="2"/>
                      <a:pt x="39" y="1"/>
                    </a:cubicBezTo>
                    <a:cubicBezTo>
                      <a:pt x="38" y="0"/>
                      <a:pt x="35" y="0"/>
                      <a:pt x="33" y="0"/>
                    </a:cubicBezTo>
                    <a:cubicBezTo>
                      <a:pt x="32" y="0"/>
                      <a:pt x="30" y="0"/>
                      <a:pt x="29" y="0"/>
                    </a:cubicBezTo>
                    <a:cubicBezTo>
                      <a:pt x="27" y="2"/>
                      <a:pt x="27" y="2"/>
                      <a:pt x="27" y="2"/>
                    </a:cubicBezTo>
                    <a:cubicBezTo>
                      <a:pt x="20" y="6"/>
                      <a:pt x="6" y="15"/>
                      <a:pt x="5" y="15"/>
                    </a:cubicBezTo>
                    <a:cubicBezTo>
                      <a:pt x="4" y="16"/>
                      <a:pt x="3" y="18"/>
                      <a:pt x="3" y="19"/>
                    </a:cubicBezTo>
                    <a:cubicBezTo>
                      <a:pt x="3" y="20"/>
                      <a:pt x="3" y="22"/>
                      <a:pt x="3" y="23"/>
                    </a:cubicBezTo>
                    <a:cubicBezTo>
                      <a:pt x="2" y="24"/>
                      <a:pt x="1" y="24"/>
                      <a:pt x="1" y="25"/>
                    </a:cubicBezTo>
                    <a:cubicBezTo>
                      <a:pt x="1" y="26"/>
                      <a:pt x="1" y="31"/>
                      <a:pt x="1" y="31"/>
                    </a:cubicBezTo>
                    <a:cubicBezTo>
                      <a:pt x="0" y="32"/>
                      <a:pt x="0" y="33"/>
                      <a:pt x="4" y="36"/>
                    </a:cubicBezTo>
                    <a:close/>
                    <a:moveTo>
                      <a:pt x="92" y="68"/>
                    </a:moveTo>
                    <a:cubicBezTo>
                      <a:pt x="92" y="68"/>
                      <a:pt x="92" y="68"/>
                      <a:pt x="92" y="68"/>
                    </a:cubicBezTo>
                    <a:cubicBezTo>
                      <a:pt x="101" y="62"/>
                      <a:pt x="101" y="62"/>
                      <a:pt x="101" y="62"/>
                    </a:cubicBezTo>
                    <a:cubicBezTo>
                      <a:pt x="101" y="62"/>
                      <a:pt x="102" y="62"/>
                      <a:pt x="102" y="62"/>
                    </a:cubicBezTo>
                    <a:cubicBezTo>
                      <a:pt x="102" y="62"/>
                      <a:pt x="102" y="62"/>
                      <a:pt x="102" y="62"/>
                    </a:cubicBezTo>
                    <a:cubicBezTo>
                      <a:pt x="102" y="65"/>
                      <a:pt x="102" y="65"/>
                      <a:pt x="102" y="65"/>
                    </a:cubicBezTo>
                    <a:cubicBezTo>
                      <a:pt x="102" y="65"/>
                      <a:pt x="102" y="65"/>
                      <a:pt x="102" y="65"/>
                    </a:cubicBezTo>
                    <a:cubicBezTo>
                      <a:pt x="92" y="71"/>
                      <a:pt x="92" y="71"/>
                      <a:pt x="92" y="71"/>
                    </a:cubicBezTo>
                    <a:cubicBezTo>
                      <a:pt x="92" y="71"/>
                      <a:pt x="92" y="71"/>
                      <a:pt x="92" y="71"/>
                    </a:cubicBezTo>
                    <a:cubicBezTo>
                      <a:pt x="92" y="71"/>
                      <a:pt x="92" y="71"/>
                      <a:pt x="92" y="71"/>
                    </a:cubicBezTo>
                    <a:cubicBezTo>
                      <a:pt x="92" y="71"/>
                      <a:pt x="92" y="71"/>
                      <a:pt x="92" y="71"/>
                    </a:cubicBezTo>
                    <a:lnTo>
                      <a:pt x="92" y="68"/>
                    </a:lnTo>
                    <a:close/>
                    <a:moveTo>
                      <a:pt x="73" y="63"/>
                    </a:moveTo>
                    <a:cubicBezTo>
                      <a:pt x="73" y="63"/>
                      <a:pt x="73" y="63"/>
                      <a:pt x="74" y="63"/>
                    </a:cubicBezTo>
                    <a:cubicBezTo>
                      <a:pt x="74" y="63"/>
                      <a:pt x="74" y="63"/>
                      <a:pt x="75" y="63"/>
                    </a:cubicBezTo>
                    <a:cubicBezTo>
                      <a:pt x="77" y="63"/>
                      <a:pt x="81" y="63"/>
                      <a:pt x="81" y="63"/>
                    </a:cubicBezTo>
                    <a:cubicBezTo>
                      <a:pt x="81" y="63"/>
                      <a:pt x="81" y="63"/>
                      <a:pt x="81" y="63"/>
                    </a:cubicBezTo>
                    <a:cubicBezTo>
                      <a:pt x="87" y="67"/>
                      <a:pt x="87" y="67"/>
                      <a:pt x="87" y="67"/>
                    </a:cubicBezTo>
                    <a:cubicBezTo>
                      <a:pt x="87" y="67"/>
                      <a:pt x="87" y="67"/>
                      <a:pt x="87" y="67"/>
                    </a:cubicBezTo>
                    <a:cubicBezTo>
                      <a:pt x="87" y="67"/>
                      <a:pt x="87" y="68"/>
                      <a:pt x="87" y="68"/>
                    </a:cubicBezTo>
                    <a:cubicBezTo>
                      <a:pt x="87" y="68"/>
                      <a:pt x="82" y="70"/>
                      <a:pt x="80" y="71"/>
                    </a:cubicBezTo>
                    <a:cubicBezTo>
                      <a:pt x="79" y="71"/>
                      <a:pt x="78" y="71"/>
                      <a:pt x="78" y="71"/>
                    </a:cubicBezTo>
                    <a:cubicBezTo>
                      <a:pt x="77" y="71"/>
                      <a:pt x="76" y="70"/>
                      <a:pt x="76" y="70"/>
                    </a:cubicBezTo>
                    <a:cubicBezTo>
                      <a:pt x="76" y="70"/>
                      <a:pt x="76" y="70"/>
                      <a:pt x="76" y="70"/>
                    </a:cubicBezTo>
                    <a:cubicBezTo>
                      <a:pt x="75" y="69"/>
                      <a:pt x="73" y="65"/>
                      <a:pt x="73" y="63"/>
                    </a:cubicBezTo>
                    <a:close/>
                    <a:moveTo>
                      <a:pt x="63" y="53"/>
                    </a:moveTo>
                    <a:cubicBezTo>
                      <a:pt x="63" y="53"/>
                      <a:pt x="63" y="53"/>
                      <a:pt x="63" y="53"/>
                    </a:cubicBezTo>
                    <a:cubicBezTo>
                      <a:pt x="63" y="53"/>
                      <a:pt x="63" y="52"/>
                      <a:pt x="63" y="52"/>
                    </a:cubicBezTo>
                    <a:cubicBezTo>
                      <a:pt x="63" y="52"/>
                      <a:pt x="60" y="49"/>
                      <a:pt x="58" y="46"/>
                    </a:cubicBezTo>
                    <a:cubicBezTo>
                      <a:pt x="52" y="38"/>
                      <a:pt x="48" y="33"/>
                      <a:pt x="48" y="32"/>
                    </a:cubicBezTo>
                    <a:cubicBezTo>
                      <a:pt x="48" y="32"/>
                      <a:pt x="48" y="32"/>
                      <a:pt x="48" y="32"/>
                    </a:cubicBezTo>
                    <a:cubicBezTo>
                      <a:pt x="48" y="31"/>
                      <a:pt x="48" y="31"/>
                      <a:pt x="48" y="31"/>
                    </a:cubicBezTo>
                    <a:cubicBezTo>
                      <a:pt x="54" y="29"/>
                      <a:pt x="62" y="24"/>
                      <a:pt x="67" y="20"/>
                    </a:cubicBezTo>
                    <a:cubicBezTo>
                      <a:pt x="67" y="20"/>
                      <a:pt x="68" y="19"/>
                      <a:pt x="69" y="19"/>
                    </a:cubicBezTo>
                    <a:cubicBezTo>
                      <a:pt x="69" y="19"/>
                      <a:pt x="69" y="19"/>
                      <a:pt x="69" y="19"/>
                    </a:cubicBezTo>
                    <a:cubicBezTo>
                      <a:pt x="70" y="20"/>
                      <a:pt x="87" y="35"/>
                      <a:pt x="88" y="36"/>
                    </a:cubicBezTo>
                    <a:cubicBezTo>
                      <a:pt x="88" y="36"/>
                      <a:pt x="88" y="36"/>
                      <a:pt x="88" y="36"/>
                    </a:cubicBezTo>
                    <a:cubicBezTo>
                      <a:pt x="87" y="39"/>
                      <a:pt x="72" y="50"/>
                      <a:pt x="63" y="53"/>
                    </a:cubicBezTo>
                    <a:close/>
                    <a:moveTo>
                      <a:pt x="60" y="69"/>
                    </a:moveTo>
                    <a:cubicBezTo>
                      <a:pt x="61" y="67"/>
                      <a:pt x="62" y="67"/>
                      <a:pt x="63" y="67"/>
                    </a:cubicBezTo>
                    <a:cubicBezTo>
                      <a:pt x="64" y="67"/>
                      <a:pt x="65" y="67"/>
                      <a:pt x="66" y="68"/>
                    </a:cubicBezTo>
                    <a:cubicBezTo>
                      <a:pt x="67" y="69"/>
                      <a:pt x="69" y="71"/>
                      <a:pt x="69" y="72"/>
                    </a:cubicBezTo>
                    <a:cubicBezTo>
                      <a:pt x="69" y="74"/>
                      <a:pt x="68" y="75"/>
                      <a:pt x="67" y="75"/>
                    </a:cubicBezTo>
                    <a:cubicBezTo>
                      <a:pt x="67" y="76"/>
                      <a:pt x="66" y="76"/>
                      <a:pt x="65" y="76"/>
                    </a:cubicBezTo>
                    <a:cubicBezTo>
                      <a:pt x="64" y="76"/>
                      <a:pt x="63" y="76"/>
                      <a:pt x="63" y="75"/>
                    </a:cubicBezTo>
                    <a:cubicBezTo>
                      <a:pt x="61" y="74"/>
                      <a:pt x="59" y="71"/>
                      <a:pt x="60" y="69"/>
                    </a:cubicBezTo>
                    <a:close/>
                    <a:moveTo>
                      <a:pt x="33" y="24"/>
                    </a:moveTo>
                    <a:cubicBezTo>
                      <a:pt x="35" y="25"/>
                      <a:pt x="37" y="26"/>
                      <a:pt x="40" y="28"/>
                    </a:cubicBezTo>
                    <a:cubicBezTo>
                      <a:pt x="41" y="28"/>
                      <a:pt x="41" y="28"/>
                      <a:pt x="41" y="28"/>
                    </a:cubicBezTo>
                    <a:cubicBezTo>
                      <a:pt x="42" y="29"/>
                      <a:pt x="45" y="32"/>
                      <a:pt x="48" y="36"/>
                    </a:cubicBezTo>
                    <a:cubicBezTo>
                      <a:pt x="50" y="38"/>
                      <a:pt x="59" y="52"/>
                      <a:pt x="59" y="53"/>
                    </a:cubicBezTo>
                    <a:cubicBezTo>
                      <a:pt x="59" y="53"/>
                      <a:pt x="59" y="53"/>
                      <a:pt x="59" y="53"/>
                    </a:cubicBezTo>
                    <a:cubicBezTo>
                      <a:pt x="59" y="53"/>
                      <a:pt x="59" y="53"/>
                      <a:pt x="59" y="53"/>
                    </a:cubicBezTo>
                    <a:cubicBezTo>
                      <a:pt x="59" y="53"/>
                      <a:pt x="59" y="53"/>
                      <a:pt x="58" y="53"/>
                    </a:cubicBezTo>
                    <a:cubicBezTo>
                      <a:pt x="33" y="37"/>
                      <a:pt x="33" y="37"/>
                      <a:pt x="33" y="37"/>
                    </a:cubicBezTo>
                    <a:lnTo>
                      <a:pt x="33" y="24"/>
                    </a:lnTo>
                    <a:close/>
                    <a:moveTo>
                      <a:pt x="9" y="22"/>
                    </a:moveTo>
                    <a:cubicBezTo>
                      <a:pt x="9" y="22"/>
                      <a:pt x="9" y="22"/>
                      <a:pt x="9" y="22"/>
                    </a:cubicBezTo>
                    <a:cubicBezTo>
                      <a:pt x="9" y="22"/>
                      <a:pt x="9" y="21"/>
                      <a:pt x="9" y="21"/>
                    </a:cubicBezTo>
                    <a:cubicBezTo>
                      <a:pt x="9" y="21"/>
                      <a:pt x="12" y="18"/>
                      <a:pt x="13" y="18"/>
                    </a:cubicBezTo>
                    <a:cubicBezTo>
                      <a:pt x="14" y="17"/>
                      <a:pt x="15" y="17"/>
                      <a:pt x="16" y="17"/>
                    </a:cubicBezTo>
                    <a:cubicBezTo>
                      <a:pt x="18" y="17"/>
                      <a:pt x="20" y="17"/>
                      <a:pt x="21" y="18"/>
                    </a:cubicBezTo>
                    <a:cubicBezTo>
                      <a:pt x="21" y="18"/>
                      <a:pt x="24" y="19"/>
                      <a:pt x="28" y="21"/>
                    </a:cubicBezTo>
                    <a:cubicBezTo>
                      <a:pt x="28" y="34"/>
                      <a:pt x="28" y="34"/>
                      <a:pt x="28" y="34"/>
                    </a:cubicBezTo>
                    <a:lnTo>
                      <a:pt x="9" y="22"/>
                    </a:lnTo>
                    <a:close/>
                    <a:moveTo>
                      <a:pt x="7" y="38"/>
                    </a:moveTo>
                    <a:cubicBezTo>
                      <a:pt x="8" y="37"/>
                      <a:pt x="9" y="36"/>
                      <a:pt x="10" y="36"/>
                    </a:cubicBezTo>
                    <a:cubicBezTo>
                      <a:pt x="11" y="36"/>
                      <a:pt x="12" y="36"/>
                      <a:pt x="13" y="37"/>
                    </a:cubicBezTo>
                    <a:cubicBezTo>
                      <a:pt x="15" y="38"/>
                      <a:pt x="16" y="40"/>
                      <a:pt x="16" y="42"/>
                    </a:cubicBezTo>
                    <a:cubicBezTo>
                      <a:pt x="16" y="43"/>
                      <a:pt x="15" y="44"/>
                      <a:pt x="15" y="45"/>
                    </a:cubicBezTo>
                    <a:cubicBezTo>
                      <a:pt x="14" y="45"/>
                      <a:pt x="13" y="45"/>
                      <a:pt x="13" y="45"/>
                    </a:cubicBezTo>
                    <a:cubicBezTo>
                      <a:pt x="12" y="45"/>
                      <a:pt x="11" y="45"/>
                      <a:pt x="10" y="45"/>
                    </a:cubicBezTo>
                    <a:cubicBezTo>
                      <a:pt x="8" y="43"/>
                      <a:pt x="7" y="40"/>
                      <a:pt x="7" y="38"/>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14" name="Freeform 47">
                <a:extLst>
                  <a:ext uri="{FF2B5EF4-FFF2-40B4-BE49-F238E27FC236}">
                    <a16:creationId xmlns:a16="http://schemas.microsoft.com/office/drawing/2014/main" id="{39724550-3FFF-4272-756B-34CB04FEBA76}"/>
                  </a:ext>
                </a:extLst>
              </xdr:cNvPr>
              <xdr:cNvSpPr>
                <a:spLocks noEditPoints="1"/>
              </xdr:cNvSpPr>
            </xdr:nvSpPr>
            <xdr:spPr bwMode="auto">
              <a:xfrm>
                <a:off x="401854" y="1297123"/>
                <a:ext cx="333272" cy="245987"/>
              </a:xfrm>
              <a:custGeom>
                <a:avLst/>
                <a:gdLst>
                  <a:gd name="T0" fmla="*/ 5 w 109"/>
                  <a:gd name="T1" fmla="*/ 37 h 80"/>
                  <a:gd name="T2" fmla="*/ 14 w 109"/>
                  <a:gd name="T3" fmla="*/ 49 h 80"/>
                  <a:gd name="T4" fmla="*/ 19 w 109"/>
                  <a:gd name="T5" fmla="*/ 46 h 80"/>
                  <a:gd name="T6" fmla="*/ 63 w 109"/>
                  <a:gd name="T7" fmla="*/ 79 h 80"/>
                  <a:gd name="T8" fmla="*/ 70 w 109"/>
                  <a:gd name="T9" fmla="*/ 79 h 80"/>
                  <a:gd name="T10" fmla="*/ 73 w 109"/>
                  <a:gd name="T11" fmla="*/ 78 h 80"/>
                  <a:gd name="T12" fmla="*/ 83 w 109"/>
                  <a:gd name="T13" fmla="*/ 79 h 80"/>
                  <a:gd name="T14" fmla="*/ 109 w 109"/>
                  <a:gd name="T15" fmla="*/ 56 h 80"/>
                  <a:gd name="T16" fmla="*/ 107 w 109"/>
                  <a:gd name="T17" fmla="*/ 56 h 80"/>
                  <a:gd name="T18" fmla="*/ 104 w 109"/>
                  <a:gd name="T19" fmla="*/ 58 h 80"/>
                  <a:gd name="T20" fmla="*/ 104 w 109"/>
                  <a:gd name="T21" fmla="*/ 58 h 80"/>
                  <a:gd name="T22" fmla="*/ 103 w 109"/>
                  <a:gd name="T23" fmla="*/ 47 h 80"/>
                  <a:gd name="T24" fmla="*/ 90 w 109"/>
                  <a:gd name="T25" fmla="*/ 35 h 80"/>
                  <a:gd name="T26" fmla="*/ 70 w 109"/>
                  <a:gd name="T27" fmla="*/ 17 h 80"/>
                  <a:gd name="T28" fmla="*/ 33 w 109"/>
                  <a:gd name="T29" fmla="*/ 0 h 80"/>
                  <a:gd name="T30" fmla="*/ 27 w 109"/>
                  <a:gd name="T31" fmla="*/ 3 h 80"/>
                  <a:gd name="T32" fmla="*/ 3 w 109"/>
                  <a:gd name="T33" fmla="*/ 20 h 80"/>
                  <a:gd name="T34" fmla="*/ 1 w 109"/>
                  <a:gd name="T35" fmla="*/ 26 h 80"/>
                  <a:gd name="T36" fmla="*/ 4 w 109"/>
                  <a:gd name="T37" fmla="*/ 36 h 80"/>
                  <a:gd name="T38" fmla="*/ 92 w 109"/>
                  <a:gd name="T39" fmla="*/ 68 h 80"/>
                  <a:gd name="T40" fmla="*/ 102 w 109"/>
                  <a:gd name="T41" fmla="*/ 62 h 80"/>
                  <a:gd name="T42" fmla="*/ 102 w 109"/>
                  <a:gd name="T43" fmla="*/ 66 h 80"/>
                  <a:gd name="T44" fmla="*/ 92 w 109"/>
                  <a:gd name="T45" fmla="*/ 72 h 80"/>
                  <a:gd name="T46" fmla="*/ 92 w 109"/>
                  <a:gd name="T47" fmla="*/ 72 h 80"/>
                  <a:gd name="T48" fmla="*/ 92 w 109"/>
                  <a:gd name="T49" fmla="*/ 69 h 80"/>
                  <a:gd name="T50" fmla="*/ 74 w 109"/>
                  <a:gd name="T51" fmla="*/ 64 h 80"/>
                  <a:gd name="T52" fmla="*/ 81 w 109"/>
                  <a:gd name="T53" fmla="*/ 64 h 80"/>
                  <a:gd name="T54" fmla="*/ 87 w 109"/>
                  <a:gd name="T55" fmla="*/ 68 h 80"/>
                  <a:gd name="T56" fmla="*/ 87 w 109"/>
                  <a:gd name="T57" fmla="*/ 68 h 80"/>
                  <a:gd name="T58" fmla="*/ 78 w 109"/>
                  <a:gd name="T59" fmla="*/ 71 h 80"/>
                  <a:gd name="T60" fmla="*/ 76 w 109"/>
                  <a:gd name="T61" fmla="*/ 70 h 80"/>
                  <a:gd name="T62" fmla="*/ 64 w 109"/>
                  <a:gd name="T63" fmla="*/ 53 h 80"/>
                  <a:gd name="T64" fmla="*/ 63 w 109"/>
                  <a:gd name="T65" fmla="*/ 53 h 80"/>
                  <a:gd name="T66" fmla="*/ 48 w 109"/>
                  <a:gd name="T67" fmla="*/ 33 h 80"/>
                  <a:gd name="T68" fmla="*/ 48 w 109"/>
                  <a:gd name="T69" fmla="*/ 32 h 80"/>
                  <a:gd name="T70" fmla="*/ 69 w 109"/>
                  <a:gd name="T71" fmla="*/ 20 h 80"/>
                  <a:gd name="T72" fmla="*/ 88 w 109"/>
                  <a:gd name="T73" fmla="*/ 36 h 80"/>
                  <a:gd name="T74" fmla="*/ 64 w 109"/>
                  <a:gd name="T75" fmla="*/ 53 h 80"/>
                  <a:gd name="T76" fmla="*/ 63 w 109"/>
                  <a:gd name="T77" fmla="*/ 67 h 80"/>
                  <a:gd name="T78" fmla="*/ 69 w 109"/>
                  <a:gd name="T79" fmla="*/ 73 h 80"/>
                  <a:gd name="T80" fmla="*/ 66 w 109"/>
                  <a:gd name="T81" fmla="*/ 77 h 80"/>
                  <a:gd name="T82" fmla="*/ 60 w 109"/>
                  <a:gd name="T83" fmla="*/ 69 h 80"/>
                  <a:gd name="T84" fmla="*/ 40 w 109"/>
                  <a:gd name="T85" fmla="*/ 28 h 80"/>
                  <a:gd name="T86" fmla="*/ 48 w 109"/>
                  <a:gd name="T87" fmla="*/ 37 h 80"/>
                  <a:gd name="T88" fmla="*/ 59 w 109"/>
                  <a:gd name="T89" fmla="*/ 54 h 80"/>
                  <a:gd name="T90" fmla="*/ 59 w 109"/>
                  <a:gd name="T91" fmla="*/ 54 h 80"/>
                  <a:gd name="T92" fmla="*/ 33 w 109"/>
                  <a:gd name="T93" fmla="*/ 24 h 80"/>
                  <a:gd name="T94" fmla="*/ 9 w 109"/>
                  <a:gd name="T95" fmla="*/ 22 h 80"/>
                  <a:gd name="T96" fmla="*/ 13 w 109"/>
                  <a:gd name="T97" fmla="*/ 18 h 80"/>
                  <a:gd name="T98" fmla="*/ 21 w 109"/>
                  <a:gd name="T99" fmla="*/ 18 h 80"/>
                  <a:gd name="T100" fmla="*/ 28 w 109"/>
                  <a:gd name="T101" fmla="*/ 35 h 80"/>
                  <a:gd name="T102" fmla="*/ 7 w 109"/>
                  <a:gd name="T103" fmla="*/ 39 h 80"/>
                  <a:gd name="T104" fmla="*/ 13 w 109"/>
                  <a:gd name="T105" fmla="*/ 38 h 80"/>
                  <a:gd name="T106" fmla="*/ 15 w 109"/>
                  <a:gd name="T107" fmla="*/ 45 h 80"/>
                  <a:gd name="T108" fmla="*/ 10 w 109"/>
                  <a:gd name="T109" fmla="*/ 45 h 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 h="80">
                    <a:moveTo>
                      <a:pt x="4" y="36"/>
                    </a:moveTo>
                    <a:cubicBezTo>
                      <a:pt x="4" y="36"/>
                      <a:pt x="4" y="37"/>
                      <a:pt x="5" y="37"/>
                    </a:cubicBezTo>
                    <a:cubicBezTo>
                      <a:pt x="4" y="41"/>
                      <a:pt x="6" y="45"/>
                      <a:pt x="10" y="48"/>
                    </a:cubicBezTo>
                    <a:cubicBezTo>
                      <a:pt x="11" y="49"/>
                      <a:pt x="12" y="49"/>
                      <a:pt x="14" y="49"/>
                    </a:cubicBezTo>
                    <a:cubicBezTo>
                      <a:pt x="15" y="49"/>
                      <a:pt x="17" y="49"/>
                      <a:pt x="17" y="48"/>
                    </a:cubicBezTo>
                    <a:cubicBezTo>
                      <a:pt x="18" y="47"/>
                      <a:pt x="19" y="47"/>
                      <a:pt x="19" y="46"/>
                    </a:cubicBezTo>
                    <a:cubicBezTo>
                      <a:pt x="33" y="54"/>
                      <a:pt x="52" y="66"/>
                      <a:pt x="58" y="69"/>
                    </a:cubicBezTo>
                    <a:cubicBezTo>
                      <a:pt x="57" y="73"/>
                      <a:pt x="59" y="76"/>
                      <a:pt x="63" y="79"/>
                    </a:cubicBezTo>
                    <a:cubicBezTo>
                      <a:pt x="64" y="79"/>
                      <a:pt x="65" y="80"/>
                      <a:pt x="67" y="80"/>
                    </a:cubicBezTo>
                    <a:cubicBezTo>
                      <a:pt x="68" y="80"/>
                      <a:pt x="69" y="79"/>
                      <a:pt x="70" y="79"/>
                    </a:cubicBezTo>
                    <a:cubicBezTo>
                      <a:pt x="71" y="78"/>
                      <a:pt x="71" y="78"/>
                      <a:pt x="71" y="78"/>
                    </a:cubicBezTo>
                    <a:cubicBezTo>
                      <a:pt x="72" y="78"/>
                      <a:pt x="72" y="78"/>
                      <a:pt x="73" y="78"/>
                    </a:cubicBezTo>
                    <a:cubicBezTo>
                      <a:pt x="75" y="79"/>
                      <a:pt x="77" y="80"/>
                      <a:pt x="79" y="80"/>
                    </a:cubicBezTo>
                    <a:cubicBezTo>
                      <a:pt x="80" y="80"/>
                      <a:pt x="81" y="80"/>
                      <a:pt x="83" y="79"/>
                    </a:cubicBezTo>
                    <a:cubicBezTo>
                      <a:pt x="87" y="78"/>
                      <a:pt x="105" y="67"/>
                      <a:pt x="107" y="65"/>
                    </a:cubicBezTo>
                    <a:cubicBezTo>
                      <a:pt x="109" y="64"/>
                      <a:pt x="109" y="60"/>
                      <a:pt x="109" y="56"/>
                    </a:cubicBezTo>
                    <a:cubicBezTo>
                      <a:pt x="109" y="55"/>
                      <a:pt x="109" y="54"/>
                      <a:pt x="108" y="53"/>
                    </a:cubicBezTo>
                    <a:cubicBezTo>
                      <a:pt x="108" y="54"/>
                      <a:pt x="108" y="56"/>
                      <a:pt x="107" y="56"/>
                    </a:cubicBezTo>
                    <a:cubicBezTo>
                      <a:pt x="107" y="57"/>
                      <a:pt x="104" y="58"/>
                      <a:pt x="104" y="58"/>
                    </a:cubicBezTo>
                    <a:cubicBezTo>
                      <a:pt x="104" y="58"/>
                      <a:pt x="104" y="58"/>
                      <a:pt x="104" y="58"/>
                    </a:cubicBezTo>
                    <a:cubicBezTo>
                      <a:pt x="104" y="58"/>
                      <a:pt x="104" y="58"/>
                      <a:pt x="104" y="58"/>
                    </a:cubicBezTo>
                    <a:cubicBezTo>
                      <a:pt x="104" y="58"/>
                      <a:pt x="104" y="58"/>
                      <a:pt x="104" y="58"/>
                    </a:cubicBezTo>
                    <a:cubicBezTo>
                      <a:pt x="102" y="54"/>
                      <a:pt x="99" y="49"/>
                      <a:pt x="100" y="48"/>
                    </a:cubicBezTo>
                    <a:cubicBezTo>
                      <a:pt x="100" y="48"/>
                      <a:pt x="101" y="47"/>
                      <a:pt x="103" y="47"/>
                    </a:cubicBezTo>
                    <a:cubicBezTo>
                      <a:pt x="103" y="47"/>
                      <a:pt x="103" y="47"/>
                      <a:pt x="103" y="47"/>
                    </a:cubicBezTo>
                    <a:cubicBezTo>
                      <a:pt x="97" y="42"/>
                      <a:pt x="91" y="36"/>
                      <a:pt x="90" y="35"/>
                    </a:cubicBezTo>
                    <a:cubicBezTo>
                      <a:pt x="70" y="17"/>
                      <a:pt x="70" y="17"/>
                      <a:pt x="70" y="17"/>
                    </a:cubicBezTo>
                    <a:cubicBezTo>
                      <a:pt x="70" y="17"/>
                      <a:pt x="70" y="17"/>
                      <a:pt x="70" y="17"/>
                    </a:cubicBezTo>
                    <a:cubicBezTo>
                      <a:pt x="68" y="17"/>
                      <a:pt x="42" y="2"/>
                      <a:pt x="39" y="1"/>
                    </a:cubicBezTo>
                    <a:cubicBezTo>
                      <a:pt x="38" y="1"/>
                      <a:pt x="35" y="0"/>
                      <a:pt x="33" y="0"/>
                    </a:cubicBezTo>
                    <a:cubicBezTo>
                      <a:pt x="32" y="0"/>
                      <a:pt x="30" y="0"/>
                      <a:pt x="29" y="1"/>
                    </a:cubicBezTo>
                    <a:cubicBezTo>
                      <a:pt x="27" y="3"/>
                      <a:pt x="27" y="3"/>
                      <a:pt x="27" y="3"/>
                    </a:cubicBezTo>
                    <a:cubicBezTo>
                      <a:pt x="21" y="6"/>
                      <a:pt x="6" y="15"/>
                      <a:pt x="6" y="16"/>
                    </a:cubicBezTo>
                    <a:cubicBezTo>
                      <a:pt x="4" y="17"/>
                      <a:pt x="3" y="18"/>
                      <a:pt x="3" y="20"/>
                    </a:cubicBezTo>
                    <a:cubicBezTo>
                      <a:pt x="3" y="21"/>
                      <a:pt x="3" y="23"/>
                      <a:pt x="3" y="24"/>
                    </a:cubicBezTo>
                    <a:cubicBezTo>
                      <a:pt x="2" y="24"/>
                      <a:pt x="1" y="25"/>
                      <a:pt x="1" y="26"/>
                    </a:cubicBezTo>
                    <a:cubicBezTo>
                      <a:pt x="1" y="26"/>
                      <a:pt x="1" y="31"/>
                      <a:pt x="1" y="32"/>
                    </a:cubicBezTo>
                    <a:cubicBezTo>
                      <a:pt x="0" y="33"/>
                      <a:pt x="0" y="34"/>
                      <a:pt x="4" y="36"/>
                    </a:cubicBezTo>
                    <a:close/>
                    <a:moveTo>
                      <a:pt x="92" y="69"/>
                    </a:moveTo>
                    <a:cubicBezTo>
                      <a:pt x="92" y="68"/>
                      <a:pt x="92" y="68"/>
                      <a:pt x="92" y="68"/>
                    </a:cubicBezTo>
                    <a:cubicBezTo>
                      <a:pt x="101" y="62"/>
                      <a:pt x="101" y="62"/>
                      <a:pt x="101" y="62"/>
                    </a:cubicBezTo>
                    <a:cubicBezTo>
                      <a:pt x="102" y="62"/>
                      <a:pt x="102" y="62"/>
                      <a:pt x="102" y="62"/>
                    </a:cubicBezTo>
                    <a:cubicBezTo>
                      <a:pt x="102" y="62"/>
                      <a:pt x="102" y="63"/>
                      <a:pt x="102" y="63"/>
                    </a:cubicBezTo>
                    <a:cubicBezTo>
                      <a:pt x="102" y="66"/>
                      <a:pt x="102" y="66"/>
                      <a:pt x="102" y="66"/>
                    </a:cubicBezTo>
                    <a:cubicBezTo>
                      <a:pt x="102" y="66"/>
                      <a:pt x="102" y="66"/>
                      <a:pt x="102" y="66"/>
                    </a:cubicBezTo>
                    <a:cubicBezTo>
                      <a:pt x="92" y="72"/>
                      <a:pt x="92" y="72"/>
                      <a:pt x="92" y="72"/>
                    </a:cubicBezTo>
                    <a:cubicBezTo>
                      <a:pt x="92" y="72"/>
                      <a:pt x="92" y="72"/>
                      <a:pt x="92" y="72"/>
                    </a:cubicBezTo>
                    <a:cubicBezTo>
                      <a:pt x="92" y="72"/>
                      <a:pt x="92" y="72"/>
                      <a:pt x="92" y="72"/>
                    </a:cubicBezTo>
                    <a:cubicBezTo>
                      <a:pt x="92" y="72"/>
                      <a:pt x="92" y="72"/>
                      <a:pt x="92" y="72"/>
                    </a:cubicBezTo>
                    <a:lnTo>
                      <a:pt x="92" y="69"/>
                    </a:lnTo>
                    <a:close/>
                    <a:moveTo>
                      <a:pt x="73" y="64"/>
                    </a:moveTo>
                    <a:cubicBezTo>
                      <a:pt x="73" y="64"/>
                      <a:pt x="73" y="64"/>
                      <a:pt x="74" y="64"/>
                    </a:cubicBezTo>
                    <a:cubicBezTo>
                      <a:pt x="74" y="63"/>
                      <a:pt x="74" y="63"/>
                      <a:pt x="75" y="63"/>
                    </a:cubicBezTo>
                    <a:cubicBezTo>
                      <a:pt x="77" y="63"/>
                      <a:pt x="81" y="64"/>
                      <a:pt x="81" y="64"/>
                    </a:cubicBezTo>
                    <a:cubicBezTo>
                      <a:pt x="81" y="64"/>
                      <a:pt x="81" y="64"/>
                      <a:pt x="81" y="64"/>
                    </a:cubicBezTo>
                    <a:cubicBezTo>
                      <a:pt x="87" y="68"/>
                      <a:pt x="87" y="68"/>
                      <a:pt x="87" y="68"/>
                    </a:cubicBezTo>
                    <a:cubicBezTo>
                      <a:pt x="87" y="68"/>
                      <a:pt x="87" y="68"/>
                      <a:pt x="87" y="68"/>
                    </a:cubicBezTo>
                    <a:cubicBezTo>
                      <a:pt x="87" y="68"/>
                      <a:pt x="87" y="68"/>
                      <a:pt x="87" y="68"/>
                    </a:cubicBezTo>
                    <a:cubicBezTo>
                      <a:pt x="87" y="68"/>
                      <a:pt x="82" y="71"/>
                      <a:pt x="80" y="71"/>
                    </a:cubicBezTo>
                    <a:cubicBezTo>
                      <a:pt x="79" y="71"/>
                      <a:pt x="78" y="71"/>
                      <a:pt x="78" y="71"/>
                    </a:cubicBezTo>
                    <a:cubicBezTo>
                      <a:pt x="77" y="71"/>
                      <a:pt x="76" y="71"/>
                      <a:pt x="76" y="70"/>
                    </a:cubicBezTo>
                    <a:cubicBezTo>
                      <a:pt x="76" y="70"/>
                      <a:pt x="76" y="70"/>
                      <a:pt x="76" y="70"/>
                    </a:cubicBezTo>
                    <a:cubicBezTo>
                      <a:pt x="75" y="70"/>
                      <a:pt x="73" y="65"/>
                      <a:pt x="73" y="64"/>
                    </a:cubicBezTo>
                    <a:close/>
                    <a:moveTo>
                      <a:pt x="64" y="53"/>
                    </a:moveTo>
                    <a:cubicBezTo>
                      <a:pt x="64" y="53"/>
                      <a:pt x="63" y="53"/>
                      <a:pt x="63" y="53"/>
                    </a:cubicBezTo>
                    <a:cubicBezTo>
                      <a:pt x="63" y="53"/>
                      <a:pt x="63" y="53"/>
                      <a:pt x="63" y="53"/>
                    </a:cubicBezTo>
                    <a:cubicBezTo>
                      <a:pt x="63" y="53"/>
                      <a:pt x="60" y="50"/>
                      <a:pt x="58" y="46"/>
                    </a:cubicBezTo>
                    <a:cubicBezTo>
                      <a:pt x="52" y="39"/>
                      <a:pt x="48" y="33"/>
                      <a:pt x="48" y="33"/>
                    </a:cubicBezTo>
                    <a:cubicBezTo>
                      <a:pt x="48" y="33"/>
                      <a:pt x="48" y="32"/>
                      <a:pt x="48" y="32"/>
                    </a:cubicBezTo>
                    <a:cubicBezTo>
                      <a:pt x="48" y="32"/>
                      <a:pt x="48" y="32"/>
                      <a:pt x="48" y="32"/>
                    </a:cubicBezTo>
                    <a:cubicBezTo>
                      <a:pt x="54" y="30"/>
                      <a:pt x="62" y="24"/>
                      <a:pt x="67" y="21"/>
                    </a:cubicBezTo>
                    <a:cubicBezTo>
                      <a:pt x="67" y="21"/>
                      <a:pt x="68" y="20"/>
                      <a:pt x="69" y="20"/>
                    </a:cubicBezTo>
                    <a:cubicBezTo>
                      <a:pt x="69" y="20"/>
                      <a:pt x="69" y="20"/>
                      <a:pt x="69" y="20"/>
                    </a:cubicBezTo>
                    <a:cubicBezTo>
                      <a:pt x="70" y="21"/>
                      <a:pt x="87" y="35"/>
                      <a:pt x="88" y="36"/>
                    </a:cubicBezTo>
                    <a:cubicBezTo>
                      <a:pt x="88" y="36"/>
                      <a:pt x="88" y="37"/>
                      <a:pt x="88" y="37"/>
                    </a:cubicBezTo>
                    <a:cubicBezTo>
                      <a:pt x="87" y="40"/>
                      <a:pt x="72" y="51"/>
                      <a:pt x="64" y="53"/>
                    </a:cubicBezTo>
                    <a:close/>
                    <a:moveTo>
                      <a:pt x="60" y="69"/>
                    </a:moveTo>
                    <a:cubicBezTo>
                      <a:pt x="61" y="68"/>
                      <a:pt x="62" y="67"/>
                      <a:pt x="63" y="67"/>
                    </a:cubicBezTo>
                    <a:cubicBezTo>
                      <a:pt x="64" y="67"/>
                      <a:pt x="65" y="68"/>
                      <a:pt x="66" y="68"/>
                    </a:cubicBezTo>
                    <a:cubicBezTo>
                      <a:pt x="68" y="69"/>
                      <a:pt x="69" y="71"/>
                      <a:pt x="69" y="73"/>
                    </a:cubicBezTo>
                    <a:cubicBezTo>
                      <a:pt x="69" y="74"/>
                      <a:pt x="68" y="75"/>
                      <a:pt x="68" y="76"/>
                    </a:cubicBezTo>
                    <a:cubicBezTo>
                      <a:pt x="67" y="76"/>
                      <a:pt x="66" y="77"/>
                      <a:pt x="66" y="77"/>
                    </a:cubicBezTo>
                    <a:cubicBezTo>
                      <a:pt x="65" y="77"/>
                      <a:pt x="64" y="76"/>
                      <a:pt x="63" y="76"/>
                    </a:cubicBezTo>
                    <a:cubicBezTo>
                      <a:pt x="61" y="74"/>
                      <a:pt x="59" y="72"/>
                      <a:pt x="60" y="69"/>
                    </a:cubicBezTo>
                    <a:close/>
                    <a:moveTo>
                      <a:pt x="33" y="24"/>
                    </a:moveTo>
                    <a:cubicBezTo>
                      <a:pt x="35" y="25"/>
                      <a:pt x="37" y="27"/>
                      <a:pt x="40" y="28"/>
                    </a:cubicBezTo>
                    <a:cubicBezTo>
                      <a:pt x="41" y="29"/>
                      <a:pt x="41" y="29"/>
                      <a:pt x="41" y="29"/>
                    </a:cubicBezTo>
                    <a:cubicBezTo>
                      <a:pt x="43" y="30"/>
                      <a:pt x="45" y="32"/>
                      <a:pt x="48" y="37"/>
                    </a:cubicBezTo>
                    <a:cubicBezTo>
                      <a:pt x="50" y="39"/>
                      <a:pt x="59" y="53"/>
                      <a:pt x="59" y="53"/>
                    </a:cubicBezTo>
                    <a:cubicBezTo>
                      <a:pt x="59" y="53"/>
                      <a:pt x="59" y="54"/>
                      <a:pt x="59" y="54"/>
                    </a:cubicBezTo>
                    <a:cubicBezTo>
                      <a:pt x="59" y="54"/>
                      <a:pt x="59" y="54"/>
                      <a:pt x="59" y="54"/>
                    </a:cubicBezTo>
                    <a:cubicBezTo>
                      <a:pt x="59" y="54"/>
                      <a:pt x="59" y="54"/>
                      <a:pt x="59" y="54"/>
                    </a:cubicBezTo>
                    <a:cubicBezTo>
                      <a:pt x="33" y="38"/>
                      <a:pt x="33" y="38"/>
                      <a:pt x="33" y="38"/>
                    </a:cubicBezTo>
                    <a:lnTo>
                      <a:pt x="33" y="24"/>
                    </a:lnTo>
                    <a:close/>
                    <a:moveTo>
                      <a:pt x="9" y="23"/>
                    </a:moveTo>
                    <a:cubicBezTo>
                      <a:pt x="9" y="23"/>
                      <a:pt x="9" y="23"/>
                      <a:pt x="9" y="22"/>
                    </a:cubicBezTo>
                    <a:cubicBezTo>
                      <a:pt x="9" y="22"/>
                      <a:pt x="9" y="22"/>
                      <a:pt x="9" y="22"/>
                    </a:cubicBezTo>
                    <a:cubicBezTo>
                      <a:pt x="9" y="22"/>
                      <a:pt x="12" y="19"/>
                      <a:pt x="13" y="18"/>
                    </a:cubicBezTo>
                    <a:cubicBezTo>
                      <a:pt x="14" y="18"/>
                      <a:pt x="15" y="18"/>
                      <a:pt x="16" y="18"/>
                    </a:cubicBezTo>
                    <a:cubicBezTo>
                      <a:pt x="18" y="18"/>
                      <a:pt x="20" y="18"/>
                      <a:pt x="21" y="18"/>
                    </a:cubicBezTo>
                    <a:cubicBezTo>
                      <a:pt x="21" y="18"/>
                      <a:pt x="24" y="20"/>
                      <a:pt x="28" y="22"/>
                    </a:cubicBezTo>
                    <a:cubicBezTo>
                      <a:pt x="28" y="35"/>
                      <a:pt x="28" y="35"/>
                      <a:pt x="28" y="35"/>
                    </a:cubicBezTo>
                    <a:lnTo>
                      <a:pt x="9" y="23"/>
                    </a:lnTo>
                    <a:close/>
                    <a:moveTo>
                      <a:pt x="7" y="39"/>
                    </a:moveTo>
                    <a:cubicBezTo>
                      <a:pt x="8" y="37"/>
                      <a:pt x="9" y="37"/>
                      <a:pt x="10" y="37"/>
                    </a:cubicBezTo>
                    <a:cubicBezTo>
                      <a:pt x="11" y="37"/>
                      <a:pt x="12" y="37"/>
                      <a:pt x="13" y="38"/>
                    </a:cubicBezTo>
                    <a:cubicBezTo>
                      <a:pt x="15" y="39"/>
                      <a:pt x="16" y="41"/>
                      <a:pt x="16" y="42"/>
                    </a:cubicBezTo>
                    <a:cubicBezTo>
                      <a:pt x="16" y="44"/>
                      <a:pt x="15" y="45"/>
                      <a:pt x="15" y="45"/>
                    </a:cubicBezTo>
                    <a:cubicBezTo>
                      <a:pt x="14" y="46"/>
                      <a:pt x="13" y="46"/>
                      <a:pt x="13" y="46"/>
                    </a:cubicBezTo>
                    <a:cubicBezTo>
                      <a:pt x="12" y="46"/>
                      <a:pt x="11" y="46"/>
                      <a:pt x="10" y="45"/>
                    </a:cubicBezTo>
                    <a:cubicBezTo>
                      <a:pt x="8" y="44"/>
                      <a:pt x="7" y="41"/>
                      <a:pt x="7" y="39"/>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15" name="グループ化 14">
                <a:extLst>
                  <a:ext uri="{FF2B5EF4-FFF2-40B4-BE49-F238E27FC236}">
                    <a16:creationId xmlns:a16="http://schemas.microsoft.com/office/drawing/2014/main" id="{D8D2FE5C-8249-51BA-ACC3-6ABF6082C2E7}"/>
                  </a:ext>
                </a:extLst>
              </xdr:cNvPr>
              <xdr:cNvGrpSpPr/>
            </xdr:nvGrpSpPr>
            <xdr:grpSpPr>
              <a:xfrm>
                <a:off x="0" y="1142125"/>
                <a:ext cx="822601" cy="740604"/>
                <a:chOff x="0" y="1142125"/>
                <a:chExt cx="493713" cy="444500"/>
              </a:xfrm>
              <a:grpFill/>
            </xdr:grpSpPr>
            <xdr:sp macro="" textlink="">
              <xdr:nvSpPr>
                <xdr:cNvPr id="16" name="Freeform 49">
                  <a:extLst>
                    <a:ext uri="{FF2B5EF4-FFF2-40B4-BE49-F238E27FC236}">
                      <a16:creationId xmlns:a16="http://schemas.microsoft.com/office/drawing/2014/main" id="{107B6165-1FB9-0BC4-78EE-8AD8E250FA28}"/>
                    </a:ext>
                  </a:extLst>
                </xdr:cNvPr>
                <xdr:cNvSpPr>
                  <a:spLocks/>
                </xdr:cNvSpPr>
              </xdr:nvSpPr>
              <xdr:spPr bwMode="auto">
                <a:xfrm>
                  <a:off x="19770" y="1153237"/>
                  <a:ext cx="454025" cy="307975"/>
                </a:xfrm>
                <a:custGeom>
                  <a:avLst/>
                  <a:gdLst>
                    <a:gd name="T0" fmla="*/ 244 w 246"/>
                    <a:gd name="T1" fmla="*/ 36 h 167"/>
                    <a:gd name="T2" fmla="*/ 181 w 246"/>
                    <a:gd name="T3" fmla="*/ 0 h 167"/>
                    <a:gd name="T4" fmla="*/ 179 w 246"/>
                    <a:gd name="T5" fmla="*/ 0 h 167"/>
                    <a:gd name="T6" fmla="*/ 1 w 246"/>
                    <a:gd name="T7" fmla="*/ 127 h 167"/>
                    <a:gd name="T8" fmla="*/ 0 w 246"/>
                    <a:gd name="T9" fmla="*/ 129 h 167"/>
                    <a:gd name="T10" fmla="*/ 1 w 246"/>
                    <a:gd name="T11" fmla="*/ 131 h 167"/>
                    <a:gd name="T12" fmla="*/ 64 w 246"/>
                    <a:gd name="T13" fmla="*/ 167 h 167"/>
                    <a:gd name="T14" fmla="*/ 65 w 246"/>
                    <a:gd name="T15" fmla="*/ 167 h 167"/>
                    <a:gd name="T16" fmla="*/ 67 w 246"/>
                    <a:gd name="T17" fmla="*/ 167 h 167"/>
                    <a:gd name="T18" fmla="*/ 244 w 246"/>
                    <a:gd name="T19" fmla="*/ 40 h 167"/>
                    <a:gd name="T20" fmla="*/ 246 w 246"/>
                    <a:gd name="T21" fmla="*/ 38 h 167"/>
                    <a:gd name="T22" fmla="*/ 244 w 246"/>
                    <a:gd name="T23" fmla="*/ 36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46" h="167">
                      <a:moveTo>
                        <a:pt x="244" y="36"/>
                      </a:moveTo>
                      <a:cubicBezTo>
                        <a:pt x="181" y="0"/>
                        <a:pt x="181" y="0"/>
                        <a:pt x="181" y="0"/>
                      </a:cubicBezTo>
                      <a:cubicBezTo>
                        <a:pt x="180" y="0"/>
                        <a:pt x="179" y="0"/>
                        <a:pt x="179" y="0"/>
                      </a:cubicBezTo>
                      <a:cubicBezTo>
                        <a:pt x="1" y="127"/>
                        <a:pt x="1" y="127"/>
                        <a:pt x="1" y="127"/>
                      </a:cubicBezTo>
                      <a:cubicBezTo>
                        <a:pt x="0" y="127"/>
                        <a:pt x="0" y="128"/>
                        <a:pt x="0" y="129"/>
                      </a:cubicBezTo>
                      <a:cubicBezTo>
                        <a:pt x="0" y="130"/>
                        <a:pt x="0" y="131"/>
                        <a:pt x="1" y="131"/>
                      </a:cubicBezTo>
                      <a:cubicBezTo>
                        <a:pt x="64" y="167"/>
                        <a:pt x="64" y="167"/>
                        <a:pt x="64" y="167"/>
                      </a:cubicBezTo>
                      <a:cubicBezTo>
                        <a:pt x="64" y="167"/>
                        <a:pt x="65" y="167"/>
                        <a:pt x="65" y="167"/>
                      </a:cubicBezTo>
                      <a:cubicBezTo>
                        <a:pt x="66" y="167"/>
                        <a:pt x="66" y="167"/>
                        <a:pt x="67" y="167"/>
                      </a:cubicBezTo>
                      <a:cubicBezTo>
                        <a:pt x="244" y="40"/>
                        <a:pt x="244" y="40"/>
                        <a:pt x="244" y="40"/>
                      </a:cubicBezTo>
                      <a:cubicBezTo>
                        <a:pt x="245" y="40"/>
                        <a:pt x="246" y="39"/>
                        <a:pt x="246" y="38"/>
                      </a:cubicBezTo>
                      <a:cubicBezTo>
                        <a:pt x="246" y="37"/>
                        <a:pt x="245" y="36"/>
                        <a:pt x="244" y="36"/>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17" name="グループ化 16">
                  <a:extLst>
                    <a:ext uri="{FF2B5EF4-FFF2-40B4-BE49-F238E27FC236}">
                      <a16:creationId xmlns:a16="http://schemas.microsoft.com/office/drawing/2014/main" id="{A571ADDF-71B7-93ED-55AD-41C0BF7B677F}"/>
                    </a:ext>
                  </a:extLst>
                </xdr:cNvPr>
                <xdr:cNvGrpSpPr/>
              </xdr:nvGrpSpPr>
              <xdr:grpSpPr>
                <a:xfrm>
                  <a:off x="0" y="1142125"/>
                  <a:ext cx="493713" cy="444500"/>
                  <a:chOff x="0" y="1142125"/>
                  <a:chExt cx="493713" cy="444500"/>
                </a:xfrm>
                <a:grpFill/>
              </xdr:grpSpPr>
              <xdr:sp macro="" textlink="">
                <xdr:nvSpPr>
                  <xdr:cNvPr id="18" name="Freeform 50">
                    <a:extLst>
                      <a:ext uri="{FF2B5EF4-FFF2-40B4-BE49-F238E27FC236}">
                        <a16:creationId xmlns:a16="http://schemas.microsoft.com/office/drawing/2014/main" id="{59DA2C6A-D66E-AC9F-99C7-0774F2F65309}"/>
                      </a:ext>
                    </a:extLst>
                  </xdr:cNvPr>
                  <xdr:cNvSpPr>
                    <a:spLocks noEditPoints="1"/>
                  </xdr:cNvSpPr>
                </xdr:nvSpPr>
                <xdr:spPr bwMode="auto">
                  <a:xfrm>
                    <a:off x="0" y="1142125"/>
                    <a:ext cx="493713" cy="444500"/>
                  </a:xfrm>
                  <a:custGeom>
                    <a:avLst/>
                    <a:gdLst>
                      <a:gd name="T0" fmla="*/ 266 w 268"/>
                      <a:gd name="T1" fmla="*/ 42 h 241"/>
                      <a:gd name="T2" fmla="*/ 193 w 268"/>
                      <a:gd name="T3" fmla="*/ 1 h 241"/>
                      <a:gd name="T4" fmla="*/ 188 w 268"/>
                      <a:gd name="T5" fmla="*/ 1 h 241"/>
                      <a:gd name="T6" fmla="*/ 1 w 268"/>
                      <a:gd name="T7" fmla="*/ 134 h 241"/>
                      <a:gd name="T8" fmla="*/ 1 w 268"/>
                      <a:gd name="T9" fmla="*/ 137 h 241"/>
                      <a:gd name="T10" fmla="*/ 2 w 268"/>
                      <a:gd name="T11" fmla="*/ 138 h 241"/>
                      <a:gd name="T12" fmla="*/ 2 w 268"/>
                      <a:gd name="T13" fmla="*/ 138 h 241"/>
                      <a:gd name="T14" fmla="*/ 2 w 268"/>
                      <a:gd name="T15" fmla="*/ 201 h 241"/>
                      <a:gd name="T16" fmla="*/ 6 w 268"/>
                      <a:gd name="T17" fmla="*/ 205 h 241"/>
                      <a:gd name="T18" fmla="*/ 10 w 268"/>
                      <a:gd name="T19" fmla="*/ 201 h 241"/>
                      <a:gd name="T20" fmla="*/ 10 w 268"/>
                      <a:gd name="T21" fmla="*/ 142 h 241"/>
                      <a:gd name="T22" fmla="*/ 72 w 268"/>
                      <a:gd name="T23" fmla="*/ 177 h 241"/>
                      <a:gd name="T24" fmla="*/ 72 w 268"/>
                      <a:gd name="T25" fmla="*/ 236 h 241"/>
                      <a:gd name="T26" fmla="*/ 76 w 268"/>
                      <a:gd name="T27" fmla="*/ 241 h 241"/>
                      <a:gd name="T28" fmla="*/ 80 w 268"/>
                      <a:gd name="T29" fmla="*/ 236 h 241"/>
                      <a:gd name="T30" fmla="*/ 80 w 268"/>
                      <a:gd name="T31" fmla="*/ 178 h 241"/>
                      <a:gd name="T32" fmla="*/ 257 w 268"/>
                      <a:gd name="T33" fmla="*/ 52 h 241"/>
                      <a:gd name="T34" fmla="*/ 257 w 268"/>
                      <a:gd name="T35" fmla="*/ 109 h 241"/>
                      <a:gd name="T36" fmla="*/ 261 w 268"/>
                      <a:gd name="T37" fmla="*/ 113 h 241"/>
                      <a:gd name="T38" fmla="*/ 265 w 268"/>
                      <a:gd name="T39" fmla="*/ 109 h 241"/>
                      <a:gd name="T40" fmla="*/ 265 w 268"/>
                      <a:gd name="T41" fmla="*/ 46 h 241"/>
                      <a:gd name="T42" fmla="*/ 266 w 268"/>
                      <a:gd name="T43" fmla="*/ 45 h 241"/>
                      <a:gd name="T44" fmla="*/ 266 w 268"/>
                      <a:gd name="T45" fmla="*/ 42 h 241"/>
                      <a:gd name="T46" fmla="*/ 255 w 268"/>
                      <a:gd name="T47" fmla="*/ 46 h 241"/>
                      <a:gd name="T48" fmla="*/ 78 w 268"/>
                      <a:gd name="T49" fmla="*/ 173 h 241"/>
                      <a:gd name="T50" fmla="*/ 76 w 268"/>
                      <a:gd name="T51" fmla="*/ 173 h 241"/>
                      <a:gd name="T52" fmla="*/ 75 w 268"/>
                      <a:gd name="T53" fmla="*/ 173 h 241"/>
                      <a:gd name="T54" fmla="*/ 12 w 268"/>
                      <a:gd name="T55" fmla="*/ 137 h 241"/>
                      <a:gd name="T56" fmla="*/ 11 w 268"/>
                      <a:gd name="T57" fmla="*/ 135 h 241"/>
                      <a:gd name="T58" fmla="*/ 12 w 268"/>
                      <a:gd name="T59" fmla="*/ 133 h 241"/>
                      <a:gd name="T60" fmla="*/ 187 w 268"/>
                      <a:gd name="T61" fmla="*/ 8 h 241"/>
                      <a:gd name="T62" fmla="*/ 189 w 268"/>
                      <a:gd name="T63" fmla="*/ 7 h 241"/>
                      <a:gd name="T64" fmla="*/ 189 w 268"/>
                      <a:gd name="T65" fmla="*/ 7 h 241"/>
                      <a:gd name="T66" fmla="*/ 190 w 268"/>
                      <a:gd name="T67" fmla="*/ 6 h 241"/>
                      <a:gd name="T68" fmla="*/ 192 w 268"/>
                      <a:gd name="T69" fmla="*/ 6 h 241"/>
                      <a:gd name="T70" fmla="*/ 255 w 268"/>
                      <a:gd name="T71" fmla="*/ 42 h 241"/>
                      <a:gd name="T72" fmla="*/ 257 w 268"/>
                      <a:gd name="T73" fmla="*/ 44 h 241"/>
                      <a:gd name="T74" fmla="*/ 255 w 268"/>
                      <a:gd name="T75" fmla="*/ 46 h 2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268" h="241">
                        <a:moveTo>
                          <a:pt x="266" y="42"/>
                        </a:moveTo>
                        <a:cubicBezTo>
                          <a:pt x="193" y="1"/>
                          <a:pt x="193" y="1"/>
                          <a:pt x="193" y="1"/>
                        </a:cubicBezTo>
                        <a:cubicBezTo>
                          <a:pt x="192" y="0"/>
                          <a:pt x="189" y="0"/>
                          <a:pt x="188" y="1"/>
                        </a:cubicBezTo>
                        <a:cubicBezTo>
                          <a:pt x="1" y="134"/>
                          <a:pt x="1" y="134"/>
                          <a:pt x="1" y="134"/>
                        </a:cubicBezTo>
                        <a:cubicBezTo>
                          <a:pt x="0" y="135"/>
                          <a:pt x="0" y="136"/>
                          <a:pt x="1" y="137"/>
                        </a:cubicBezTo>
                        <a:cubicBezTo>
                          <a:pt x="2" y="138"/>
                          <a:pt x="2" y="138"/>
                          <a:pt x="2" y="138"/>
                        </a:cubicBezTo>
                        <a:cubicBezTo>
                          <a:pt x="2" y="138"/>
                          <a:pt x="2" y="138"/>
                          <a:pt x="2" y="138"/>
                        </a:cubicBezTo>
                        <a:cubicBezTo>
                          <a:pt x="2" y="201"/>
                          <a:pt x="2" y="201"/>
                          <a:pt x="2" y="201"/>
                        </a:cubicBezTo>
                        <a:cubicBezTo>
                          <a:pt x="2" y="204"/>
                          <a:pt x="4" y="205"/>
                          <a:pt x="6" y="205"/>
                        </a:cubicBezTo>
                        <a:cubicBezTo>
                          <a:pt x="9" y="205"/>
                          <a:pt x="10" y="204"/>
                          <a:pt x="10" y="201"/>
                        </a:cubicBezTo>
                        <a:cubicBezTo>
                          <a:pt x="10" y="142"/>
                          <a:pt x="10" y="142"/>
                          <a:pt x="10" y="142"/>
                        </a:cubicBezTo>
                        <a:cubicBezTo>
                          <a:pt x="72" y="177"/>
                          <a:pt x="72" y="177"/>
                          <a:pt x="72" y="177"/>
                        </a:cubicBezTo>
                        <a:cubicBezTo>
                          <a:pt x="72" y="236"/>
                          <a:pt x="72" y="236"/>
                          <a:pt x="72" y="236"/>
                        </a:cubicBezTo>
                        <a:cubicBezTo>
                          <a:pt x="72" y="239"/>
                          <a:pt x="74" y="241"/>
                          <a:pt x="76" y="241"/>
                        </a:cubicBezTo>
                        <a:cubicBezTo>
                          <a:pt x="78" y="241"/>
                          <a:pt x="80" y="239"/>
                          <a:pt x="80" y="236"/>
                        </a:cubicBezTo>
                        <a:cubicBezTo>
                          <a:pt x="80" y="178"/>
                          <a:pt x="80" y="178"/>
                          <a:pt x="80" y="178"/>
                        </a:cubicBezTo>
                        <a:cubicBezTo>
                          <a:pt x="257" y="52"/>
                          <a:pt x="257" y="52"/>
                          <a:pt x="257" y="52"/>
                        </a:cubicBezTo>
                        <a:cubicBezTo>
                          <a:pt x="257" y="109"/>
                          <a:pt x="257" y="109"/>
                          <a:pt x="257" y="109"/>
                        </a:cubicBezTo>
                        <a:cubicBezTo>
                          <a:pt x="257" y="111"/>
                          <a:pt x="258" y="113"/>
                          <a:pt x="261" y="113"/>
                        </a:cubicBezTo>
                        <a:cubicBezTo>
                          <a:pt x="263" y="113"/>
                          <a:pt x="265" y="111"/>
                          <a:pt x="265" y="109"/>
                        </a:cubicBezTo>
                        <a:cubicBezTo>
                          <a:pt x="265" y="46"/>
                          <a:pt x="265" y="46"/>
                          <a:pt x="265" y="46"/>
                        </a:cubicBezTo>
                        <a:cubicBezTo>
                          <a:pt x="266" y="45"/>
                          <a:pt x="266" y="45"/>
                          <a:pt x="266" y="45"/>
                        </a:cubicBezTo>
                        <a:cubicBezTo>
                          <a:pt x="268" y="44"/>
                          <a:pt x="268" y="43"/>
                          <a:pt x="266" y="42"/>
                        </a:cubicBezTo>
                        <a:close/>
                        <a:moveTo>
                          <a:pt x="255" y="46"/>
                        </a:moveTo>
                        <a:cubicBezTo>
                          <a:pt x="78" y="173"/>
                          <a:pt x="78" y="173"/>
                          <a:pt x="78" y="173"/>
                        </a:cubicBezTo>
                        <a:cubicBezTo>
                          <a:pt x="77" y="173"/>
                          <a:pt x="77" y="173"/>
                          <a:pt x="76" y="173"/>
                        </a:cubicBezTo>
                        <a:cubicBezTo>
                          <a:pt x="76" y="173"/>
                          <a:pt x="75" y="173"/>
                          <a:pt x="75" y="173"/>
                        </a:cubicBezTo>
                        <a:cubicBezTo>
                          <a:pt x="12" y="137"/>
                          <a:pt x="12" y="137"/>
                          <a:pt x="12" y="137"/>
                        </a:cubicBezTo>
                        <a:cubicBezTo>
                          <a:pt x="11" y="137"/>
                          <a:pt x="11" y="136"/>
                          <a:pt x="11" y="135"/>
                        </a:cubicBezTo>
                        <a:cubicBezTo>
                          <a:pt x="11" y="134"/>
                          <a:pt x="11" y="133"/>
                          <a:pt x="12" y="133"/>
                        </a:cubicBezTo>
                        <a:cubicBezTo>
                          <a:pt x="187" y="8"/>
                          <a:pt x="187" y="8"/>
                          <a:pt x="187" y="8"/>
                        </a:cubicBezTo>
                        <a:cubicBezTo>
                          <a:pt x="189" y="7"/>
                          <a:pt x="189" y="7"/>
                          <a:pt x="189" y="7"/>
                        </a:cubicBezTo>
                        <a:cubicBezTo>
                          <a:pt x="189" y="7"/>
                          <a:pt x="189" y="7"/>
                          <a:pt x="189" y="7"/>
                        </a:cubicBezTo>
                        <a:cubicBezTo>
                          <a:pt x="190" y="6"/>
                          <a:pt x="190" y="6"/>
                          <a:pt x="190" y="6"/>
                        </a:cubicBezTo>
                        <a:cubicBezTo>
                          <a:pt x="190" y="6"/>
                          <a:pt x="191" y="6"/>
                          <a:pt x="192" y="6"/>
                        </a:cubicBezTo>
                        <a:cubicBezTo>
                          <a:pt x="255" y="42"/>
                          <a:pt x="255" y="42"/>
                          <a:pt x="255" y="42"/>
                        </a:cubicBezTo>
                        <a:cubicBezTo>
                          <a:pt x="256" y="42"/>
                          <a:pt x="257" y="43"/>
                          <a:pt x="257" y="44"/>
                        </a:cubicBezTo>
                        <a:cubicBezTo>
                          <a:pt x="257" y="45"/>
                          <a:pt x="256" y="46"/>
                          <a:pt x="255" y="4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19" name="Freeform 51">
                    <a:extLst>
                      <a:ext uri="{FF2B5EF4-FFF2-40B4-BE49-F238E27FC236}">
                        <a16:creationId xmlns:a16="http://schemas.microsoft.com/office/drawing/2014/main" id="{FF75776A-F2A3-0CA7-1D15-1D887EEB33E6}"/>
                      </a:ext>
                    </a:extLst>
                  </xdr:cNvPr>
                  <xdr:cNvSpPr>
                    <a:spLocks/>
                  </xdr:cNvSpPr>
                </xdr:nvSpPr>
                <xdr:spPr bwMode="auto">
                  <a:xfrm>
                    <a:off x="92075" y="1315162"/>
                    <a:ext cx="153988" cy="92075"/>
                  </a:xfrm>
                  <a:custGeom>
                    <a:avLst/>
                    <a:gdLst>
                      <a:gd name="T0" fmla="*/ 0 w 97"/>
                      <a:gd name="T1" fmla="*/ 20 h 58"/>
                      <a:gd name="T2" fmla="*/ 69 w 97"/>
                      <a:gd name="T3" fmla="*/ 58 h 58"/>
                      <a:gd name="T4" fmla="*/ 97 w 97"/>
                      <a:gd name="T5" fmla="*/ 39 h 58"/>
                      <a:gd name="T6" fmla="*/ 28 w 97"/>
                      <a:gd name="T7" fmla="*/ 0 h 58"/>
                      <a:gd name="T8" fmla="*/ 0 w 97"/>
                      <a:gd name="T9" fmla="*/ 20 h 58"/>
                    </a:gdLst>
                    <a:ahLst/>
                    <a:cxnLst>
                      <a:cxn ang="0">
                        <a:pos x="T0" y="T1"/>
                      </a:cxn>
                      <a:cxn ang="0">
                        <a:pos x="T2" y="T3"/>
                      </a:cxn>
                      <a:cxn ang="0">
                        <a:pos x="T4" y="T5"/>
                      </a:cxn>
                      <a:cxn ang="0">
                        <a:pos x="T6" y="T7"/>
                      </a:cxn>
                      <a:cxn ang="0">
                        <a:pos x="T8" y="T9"/>
                      </a:cxn>
                    </a:cxnLst>
                    <a:rect l="0" t="0" r="r" b="b"/>
                    <a:pathLst>
                      <a:path w="97" h="58">
                        <a:moveTo>
                          <a:pt x="0" y="20"/>
                        </a:moveTo>
                        <a:lnTo>
                          <a:pt x="69" y="58"/>
                        </a:lnTo>
                        <a:lnTo>
                          <a:pt x="97" y="39"/>
                        </a:lnTo>
                        <a:lnTo>
                          <a:pt x="28"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0" name="Freeform 52">
                    <a:extLst>
                      <a:ext uri="{FF2B5EF4-FFF2-40B4-BE49-F238E27FC236}">
                        <a16:creationId xmlns:a16="http://schemas.microsoft.com/office/drawing/2014/main" id="{9C06603D-4EDA-1386-9EF5-1F2961B6704B}"/>
                      </a:ext>
                    </a:extLst>
                  </xdr:cNvPr>
                  <xdr:cNvSpPr>
                    <a:spLocks/>
                  </xdr:cNvSpPr>
                </xdr:nvSpPr>
                <xdr:spPr bwMode="auto">
                  <a:xfrm>
                    <a:off x="201613" y="1238962"/>
                    <a:ext cx="153988" cy="92075"/>
                  </a:xfrm>
                  <a:custGeom>
                    <a:avLst/>
                    <a:gdLst>
                      <a:gd name="T0" fmla="*/ 0 w 97"/>
                      <a:gd name="T1" fmla="*/ 18 h 58"/>
                      <a:gd name="T2" fmla="*/ 69 w 97"/>
                      <a:gd name="T3" fmla="*/ 58 h 58"/>
                      <a:gd name="T4" fmla="*/ 97 w 97"/>
                      <a:gd name="T5" fmla="*/ 38 h 58"/>
                      <a:gd name="T6" fmla="*/ 28 w 97"/>
                      <a:gd name="T7" fmla="*/ 0 h 58"/>
                      <a:gd name="T8" fmla="*/ 0 w 97"/>
                      <a:gd name="T9" fmla="*/ 18 h 58"/>
                    </a:gdLst>
                    <a:ahLst/>
                    <a:cxnLst>
                      <a:cxn ang="0">
                        <a:pos x="T0" y="T1"/>
                      </a:cxn>
                      <a:cxn ang="0">
                        <a:pos x="T2" y="T3"/>
                      </a:cxn>
                      <a:cxn ang="0">
                        <a:pos x="T4" y="T5"/>
                      </a:cxn>
                      <a:cxn ang="0">
                        <a:pos x="T6" y="T7"/>
                      </a:cxn>
                      <a:cxn ang="0">
                        <a:pos x="T8" y="T9"/>
                      </a:cxn>
                    </a:cxnLst>
                    <a:rect l="0" t="0" r="r" b="b"/>
                    <a:pathLst>
                      <a:path w="97" h="58">
                        <a:moveTo>
                          <a:pt x="0" y="18"/>
                        </a:moveTo>
                        <a:lnTo>
                          <a:pt x="69" y="58"/>
                        </a:lnTo>
                        <a:lnTo>
                          <a:pt x="97" y="38"/>
                        </a:lnTo>
                        <a:lnTo>
                          <a:pt x="28" y="0"/>
                        </a:lnTo>
                        <a:lnTo>
                          <a:pt x="0" y="1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1" name="Freeform 53">
                    <a:extLst>
                      <a:ext uri="{FF2B5EF4-FFF2-40B4-BE49-F238E27FC236}">
                        <a16:creationId xmlns:a16="http://schemas.microsoft.com/office/drawing/2014/main" id="{1256E51F-11DE-2AB7-B7EE-1999C9CD0DDA}"/>
                      </a:ext>
                    </a:extLst>
                  </xdr:cNvPr>
                  <xdr:cNvSpPr>
                    <a:spLocks/>
                  </xdr:cNvSpPr>
                </xdr:nvSpPr>
                <xdr:spPr bwMode="auto">
                  <a:xfrm>
                    <a:off x="147638" y="1277062"/>
                    <a:ext cx="152400" cy="92075"/>
                  </a:xfrm>
                  <a:custGeom>
                    <a:avLst/>
                    <a:gdLst>
                      <a:gd name="T0" fmla="*/ 0 w 96"/>
                      <a:gd name="T1" fmla="*/ 20 h 58"/>
                      <a:gd name="T2" fmla="*/ 69 w 96"/>
                      <a:gd name="T3" fmla="*/ 58 h 58"/>
                      <a:gd name="T4" fmla="*/ 96 w 96"/>
                      <a:gd name="T5" fmla="*/ 38 h 58"/>
                      <a:gd name="T6" fmla="*/ 27 w 96"/>
                      <a:gd name="T7" fmla="*/ 0 h 58"/>
                      <a:gd name="T8" fmla="*/ 0 w 96"/>
                      <a:gd name="T9" fmla="*/ 20 h 58"/>
                    </a:gdLst>
                    <a:ahLst/>
                    <a:cxnLst>
                      <a:cxn ang="0">
                        <a:pos x="T0" y="T1"/>
                      </a:cxn>
                      <a:cxn ang="0">
                        <a:pos x="T2" y="T3"/>
                      </a:cxn>
                      <a:cxn ang="0">
                        <a:pos x="T4" y="T5"/>
                      </a:cxn>
                      <a:cxn ang="0">
                        <a:pos x="T6" y="T7"/>
                      </a:cxn>
                      <a:cxn ang="0">
                        <a:pos x="T8" y="T9"/>
                      </a:cxn>
                    </a:cxnLst>
                    <a:rect l="0" t="0" r="r" b="b"/>
                    <a:pathLst>
                      <a:path w="96" h="58">
                        <a:moveTo>
                          <a:pt x="0" y="20"/>
                        </a:moveTo>
                        <a:lnTo>
                          <a:pt x="69" y="58"/>
                        </a:lnTo>
                        <a:lnTo>
                          <a:pt x="96" y="38"/>
                        </a:lnTo>
                        <a:lnTo>
                          <a:pt x="27"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2" name="Freeform 54">
                    <a:extLst>
                      <a:ext uri="{FF2B5EF4-FFF2-40B4-BE49-F238E27FC236}">
                        <a16:creationId xmlns:a16="http://schemas.microsoft.com/office/drawing/2014/main" id="{2BA31BBC-F407-AFAD-7C08-A7CDF5D6839D}"/>
                      </a:ext>
                    </a:extLst>
                  </xdr:cNvPr>
                  <xdr:cNvSpPr>
                    <a:spLocks/>
                  </xdr:cNvSpPr>
                </xdr:nvSpPr>
                <xdr:spPr bwMode="auto">
                  <a:xfrm>
                    <a:off x="34925" y="1354850"/>
                    <a:ext cx="155575" cy="96838"/>
                  </a:xfrm>
                  <a:custGeom>
                    <a:avLst/>
                    <a:gdLst>
                      <a:gd name="T0" fmla="*/ 1 w 85"/>
                      <a:gd name="T1" fmla="*/ 17 h 53"/>
                      <a:gd name="T2" fmla="*/ 0 w 85"/>
                      <a:gd name="T3" fmla="*/ 20 h 53"/>
                      <a:gd name="T4" fmla="*/ 1 w 85"/>
                      <a:gd name="T5" fmla="*/ 22 h 53"/>
                      <a:gd name="T6" fmla="*/ 56 w 85"/>
                      <a:gd name="T7" fmla="*/ 53 h 53"/>
                      <a:gd name="T8" fmla="*/ 57 w 85"/>
                      <a:gd name="T9" fmla="*/ 53 h 53"/>
                      <a:gd name="T10" fmla="*/ 58 w 85"/>
                      <a:gd name="T11" fmla="*/ 53 h 53"/>
                      <a:gd name="T12" fmla="*/ 85 w 85"/>
                      <a:gd name="T13" fmla="*/ 34 h 53"/>
                      <a:gd name="T14" fmla="*/ 25 w 85"/>
                      <a:gd name="T15" fmla="*/ 0 h 53"/>
                      <a:gd name="T16" fmla="*/ 1 w 85"/>
                      <a:gd name="T17" fmla="*/ 17 h 5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5" h="53">
                        <a:moveTo>
                          <a:pt x="1" y="17"/>
                        </a:moveTo>
                        <a:cubicBezTo>
                          <a:pt x="0" y="18"/>
                          <a:pt x="0" y="19"/>
                          <a:pt x="0" y="20"/>
                        </a:cubicBezTo>
                        <a:cubicBezTo>
                          <a:pt x="0" y="20"/>
                          <a:pt x="0" y="21"/>
                          <a:pt x="1" y="22"/>
                        </a:cubicBezTo>
                        <a:cubicBezTo>
                          <a:pt x="56" y="53"/>
                          <a:pt x="56" y="53"/>
                          <a:pt x="56" y="53"/>
                        </a:cubicBezTo>
                        <a:cubicBezTo>
                          <a:pt x="56" y="53"/>
                          <a:pt x="56" y="53"/>
                          <a:pt x="57" y="53"/>
                        </a:cubicBezTo>
                        <a:cubicBezTo>
                          <a:pt x="57" y="53"/>
                          <a:pt x="58" y="53"/>
                          <a:pt x="58" y="53"/>
                        </a:cubicBezTo>
                        <a:cubicBezTo>
                          <a:pt x="85" y="34"/>
                          <a:pt x="85" y="34"/>
                          <a:pt x="85" y="34"/>
                        </a:cubicBezTo>
                        <a:cubicBezTo>
                          <a:pt x="25" y="0"/>
                          <a:pt x="25" y="0"/>
                          <a:pt x="25" y="0"/>
                        </a:cubicBezTo>
                        <a:lnTo>
                          <a:pt x="1" y="17"/>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3" name="Freeform 55">
                    <a:extLst>
                      <a:ext uri="{FF2B5EF4-FFF2-40B4-BE49-F238E27FC236}">
                        <a16:creationId xmlns:a16="http://schemas.microsoft.com/office/drawing/2014/main" id="{8BB32B6D-D29D-61B9-A4A1-6DDCD93D582C}"/>
                      </a:ext>
                    </a:extLst>
                  </xdr:cNvPr>
                  <xdr:cNvSpPr>
                    <a:spLocks/>
                  </xdr:cNvSpPr>
                </xdr:nvSpPr>
                <xdr:spPr bwMode="auto">
                  <a:xfrm>
                    <a:off x="311150" y="1162762"/>
                    <a:ext cx="147638" cy="90488"/>
                  </a:xfrm>
                  <a:custGeom>
                    <a:avLst/>
                    <a:gdLst>
                      <a:gd name="T0" fmla="*/ 78 w 80"/>
                      <a:gd name="T1" fmla="*/ 31 h 49"/>
                      <a:gd name="T2" fmla="*/ 24 w 80"/>
                      <a:gd name="T3" fmla="*/ 0 h 49"/>
                      <a:gd name="T4" fmla="*/ 21 w 80"/>
                      <a:gd name="T5" fmla="*/ 1 h 49"/>
                      <a:gd name="T6" fmla="*/ 0 w 80"/>
                      <a:gd name="T7" fmla="*/ 15 h 49"/>
                      <a:gd name="T8" fmla="*/ 60 w 80"/>
                      <a:gd name="T9" fmla="*/ 49 h 49"/>
                      <a:gd name="T10" fmla="*/ 78 w 80"/>
                      <a:gd name="T11" fmla="*/ 36 h 49"/>
                      <a:gd name="T12" fmla="*/ 79 w 80"/>
                      <a:gd name="T13" fmla="*/ 33 h 49"/>
                      <a:gd name="T14" fmla="*/ 78 w 80"/>
                      <a:gd name="T15" fmla="*/ 31 h 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80" h="49">
                        <a:moveTo>
                          <a:pt x="78" y="31"/>
                        </a:moveTo>
                        <a:cubicBezTo>
                          <a:pt x="24" y="0"/>
                          <a:pt x="24" y="0"/>
                          <a:pt x="24" y="0"/>
                        </a:cubicBezTo>
                        <a:cubicBezTo>
                          <a:pt x="23" y="0"/>
                          <a:pt x="22" y="0"/>
                          <a:pt x="21" y="1"/>
                        </a:cubicBezTo>
                        <a:cubicBezTo>
                          <a:pt x="0" y="15"/>
                          <a:pt x="0" y="15"/>
                          <a:pt x="0" y="15"/>
                        </a:cubicBezTo>
                        <a:cubicBezTo>
                          <a:pt x="60" y="49"/>
                          <a:pt x="60" y="49"/>
                          <a:pt x="60" y="49"/>
                        </a:cubicBezTo>
                        <a:cubicBezTo>
                          <a:pt x="78" y="36"/>
                          <a:pt x="78" y="36"/>
                          <a:pt x="78" y="36"/>
                        </a:cubicBezTo>
                        <a:cubicBezTo>
                          <a:pt x="79" y="35"/>
                          <a:pt x="80" y="34"/>
                          <a:pt x="79" y="33"/>
                        </a:cubicBezTo>
                        <a:cubicBezTo>
                          <a:pt x="79" y="33"/>
                          <a:pt x="79" y="32"/>
                          <a:pt x="78" y="31"/>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24" name="Freeform 56">
                    <a:extLst>
                      <a:ext uri="{FF2B5EF4-FFF2-40B4-BE49-F238E27FC236}">
                        <a16:creationId xmlns:a16="http://schemas.microsoft.com/office/drawing/2014/main" id="{244A364C-AF25-C2BB-3B22-0E95A9E6B1B0}"/>
                      </a:ext>
                    </a:extLst>
                  </xdr:cNvPr>
                  <xdr:cNvSpPr>
                    <a:spLocks/>
                  </xdr:cNvSpPr>
                </xdr:nvSpPr>
                <xdr:spPr bwMode="auto">
                  <a:xfrm>
                    <a:off x="255588" y="1197687"/>
                    <a:ext cx="155575" cy="93663"/>
                  </a:xfrm>
                  <a:custGeom>
                    <a:avLst/>
                    <a:gdLst>
                      <a:gd name="T0" fmla="*/ 0 w 98"/>
                      <a:gd name="T1" fmla="*/ 20 h 59"/>
                      <a:gd name="T2" fmla="*/ 70 w 98"/>
                      <a:gd name="T3" fmla="*/ 59 h 59"/>
                      <a:gd name="T4" fmla="*/ 98 w 98"/>
                      <a:gd name="T5" fmla="*/ 39 h 59"/>
                      <a:gd name="T6" fmla="*/ 28 w 98"/>
                      <a:gd name="T7" fmla="*/ 0 h 59"/>
                      <a:gd name="T8" fmla="*/ 0 w 98"/>
                      <a:gd name="T9" fmla="*/ 20 h 59"/>
                    </a:gdLst>
                    <a:ahLst/>
                    <a:cxnLst>
                      <a:cxn ang="0">
                        <a:pos x="T0" y="T1"/>
                      </a:cxn>
                      <a:cxn ang="0">
                        <a:pos x="T2" y="T3"/>
                      </a:cxn>
                      <a:cxn ang="0">
                        <a:pos x="T4" y="T5"/>
                      </a:cxn>
                      <a:cxn ang="0">
                        <a:pos x="T6" y="T7"/>
                      </a:cxn>
                      <a:cxn ang="0">
                        <a:pos x="T8" y="T9"/>
                      </a:cxn>
                    </a:cxnLst>
                    <a:rect l="0" t="0" r="r" b="b"/>
                    <a:pathLst>
                      <a:path w="98" h="59">
                        <a:moveTo>
                          <a:pt x="0" y="20"/>
                        </a:moveTo>
                        <a:lnTo>
                          <a:pt x="70" y="59"/>
                        </a:lnTo>
                        <a:lnTo>
                          <a:pt x="98" y="39"/>
                        </a:lnTo>
                        <a:lnTo>
                          <a:pt x="28" y="0"/>
                        </a:lnTo>
                        <a:lnTo>
                          <a:pt x="0" y="2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grpSp>
        </xdr:grpSp>
      </xdr:grpSp>
    </xdr:grpSp>
    <xdr:clientData/>
  </xdr:twoCellAnchor>
  <xdr:twoCellAnchor>
    <xdr:from>
      <xdr:col>2</xdr:col>
      <xdr:colOff>373054</xdr:colOff>
      <xdr:row>79</xdr:row>
      <xdr:rowOff>61974</xdr:rowOff>
    </xdr:from>
    <xdr:to>
      <xdr:col>3</xdr:col>
      <xdr:colOff>713166</xdr:colOff>
      <xdr:row>82</xdr:row>
      <xdr:rowOff>156395</xdr:rowOff>
    </xdr:to>
    <xdr:grpSp>
      <xdr:nvGrpSpPr>
        <xdr:cNvPr id="37" name="グラフィックス 420">
          <a:extLst>
            <a:ext uri="{FF2B5EF4-FFF2-40B4-BE49-F238E27FC236}">
              <a16:creationId xmlns:a16="http://schemas.microsoft.com/office/drawing/2014/main" id="{56D8961A-5876-4914-825E-58F084FB2350}"/>
            </a:ext>
          </a:extLst>
        </xdr:cNvPr>
        <xdr:cNvGrpSpPr>
          <a:grpSpLocks noChangeAspect="1"/>
        </xdr:cNvGrpSpPr>
      </xdr:nvGrpSpPr>
      <xdr:grpSpPr>
        <a:xfrm>
          <a:off x="912804" y="17819749"/>
          <a:ext cx="946537" cy="780221"/>
          <a:chOff x="0" y="0"/>
          <a:chExt cx="1271017" cy="925262"/>
        </a:xfrm>
        <a:solidFill>
          <a:schemeClr val="accent6">
            <a:lumMod val="75000"/>
          </a:schemeClr>
        </a:solidFill>
      </xdr:grpSpPr>
      <xdr:sp macro="" textlink="">
        <xdr:nvSpPr>
          <xdr:cNvPr id="38" name="フリーフォーム: 図形 37">
            <a:extLst>
              <a:ext uri="{FF2B5EF4-FFF2-40B4-BE49-F238E27FC236}">
                <a16:creationId xmlns:a16="http://schemas.microsoft.com/office/drawing/2014/main" id="{C9811163-5DA2-4B12-9E41-5EB559C0C090}"/>
              </a:ext>
            </a:extLst>
          </xdr:cNvPr>
          <xdr:cNvSpPr/>
        </xdr:nvSpPr>
        <xdr:spPr>
          <a:xfrm>
            <a:off x="52009" y="787544"/>
            <a:ext cx="24349" cy="34089"/>
          </a:xfrm>
          <a:custGeom>
            <a:avLst/>
            <a:gdLst>
              <a:gd name="connsiteX0" fmla="*/ 3652 w 24348"/>
              <a:gd name="connsiteY0" fmla="*/ 3652 h 34088"/>
              <a:gd name="connsiteX1" fmla="*/ 24836 w 24348"/>
              <a:gd name="connsiteY1" fmla="*/ 3652 h 34088"/>
              <a:gd name="connsiteX2" fmla="*/ 24836 w 24348"/>
              <a:gd name="connsiteY2" fmla="*/ 31167 h 34088"/>
              <a:gd name="connsiteX3" fmla="*/ 3652 w 24348"/>
              <a:gd name="connsiteY3" fmla="*/ 31167 h 34088"/>
            </a:gdLst>
            <a:ahLst/>
            <a:cxnLst>
              <a:cxn ang="0">
                <a:pos x="connsiteX0" y="connsiteY0"/>
              </a:cxn>
              <a:cxn ang="0">
                <a:pos x="connsiteX1" y="connsiteY1"/>
              </a:cxn>
              <a:cxn ang="0">
                <a:pos x="connsiteX2" y="connsiteY2"/>
              </a:cxn>
              <a:cxn ang="0">
                <a:pos x="connsiteX3" y="connsiteY3"/>
              </a:cxn>
            </a:cxnLst>
            <a:rect l="l" t="t" r="r" b="b"/>
            <a:pathLst>
              <a:path w="24348" h="34088">
                <a:moveTo>
                  <a:pt x="3652" y="3652"/>
                </a:moveTo>
                <a:lnTo>
                  <a:pt x="24836" y="3652"/>
                </a:lnTo>
                <a:lnTo>
                  <a:pt x="24836" y="31167"/>
                </a:lnTo>
                <a:lnTo>
                  <a:pt x="3652" y="31167"/>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39" name="フリーフォーム: 図形 38">
            <a:extLst>
              <a:ext uri="{FF2B5EF4-FFF2-40B4-BE49-F238E27FC236}">
                <a16:creationId xmlns:a16="http://schemas.microsoft.com/office/drawing/2014/main" id="{166B3073-B639-C0A3-1CBF-0113C266FF9D}"/>
              </a:ext>
            </a:extLst>
          </xdr:cNvPr>
          <xdr:cNvSpPr/>
        </xdr:nvSpPr>
        <xdr:spPr>
          <a:xfrm>
            <a:off x="90529" y="787544"/>
            <a:ext cx="24349" cy="34089"/>
          </a:xfrm>
          <a:custGeom>
            <a:avLst/>
            <a:gdLst>
              <a:gd name="connsiteX0" fmla="*/ 3652 w 24348"/>
              <a:gd name="connsiteY0" fmla="*/ 3652 h 34088"/>
              <a:gd name="connsiteX1" fmla="*/ 24836 w 24348"/>
              <a:gd name="connsiteY1" fmla="*/ 3652 h 34088"/>
              <a:gd name="connsiteX2" fmla="*/ 24836 w 24348"/>
              <a:gd name="connsiteY2" fmla="*/ 31167 h 34088"/>
              <a:gd name="connsiteX3" fmla="*/ 3652 w 24348"/>
              <a:gd name="connsiteY3" fmla="*/ 31167 h 34088"/>
            </a:gdLst>
            <a:ahLst/>
            <a:cxnLst>
              <a:cxn ang="0">
                <a:pos x="connsiteX0" y="connsiteY0"/>
              </a:cxn>
              <a:cxn ang="0">
                <a:pos x="connsiteX1" y="connsiteY1"/>
              </a:cxn>
              <a:cxn ang="0">
                <a:pos x="connsiteX2" y="connsiteY2"/>
              </a:cxn>
              <a:cxn ang="0">
                <a:pos x="connsiteX3" y="connsiteY3"/>
              </a:cxn>
            </a:cxnLst>
            <a:rect l="l" t="t" r="r" b="b"/>
            <a:pathLst>
              <a:path w="24348" h="34088">
                <a:moveTo>
                  <a:pt x="3652" y="3652"/>
                </a:moveTo>
                <a:lnTo>
                  <a:pt x="24836" y="3652"/>
                </a:lnTo>
                <a:lnTo>
                  <a:pt x="24836" y="31167"/>
                </a:lnTo>
                <a:lnTo>
                  <a:pt x="3652" y="31167"/>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0" name="フリーフォーム: 図形 39">
            <a:extLst>
              <a:ext uri="{FF2B5EF4-FFF2-40B4-BE49-F238E27FC236}">
                <a16:creationId xmlns:a16="http://schemas.microsoft.com/office/drawing/2014/main" id="{CA21BAC8-8090-CBDF-1EA8-B6013BBBE8D1}"/>
              </a:ext>
            </a:extLst>
          </xdr:cNvPr>
          <xdr:cNvSpPr/>
        </xdr:nvSpPr>
        <xdr:spPr>
          <a:xfrm>
            <a:off x="129049" y="787544"/>
            <a:ext cx="24349" cy="34089"/>
          </a:xfrm>
          <a:custGeom>
            <a:avLst/>
            <a:gdLst>
              <a:gd name="connsiteX0" fmla="*/ 3652 w 24348"/>
              <a:gd name="connsiteY0" fmla="*/ 3652 h 34088"/>
              <a:gd name="connsiteX1" fmla="*/ 24836 w 24348"/>
              <a:gd name="connsiteY1" fmla="*/ 3652 h 34088"/>
              <a:gd name="connsiteX2" fmla="*/ 24836 w 24348"/>
              <a:gd name="connsiteY2" fmla="*/ 31167 h 34088"/>
              <a:gd name="connsiteX3" fmla="*/ 3652 w 24348"/>
              <a:gd name="connsiteY3" fmla="*/ 31167 h 34088"/>
            </a:gdLst>
            <a:ahLst/>
            <a:cxnLst>
              <a:cxn ang="0">
                <a:pos x="connsiteX0" y="connsiteY0"/>
              </a:cxn>
              <a:cxn ang="0">
                <a:pos x="connsiteX1" y="connsiteY1"/>
              </a:cxn>
              <a:cxn ang="0">
                <a:pos x="connsiteX2" y="connsiteY2"/>
              </a:cxn>
              <a:cxn ang="0">
                <a:pos x="connsiteX3" y="connsiteY3"/>
              </a:cxn>
            </a:cxnLst>
            <a:rect l="l" t="t" r="r" b="b"/>
            <a:pathLst>
              <a:path w="24348" h="34088">
                <a:moveTo>
                  <a:pt x="3652" y="3652"/>
                </a:moveTo>
                <a:lnTo>
                  <a:pt x="24836" y="3652"/>
                </a:lnTo>
                <a:lnTo>
                  <a:pt x="24836" y="31167"/>
                </a:lnTo>
                <a:lnTo>
                  <a:pt x="3652" y="31167"/>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1" name="フリーフォーム: 図形 40">
            <a:extLst>
              <a:ext uri="{FF2B5EF4-FFF2-40B4-BE49-F238E27FC236}">
                <a16:creationId xmlns:a16="http://schemas.microsoft.com/office/drawing/2014/main" id="{DCA52C7E-D8C6-B971-76BA-C1DB4DDD9537}"/>
              </a:ext>
            </a:extLst>
          </xdr:cNvPr>
          <xdr:cNvSpPr/>
        </xdr:nvSpPr>
        <xdr:spPr>
          <a:xfrm>
            <a:off x="30582" y="827525"/>
            <a:ext cx="150964" cy="19479"/>
          </a:xfrm>
          <a:custGeom>
            <a:avLst/>
            <a:gdLst>
              <a:gd name="connsiteX0" fmla="*/ 3652 w 150963"/>
              <a:gd name="connsiteY0" fmla="*/ 3652 h 19479"/>
              <a:gd name="connsiteX1" fmla="*/ 149503 w 150963"/>
              <a:gd name="connsiteY1" fmla="*/ 3652 h 19479"/>
              <a:gd name="connsiteX2" fmla="*/ 149503 w 150963"/>
              <a:gd name="connsiteY2" fmla="*/ 19577 h 19479"/>
              <a:gd name="connsiteX3" fmla="*/ 3652 w 150963"/>
              <a:gd name="connsiteY3" fmla="*/ 19577 h 19479"/>
            </a:gdLst>
            <a:ahLst/>
            <a:cxnLst>
              <a:cxn ang="0">
                <a:pos x="connsiteX0" y="connsiteY0"/>
              </a:cxn>
              <a:cxn ang="0">
                <a:pos x="connsiteX1" y="connsiteY1"/>
              </a:cxn>
              <a:cxn ang="0">
                <a:pos x="connsiteX2" y="connsiteY2"/>
              </a:cxn>
              <a:cxn ang="0">
                <a:pos x="connsiteX3" y="connsiteY3"/>
              </a:cxn>
            </a:cxnLst>
            <a:rect l="l" t="t" r="r" b="b"/>
            <a:pathLst>
              <a:path w="150963" h="19479">
                <a:moveTo>
                  <a:pt x="3652" y="3652"/>
                </a:moveTo>
                <a:lnTo>
                  <a:pt x="149503" y="3652"/>
                </a:lnTo>
                <a:lnTo>
                  <a:pt x="149503" y="19577"/>
                </a:lnTo>
                <a:lnTo>
                  <a:pt x="3652" y="19577"/>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2" name="フリーフォーム: 図形 41">
            <a:extLst>
              <a:ext uri="{FF2B5EF4-FFF2-40B4-BE49-F238E27FC236}">
                <a16:creationId xmlns:a16="http://schemas.microsoft.com/office/drawing/2014/main" id="{2EF812CF-E89C-6BE0-EC3F-3AEE7E20F229}"/>
              </a:ext>
            </a:extLst>
          </xdr:cNvPr>
          <xdr:cNvSpPr/>
        </xdr:nvSpPr>
        <xdr:spPr>
          <a:xfrm>
            <a:off x="0" y="0"/>
            <a:ext cx="1271017" cy="925262"/>
          </a:xfrm>
          <a:custGeom>
            <a:avLst/>
            <a:gdLst>
              <a:gd name="connsiteX0" fmla="*/ 1268923 w 1271016"/>
              <a:gd name="connsiteY0" fmla="*/ 671984 h 925261"/>
              <a:gd name="connsiteX1" fmla="*/ 1243746 w 1271016"/>
              <a:gd name="connsiteY1" fmla="*/ 660345 h 925261"/>
              <a:gd name="connsiteX2" fmla="*/ 1240288 w 1271016"/>
              <a:gd name="connsiteY2" fmla="*/ 658738 h 925261"/>
              <a:gd name="connsiteX3" fmla="*/ 1240288 w 1271016"/>
              <a:gd name="connsiteY3" fmla="*/ 539476 h 925261"/>
              <a:gd name="connsiteX4" fmla="*/ 1236880 w 1271016"/>
              <a:gd name="connsiteY4" fmla="*/ 535970 h 925261"/>
              <a:gd name="connsiteX5" fmla="*/ 893608 w 1271016"/>
              <a:gd name="connsiteY5" fmla="*/ 535970 h 925261"/>
              <a:gd name="connsiteX6" fmla="*/ 890247 w 1271016"/>
              <a:gd name="connsiteY6" fmla="*/ 539476 h 925261"/>
              <a:gd name="connsiteX7" fmla="*/ 890247 w 1271016"/>
              <a:gd name="connsiteY7" fmla="*/ 643349 h 925261"/>
              <a:gd name="connsiteX8" fmla="*/ 893608 w 1271016"/>
              <a:gd name="connsiteY8" fmla="*/ 644956 h 925261"/>
              <a:gd name="connsiteX9" fmla="*/ 895507 w 1271016"/>
              <a:gd name="connsiteY9" fmla="*/ 645881 h 925261"/>
              <a:gd name="connsiteX10" fmla="*/ 893656 w 1271016"/>
              <a:gd name="connsiteY10" fmla="*/ 645005 h 925261"/>
              <a:gd name="connsiteX11" fmla="*/ 890199 w 1271016"/>
              <a:gd name="connsiteY11" fmla="*/ 643398 h 925261"/>
              <a:gd name="connsiteX12" fmla="*/ 886741 w 1271016"/>
              <a:gd name="connsiteY12" fmla="*/ 641791 h 925261"/>
              <a:gd name="connsiteX13" fmla="*/ 867944 w 1271016"/>
              <a:gd name="connsiteY13" fmla="*/ 633123 h 925261"/>
              <a:gd name="connsiteX14" fmla="*/ 867652 w 1271016"/>
              <a:gd name="connsiteY14" fmla="*/ 480308 h 925261"/>
              <a:gd name="connsiteX15" fmla="*/ 845738 w 1271016"/>
              <a:gd name="connsiteY15" fmla="*/ 448362 h 925261"/>
              <a:gd name="connsiteX16" fmla="*/ 845494 w 1271016"/>
              <a:gd name="connsiteY16" fmla="*/ 433412 h 925261"/>
              <a:gd name="connsiteX17" fmla="*/ 807364 w 1271016"/>
              <a:gd name="connsiteY17" fmla="*/ 400103 h 925261"/>
              <a:gd name="connsiteX18" fmla="*/ 783648 w 1271016"/>
              <a:gd name="connsiteY18" fmla="*/ 444320 h 925261"/>
              <a:gd name="connsiteX19" fmla="*/ 783648 w 1271016"/>
              <a:gd name="connsiteY19" fmla="*/ 549703 h 925261"/>
              <a:gd name="connsiteX20" fmla="*/ 773908 w 1271016"/>
              <a:gd name="connsiteY20" fmla="*/ 549703 h 925261"/>
              <a:gd name="connsiteX21" fmla="*/ 770645 w 1271016"/>
              <a:gd name="connsiteY21" fmla="*/ 548534 h 925261"/>
              <a:gd name="connsiteX22" fmla="*/ 766896 w 1271016"/>
              <a:gd name="connsiteY22" fmla="*/ 524916 h 925261"/>
              <a:gd name="connsiteX23" fmla="*/ 766896 w 1271016"/>
              <a:gd name="connsiteY23" fmla="*/ 358076 h 925261"/>
              <a:gd name="connsiteX24" fmla="*/ 727840 w 1271016"/>
              <a:gd name="connsiteY24" fmla="*/ 310644 h 925261"/>
              <a:gd name="connsiteX25" fmla="*/ 686106 w 1271016"/>
              <a:gd name="connsiteY25" fmla="*/ 355349 h 925261"/>
              <a:gd name="connsiteX26" fmla="*/ 657033 w 1271016"/>
              <a:gd name="connsiteY26" fmla="*/ 394356 h 925261"/>
              <a:gd name="connsiteX27" fmla="*/ 656643 w 1271016"/>
              <a:gd name="connsiteY27" fmla="*/ 657666 h 925261"/>
              <a:gd name="connsiteX28" fmla="*/ 636093 w 1271016"/>
              <a:gd name="connsiteY28" fmla="*/ 667162 h 925261"/>
              <a:gd name="connsiteX29" fmla="*/ 635703 w 1271016"/>
              <a:gd name="connsiteY29" fmla="*/ 516832 h 925261"/>
              <a:gd name="connsiteX30" fmla="*/ 602929 w 1271016"/>
              <a:gd name="connsiteY30" fmla="*/ 477727 h 925261"/>
              <a:gd name="connsiteX31" fmla="*/ 602929 w 1271016"/>
              <a:gd name="connsiteY31" fmla="*/ 462874 h 925261"/>
              <a:gd name="connsiteX32" fmla="*/ 567721 w 1271016"/>
              <a:gd name="connsiteY32" fmla="*/ 434532 h 925261"/>
              <a:gd name="connsiteX33" fmla="*/ 530321 w 1271016"/>
              <a:gd name="connsiteY33" fmla="*/ 464628 h 925261"/>
              <a:gd name="connsiteX34" fmla="*/ 530321 w 1271016"/>
              <a:gd name="connsiteY34" fmla="*/ 648073 h 925261"/>
              <a:gd name="connsiteX35" fmla="*/ 530370 w 1271016"/>
              <a:gd name="connsiteY35" fmla="*/ 650313 h 925261"/>
              <a:gd name="connsiteX36" fmla="*/ 527545 w 1271016"/>
              <a:gd name="connsiteY36" fmla="*/ 663315 h 925261"/>
              <a:gd name="connsiteX37" fmla="*/ 520338 w 1271016"/>
              <a:gd name="connsiteY37" fmla="*/ 666529 h 925261"/>
              <a:gd name="connsiteX38" fmla="*/ 520338 w 1271016"/>
              <a:gd name="connsiteY38" fmla="*/ 577217 h 925261"/>
              <a:gd name="connsiteX39" fmla="*/ 520386 w 1271016"/>
              <a:gd name="connsiteY39" fmla="*/ 577071 h 925261"/>
              <a:gd name="connsiteX40" fmla="*/ 489658 w 1271016"/>
              <a:gd name="connsiteY40" fmla="*/ 530565 h 925261"/>
              <a:gd name="connsiteX41" fmla="*/ 465553 w 1271016"/>
              <a:gd name="connsiteY41" fmla="*/ 530565 h 925261"/>
              <a:gd name="connsiteX42" fmla="*/ 465553 w 1271016"/>
              <a:gd name="connsiteY42" fmla="*/ 184711 h 925261"/>
              <a:gd name="connsiteX43" fmla="*/ 460391 w 1271016"/>
              <a:gd name="connsiteY43" fmla="*/ 179549 h 925261"/>
              <a:gd name="connsiteX44" fmla="*/ 427617 w 1271016"/>
              <a:gd name="connsiteY44" fmla="*/ 179549 h 925261"/>
              <a:gd name="connsiteX45" fmla="*/ 427617 w 1271016"/>
              <a:gd name="connsiteY45" fmla="*/ 113856 h 925261"/>
              <a:gd name="connsiteX46" fmla="*/ 427617 w 1271016"/>
              <a:gd name="connsiteY46" fmla="*/ 8814 h 925261"/>
              <a:gd name="connsiteX47" fmla="*/ 422455 w 1271016"/>
              <a:gd name="connsiteY47" fmla="*/ 3652 h 925261"/>
              <a:gd name="connsiteX48" fmla="*/ 363482 w 1271016"/>
              <a:gd name="connsiteY48" fmla="*/ 3652 h 925261"/>
              <a:gd name="connsiteX49" fmla="*/ 358320 w 1271016"/>
              <a:gd name="connsiteY49" fmla="*/ 8814 h 925261"/>
              <a:gd name="connsiteX50" fmla="*/ 358320 w 1271016"/>
              <a:gd name="connsiteY50" fmla="*/ 113856 h 925261"/>
              <a:gd name="connsiteX51" fmla="*/ 358320 w 1271016"/>
              <a:gd name="connsiteY51" fmla="*/ 179501 h 925261"/>
              <a:gd name="connsiteX52" fmla="*/ 324377 w 1271016"/>
              <a:gd name="connsiteY52" fmla="*/ 179501 h 925261"/>
              <a:gd name="connsiteX53" fmla="*/ 319215 w 1271016"/>
              <a:gd name="connsiteY53" fmla="*/ 184663 h 925261"/>
              <a:gd name="connsiteX54" fmla="*/ 319215 w 1271016"/>
              <a:gd name="connsiteY54" fmla="*/ 530516 h 925261"/>
              <a:gd name="connsiteX55" fmla="*/ 283958 w 1271016"/>
              <a:gd name="connsiteY55" fmla="*/ 530516 h 925261"/>
              <a:gd name="connsiteX56" fmla="*/ 283958 w 1271016"/>
              <a:gd name="connsiteY56" fmla="*/ 506264 h 925261"/>
              <a:gd name="connsiteX57" fmla="*/ 278796 w 1271016"/>
              <a:gd name="connsiteY57" fmla="*/ 501102 h 925261"/>
              <a:gd name="connsiteX58" fmla="*/ 250892 w 1271016"/>
              <a:gd name="connsiteY58" fmla="*/ 501102 h 925261"/>
              <a:gd name="connsiteX59" fmla="*/ 245730 w 1271016"/>
              <a:gd name="connsiteY59" fmla="*/ 506264 h 925261"/>
              <a:gd name="connsiteX60" fmla="*/ 245730 w 1271016"/>
              <a:gd name="connsiteY60" fmla="*/ 530516 h 925261"/>
              <a:gd name="connsiteX61" fmla="*/ 182812 w 1271016"/>
              <a:gd name="connsiteY61" fmla="*/ 530516 h 925261"/>
              <a:gd name="connsiteX62" fmla="*/ 152084 w 1271016"/>
              <a:gd name="connsiteY62" fmla="*/ 576730 h 925261"/>
              <a:gd name="connsiteX63" fmla="*/ 152035 w 1271016"/>
              <a:gd name="connsiteY63" fmla="*/ 576876 h 925261"/>
              <a:gd name="connsiteX64" fmla="*/ 149746 w 1271016"/>
              <a:gd name="connsiteY64" fmla="*/ 701008 h 925261"/>
              <a:gd name="connsiteX65" fmla="*/ 110301 w 1271016"/>
              <a:gd name="connsiteY65" fmla="*/ 701008 h 925261"/>
              <a:gd name="connsiteX66" fmla="*/ 107866 w 1271016"/>
              <a:gd name="connsiteY66" fmla="*/ 700375 h 925261"/>
              <a:gd name="connsiteX67" fmla="*/ 104165 w 1271016"/>
              <a:gd name="connsiteY67" fmla="*/ 702128 h 925261"/>
              <a:gd name="connsiteX68" fmla="*/ 4967 w 1271016"/>
              <a:gd name="connsiteY68" fmla="*/ 814036 h 925261"/>
              <a:gd name="connsiteX69" fmla="*/ 3652 w 1271016"/>
              <a:gd name="connsiteY69" fmla="*/ 817493 h 925261"/>
              <a:gd name="connsiteX70" fmla="*/ 3652 w 1271016"/>
              <a:gd name="connsiteY70" fmla="*/ 916009 h 925261"/>
              <a:gd name="connsiteX71" fmla="*/ 8814 w 1271016"/>
              <a:gd name="connsiteY71" fmla="*/ 921171 h 925261"/>
              <a:gd name="connsiteX72" fmla="*/ 204872 w 1271016"/>
              <a:gd name="connsiteY72" fmla="*/ 921171 h 925261"/>
              <a:gd name="connsiteX73" fmla="*/ 207259 w 1271016"/>
              <a:gd name="connsiteY73" fmla="*/ 921804 h 925261"/>
              <a:gd name="connsiteX74" fmla="*/ 622409 w 1271016"/>
              <a:gd name="connsiteY74" fmla="*/ 921804 h 925261"/>
              <a:gd name="connsiteX75" fmla="*/ 940942 w 1271016"/>
              <a:gd name="connsiteY75" fmla="*/ 921804 h 925261"/>
              <a:gd name="connsiteX76" fmla="*/ 949902 w 1271016"/>
              <a:gd name="connsiteY76" fmla="*/ 921804 h 925261"/>
              <a:gd name="connsiteX77" fmla="*/ 953701 w 1271016"/>
              <a:gd name="connsiteY77" fmla="*/ 921804 h 925261"/>
              <a:gd name="connsiteX78" fmla="*/ 1213845 w 1271016"/>
              <a:gd name="connsiteY78" fmla="*/ 921804 h 925261"/>
              <a:gd name="connsiteX79" fmla="*/ 1266731 w 1271016"/>
              <a:gd name="connsiteY79" fmla="*/ 921804 h 925261"/>
              <a:gd name="connsiteX80" fmla="*/ 1271893 w 1271016"/>
              <a:gd name="connsiteY80" fmla="*/ 916642 h 925261"/>
              <a:gd name="connsiteX81" fmla="*/ 1271893 w 1271016"/>
              <a:gd name="connsiteY81" fmla="*/ 676659 h 925261"/>
              <a:gd name="connsiteX82" fmla="*/ 1268923 w 1271016"/>
              <a:gd name="connsiteY82" fmla="*/ 671984 h 925261"/>
              <a:gd name="connsiteX83" fmla="*/ 797527 w 1271016"/>
              <a:gd name="connsiteY83" fmla="*/ 444369 h 925261"/>
              <a:gd name="connsiteX84" fmla="*/ 807997 w 1271016"/>
              <a:gd name="connsiteY84" fmla="*/ 413933 h 925261"/>
              <a:gd name="connsiteX85" fmla="*/ 831761 w 1271016"/>
              <a:gd name="connsiteY85" fmla="*/ 434289 h 925261"/>
              <a:gd name="connsiteX86" fmla="*/ 831956 w 1271016"/>
              <a:gd name="connsiteY86" fmla="*/ 448265 h 925261"/>
              <a:gd name="connsiteX87" fmla="*/ 809555 w 1271016"/>
              <a:gd name="connsiteY87" fmla="*/ 480357 h 925261"/>
              <a:gd name="connsiteX88" fmla="*/ 809409 w 1271016"/>
              <a:gd name="connsiteY88" fmla="*/ 549703 h 925261"/>
              <a:gd name="connsiteX89" fmla="*/ 797478 w 1271016"/>
              <a:gd name="connsiteY89" fmla="*/ 549703 h 925261"/>
              <a:gd name="connsiteX90" fmla="*/ 797478 w 1271016"/>
              <a:gd name="connsiteY90" fmla="*/ 444369 h 925261"/>
              <a:gd name="connsiteX91" fmla="*/ 797527 w 1271016"/>
              <a:gd name="connsiteY91" fmla="*/ 563533 h 925261"/>
              <a:gd name="connsiteX92" fmla="*/ 809409 w 1271016"/>
              <a:gd name="connsiteY92" fmla="*/ 563533 h 925261"/>
              <a:gd name="connsiteX93" fmla="*/ 809311 w 1271016"/>
              <a:gd name="connsiteY93" fmla="*/ 606144 h 925261"/>
              <a:gd name="connsiteX94" fmla="*/ 797527 w 1271016"/>
              <a:gd name="connsiteY94" fmla="*/ 600690 h 925261"/>
              <a:gd name="connsiteX95" fmla="*/ 797527 w 1271016"/>
              <a:gd name="connsiteY95" fmla="*/ 563533 h 925261"/>
              <a:gd name="connsiteX96" fmla="*/ 727888 w 1271016"/>
              <a:gd name="connsiteY96" fmla="*/ 324523 h 925261"/>
              <a:gd name="connsiteX97" fmla="*/ 753163 w 1271016"/>
              <a:gd name="connsiteY97" fmla="*/ 358125 h 925261"/>
              <a:gd name="connsiteX98" fmla="*/ 753163 w 1271016"/>
              <a:gd name="connsiteY98" fmla="*/ 522189 h 925261"/>
              <a:gd name="connsiteX99" fmla="*/ 753163 w 1271016"/>
              <a:gd name="connsiteY99" fmla="*/ 524867 h 925261"/>
              <a:gd name="connsiteX100" fmla="*/ 760906 w 1271016"/>
              <a:gd name="connsiteY100" fmla="*/ 558274 h 925261"/>
              <a:gd name="connsiteX101" fmla="*/ 773957 w 1271016"/>
              <a:gd name="connsiteY101" fmla="*/ 563484 h 925261"/>
              <a:gd name="connsiteX102" fmla="*/ 783696 w 1271016"/>
              <a:gd name="connsiteY102" fmla="*/ 563484 h 925261"/>
              <a:gd name="connsiteX103" fmla="*/ 783696 w 1271016"/>
              <a:gd name="connsiteY103" fmla="*/ 599083 h 925261"/>
              <a:gd name="connsiteX104" fmla="*/ 729106 w 1271016"/>
              <a:gd name="connsiteY104" fmla="*/ 624260 h 925261"/>
              <a:gd name="connsiteX105" fmla="*/ 728765 w 1271016"/>
              <a:gd name="connsiteY105" fmla="*/ 394356 h 925261"/>
              <a:gd name="connsiteX106" fmla="*/ 699985 w 1271016"/>
              <a:gd name="connsiteY106" fmla="*/ 355398 h 925261"/>
              <a:gd name="connsiteX107" fmla="*/ 727888 w 1271016"/>
              <a:gd name="connsiteY107" fmla="*/ 324523 h 925261"/>
              <a:gd name="connsiteX108" fmla="*/ 520435 w 1271016"/>
              <a:gd name="connsiteY108" fmla="*/ 680408 h 925261"/>
              <a:gd name="connsiteX109" fmla="*/ 537528 w 1271016"/>
              <a:gd name="connsiteY109" fmla="*/ 672909 h 925261"/>
              <a:gd name="connsiteX110" fmla="*/ 544248 w 1271016"/>
              <a:gd name="connsiteY110" fmla="*/ 649923 h 925261"/>
              <a:gd name="connsiteX111" fmla="*/ 544200 w 1271016"/>
              <a:gd name="connsiteY111" fmla="*/ 648024 h 925261"/>
              <a:gd name="connsiteX112" fmla="*/ 544200 w 1271016"/>
              <a:gd name="connsiteY112" fmla="*/ 464579 h 925261"/>
              <a:gd name="connsiteX113" fmla="*/ 567770 w 1271016"/>
              <a:gd name="connsiteY113" fmla="*/ 448314 h 925261"/>
              <a:gd name="connsiteX114" fmla="*/ 589148 w 1271016"/>
              <a:gd name="connsiteY114" fmla="*/ 462874 h 925261"/>
              <a:gd name="connsiteX115" fmla="*/ 589148 w 1271016"/>
              <a:gd name="connsiteY115" fmla="*/ 477776 h 925261"/>
              <a:gd name="connsiteX116" fmla="*/ 556326 w 1271016"/>
              <a:gd name="connsiteY116" fmla="*/ 516880 h 925261"/>
              <a:gd name="connsiteX117" fmla="*/ 555839 w 1271016"/>
              <a:gd name="connsiteY117" fmla="*/ 700813 h 925261"/>
              <a:gd name="connsiteX118" fmla="*/ 520386 w 1271016"/>
              <a:gd name="connsiteY118" fmla="*/ 700813 h 925261"/>
              <a:gd name="connsiteX119" fmla="*/ 520386 w 1271016"/>
              <a:gd name="connsiteY119" fmla="*/ 680408 h 925261"/>
              <a:gd name="connsiteX120" fmla="*/ 427666 w 1271016"/>
              <a:gd name="connsiteY120" fmla="*/ 189873 h 925261"/>
              <a:gd name="connsiteX121" fmla="*/ 450602 w 1271016"/>
              <a:gd name="connsiteY121" fmla="*/ 189873 h 925261"/>
              <a:gd name="connsiteX122" fmla="*/ 427666 w 1271016"/>
              <a:gd name="connsiteY122" fmla="*/ 217631 h 925261"/>
              <a:gd name="connsiteX123" fmla="*/ 427666 w 1271016"/>
              <a:gd name="connsiteY123" fmla="*/ 189873 h 925261"/>
              <a:gd name="connsiteX124" fmla="*/ 427666 w 1271016"/>
              <a:gd name="connsiteY124" fmla="*/ 233896 h 925261"/>
              <a:gd name="connsiteX125" fmla="*/ 455277 w 1271016"/>
              <a:gd name="connsiteY125" fmla="*/ 200490 h 925261"/>
              <a:gd name="connsiteX126" fmla="*/ 455277 w 1271016"/>
              <a:gd name="connsiteY126" fmla="*/ 335042 h 925261"/>
              <a:gd name="connsiteX127" fmla="*/ 427666 w 1271016"/>
              <a:gd name="connsiteY127" fmla="*/ 301635 h 925261"/>
              <a:gd name="connsiteX128" fmla="*/ 427666 w 1271016"/>
              <a:gd name="connsiteY128" fmla="*/ 233896 h 925261"/>
              <a:gd name="connsiteX129" fmla="*/ 427666 w 1271016"/>
              <a:gd name="connsiteY129" fmla="*/ 323939 h 925261"/>
              <a:gd name="connsiteX130" fmla="*/ 427666 w 1271016"/>
              <a:gd name="connsiteY130" fmla="*/ 317852 h 925261"/>
              <a:gd name="connsiteX131" fmla="*/ 454888 w 1271016"/>
              <a:gd name="connsiteY131" fmla="*/ 350772 h 925261"/>
              <a:gd name="connsiteX132" fmla="*/ 427666 w 1271016"/>
              <a:gd name="connsiteY132" fmla="*/ 383691 h 925261"/>
              <a:gd name="connsiteX133" fmla="*/ 427666 w 1271016"/>
              <a:gd name="connsiteY133" fmla="*/ 323939 h 925261"/>
              <a:gd name="connsiteX134" fmla="*/ 427666 w 1271016"/>
              <a:gd name="connsiteY134" fmla="*/ 428932 h 925261"/>
              <a:gd name="connsiteX135" fmla="*/ 427666 w 1271016"/>
              <a:gd name="connsiteY135" fmla="*/ 399957 h 925261"/>
              <a:gd name="connsiteX136" fmla="*/ 455277 w 1271016"/>
              <a:gd name="connsiteY136" fmla="*/ 366550 h 925261"/>
              <a:gd name="connsiteX137" fmla="*/ 455277 w 1271016"/>
              <a:gd name="connsiteY137" fmla="*/ 501102 h 925261"/>
              <a:gd name="connsiteX138" fmla="*/ 427666 w 1271016"/>
              <a:gd name="connsiteY138" fmla="*/ 467696 h 925261"/>
              <a:gd name="connsiteX139" fmla="*/ 427666 w 1271016"/>
              <a:gd name="connsiteY139" fmla="*/ 428932 h 925261"/>
              <a:gd name="connsiteX140" fmla="*/ 427666 w 1271016"/>
              <a:gd name="connsiteY140" fmla="*/ 483961 h 925261"/>
              <a:gd name="connsiteX141" fmla="*/ 455277 w 1271016"/>
              <a:gd name="connsiteY141" fmla="*/ 517367 h 925261"/>
              <a:gd name="connsiteX142" fmla="*/ 455277 w 1271016"/>
              <a:gd name="connsiteY142" fmla="*/ 528811 h 925261"/>
              <a:gd name="connsiteX143" fmla="*/ 429419 w 1271016"/>
              <a:gd name="connsiteY143" fmla="*/ 528811 h 925261"/>
              <a:gd name="connsiteX144" fmla="*/ 429419 w 1271016"/>
              <a:gd name="connsiteY144" fmla="*/ 506264 h 925261"/>
              <a:gd name="connsiteX145" fmla="*/ 427714 w 1271016"/>
              <a:gd name="connsiteY145" fmla="*/ 502466 h 925261"/>
              <a:gd name="connsiteX146" fmla="*/ 427714 w 1271016"/>
              <a:gd name="connsiteY146" fmla="*/ 483961 h 925261"/>
              <a:gd name="connsiteX147" fmla="*/ 419046 w 1271016"/>
              <a:gd name="connsiteY147" fmla="*/ 511426 h 925261"/>
              <a:gd name="connsiteX148" fmla="*/ 419046 w 1271016"/>
              <a:gd name="connsiteY148" fmla="*/ 528763 h 925261"/>
              <a:gd name="connsiteX149" fmla="*/ 417342 w 1271016"/>
              <a:gd name="connsiteY149" fmla="*/ 528763 h 925261"/>
              <a:gd name="connsiteX150" fmla="*/ 401466 w 1271016"/>
              <a:gd name="connsiteY150" fmla="*/ 528763 h 925261"/>
              <a:gd name="connsiteX151" fmla="*/ 401466 w 1271016"/>
              <a:gd name="connsiteY151" fmla="*/ 511426 h 925261"/>
              <a:gd name="connsiteX152" fmla="*/ 417342 w 1271016"/>
              <a:gd name="connsiteY152" fmla="*/ 511426 h 925261"/>
              <a:gd name="connsiteX153" fmla="*/ 419046 w 1271016"/>
              <a:gd name="connsiteY153" fmla="*/ 511426 h 925261"/>
              <a:gd name="connsiteX154" fmla="*/ 417342 w 1271016"/>
              <a:gd name="connsiteY154" fmla="*/ 455131 h 925261"/>
              <a:gd name="connsiteX155" fmla="*/ 399956 w 1271016"/>
              <a:gd name="connsiteY155" fmla="*/ 434094 h 925261"/>
              <a:gd name="connsiteX156" fmla="*/ 417342 w 1271016"/>
              <a:gd name="connsiteY156" fmla="*/ 434094 h 925261"/>
              <a:gd name="connsiteX157" fmla="*/ 417342 w 1271016"/>
              <a:gd name="connsiteY157" fmla="*/ 455131 h 925261"/>
              <a:gd name="connsiteX158" fmla="*/ 417342 w 1271016"/>
              <a:gd name="connsiteY158" fmla="*/ 289071 h 925261"/>
              <a:gd name="connsiteX159" fmla="*/ 399713 w 1271016"/>
              <a:gd name="connsiteY159" fmla="*/ 267742 h 925261"/>
              <a:gd name="connsiteX160" fmla="*/ 417342 w 1271016"/>
              <a:gd name="connsiteY160" fmla="*/ 246412 h 925261"/>
              <a:gd name="connsiteX161" fmla="*/ 417342 w 1271016"/>
              <a:gd name="connsiteY161" fmla="*/ 289071 h 925261"/>
              <a:gd name="connsiteX162" fmla="*/ 368692 w 1271016"/>
              <a:gd name="connsiteY162" fmla="*/ 14025 h 925261"/>
              <a:gd name="connsiteX163" fmla="*/ 417342 w 1271016"/>
              <a:gd name="connsiteY163" fmla="*/ 14025 h 925261"/>
              <a:gd name="connsiteX164" fmla="*/ 417342 w 1271016"/>
              <a:gd name="connsiteY164" fmla="*/ 108694 h 925261"/>
              <a:gd name="connsiteX165" fmla="*/ 368692 w 1271016"/>
              <a:gd name="connsiteY165" fmla="*/ 108694 h 925261"/>
              <a:gd name="connsiteX166" fmla="*/ 368692 w 1271016"/>
              <a:gd name="connsiteY166" fmla="*/ 14025 h 925261"/>
              <a:gd name="connsiteX167" fmla="*/ 368692 w 1271016"/>
              <a:gd name="connsiteY167" fmla="*/ 224059 h 925261"/>
              <a:gd name="connsiteX168" fmla="*/ 417342 w 1271016"/>
              <a:gd name="connsiteY168" fmla="*/ 224059 h 925261"/>
              <a:gd name="connsiteX169" fmla="*/ 417342 w 1271016"/>
              <a:gd name="connsiteY169" fmla="*/ 230147 h 925261"/>
              <a:gd name="connsiteX170" fmla="*/ 392993 w 1271016"/>
              <a:gd name="connsiteY170" fmla="*/ 259609 h 925261"/>
              <a:gd name="connsiteX171" fmla="*/ 368692 w 1271016"/>
              <a:gd name="connsiteY171" fmla="*/ 230147 h 925261"/>
              <a:gd name="connsiteX172" fmla="*/ 368692 w 1271016"/>
              <a:gd name="connsiteY172" fmla="*/ 224059 h 925261"/>
              <a:gd name="connsiteX173" fmla="*/ 368692 w 1271016"/>
              <a:gd name="connsiteY173" fmla="*/ 246412 h 925261"/>
              <a:gd name="connsiteX174" fmla="*/ 386321 w 1271016"/>
              <a:gd name="connsiteY174" fmla="*/ 267742 h 925261"/>
              <a:gd name="connsiteX175" fmla="*/ 368692 w 1271016"/>
              <a:gd name="connsiteY175" fmla="*/ 289071 h 925261"/>
              <a:gd name="connsiteX176" fmla="*/ 368692 w 1271016"/>
              <a:gd name="connsiteY176" fmla="*/ 246412 h 925261"/>
              <a:gd name="connsiteX177" fmla="*/ 368692 w 1271016"/>
              <a:gd name="connsiteY177" fmla="*/ 305288 h 925261"/>
              <a:gd name="connsiteX178" fmla="*/ 392993 w 1271016"/>
              <a:gd name="connsiteY178" fmla="*/ 275825 h 925261"/>
              <a:gd name="connsiteX179" fmla="*/ 417342 w 1271016"/>
              <a:gd name="connsiteY179" fmla="*/ 305288 h 925261"/>
              <a:gd name="connsiteX180" fmla="*/ 417342 w 1271016"/>
              <a:gd name="connsiteY180" fmla="*/ 318728 h 925261"/>
              <a:gd name="connsiteX181" fmla="*/ 368692 w 1271016"/>
              <a:gd name="connsiteY181" fmla="*/ 318728 h 925261"/>
              <a:gd name="connsiteX182" fmla="*/ 368692 w 1271016"/>
              <a:gd name="connsiteY182" fmla="*/ 305288 h 925261"/>
              <a:gd name="connsiteX183" fmla="*/ 368692 w 1271016"/>
              <a:gd name="connsiteY183" fmla="*/ 434143 h 925261"/>
              <a:gd name="connsiteX184" fmla="*/ 386077 w 1271016"/>
              <a:gd name="connsiteY184" fmla="*/ 434143 h 925261"/>
              <a:gd name="connsiteX185" fmla="*/ 368692 w 1271016"/>
              <a:gd name="connsiteY185" fmla="*/ 455180 h 925261"/>
              <a:gd name="connsiteX186" fmla="*/ 368692 w 1271016"/>
              <a:gd name="connsiteY186" fmla="*/ 434143 h 925261"/>
              <a:gd name="connsiteX187" fmla="*/ 368692 w 1271016"/>
              <a:gd name="connsiteY187" fmla="*/ 471397 h 925261"/>
              <a:gd name="connsiteX188" fmla="*/ 392993 w 1271016"/>
              <a:gd name="connsiteY188" fmla="*/ 441934 h 925261"/>
              <a:gd name="connsiteX189" fmla="*/ 417342 w 1271016"/>
              <a:gd name="connsiteY189" fmla="*/ 471397 h 925261"/>
              <a:gd name="connsiteX190" fmla="*/ 417342 w 1271016"/>
              <a:gd name="connsiteY190" fmla="*/ 501102 h 925261"/>
              <a:gd name="connsiteX191" fmla="*/ 396304 w 1271016"/>
              <a:gd name="connsiteY191" fmla="*/ 501102 h 925261"/>
              <a:gd name="connsiteX192" fmla="*/ 391142 w 1271016"/>
              <a:gd name="connsiteY192" fmla="*/ 506264 h 925261"/>
              <a:gd name="connsiteX193" fmla="*/ 391142 w 1271016"/>
              <a:gd name="connsiteY193" fmla="*/ 528811 h 925261"/>
              <a:gd name="connsiteX194" fmla="*/ 368692 w 1271016"/>
              <a:gd name="connsiteY194" fmla="*/ 528811 h 925261"/>
              <a:gd name="connsiteX195" fmla="*/ 368692 w 1271016"/>
              <a:gd name="connsiteY195" fmla="*/ 471397 h 925261"/>
              <a:gd name="connsiteX196" fmla="*/ 396304 w 1271016"/>
              <a:gd name="connsiteY196" fmla="*/ 540889 h 925261"/>
              <a:gd name="connsiteX197" fmla="*/ 424208 w 1271016"/>
              <a:gd name="connsiteY197" fmla="*/ 540889 h 925261"/>
              <a:gd name="connsiteX198" fmla="*/ 489707 w 1271016"/>
              <a:gd name="connsiteY198" fmla="*/ 540889 h 925261"/>
              <a:gd name="connsiteX199" fmla="*/ 509868 w 1271016"/>
              <a:gd name="connsiteY199" fmla="*/ 571861 h 925261"/>
              <a:gd name="connsiteX200" fmla="*/ 374828 w 1271016"/>
              <a:gd name="connsiteY200" fmla="*/ 571861 h 925261"/>
              <a:gd name="connsiteX201" fmla="*/ 363822 w 1271016"/>
              <a:gd name="connsiteY201" fmla="*/ 540889 h 925261"/>
              <a:gd name="connsiteX202" fmla="*/ 396304 w 1271016"/>
              <a:gd name="connsiteY202" fmla="*/ 540889 h 925261"/>
              <a:gd name="connsiteX203" fmla="*/ 510062 w 1271016"/>
              <a:gd name="connsiteY203" fmla="*/ 582185 h 925261"/>
              <a:gd name="connsiteX204" fmla="*/ 510062 w 1271016"/>
              <a:gd name="connsiteY204" fmla="*/ 700813 h 925261"/>
              <a:gd name="connsiteX205" fmla="*/ 372637 w 1271016"/>
              <a:gd name="connsiteY205" fmla="*/ 700910 h 925261"/>
              <a:gd name="connsiteX206" fmla="*/ 374877 w 1271016"/>
              <a:gd name="connsiteY206" fmla="*/ 582185 h 925261"/>
              <a:gd name="connsiteX207" fmla="*/ 510062 w 1271016"/>
              <a:gd name="connsiteY207" fmla="*/ 582185 h 925261"/>
              <a:gd name="connsiteX208" fmla="*/ 358320 w 1271016"/>
              <a:gd name="connsiteY208" fmla="*/ 189873 h 925261"/>
              <a:gd name="connsiteX209" fmla="*/ 358320 w 1271016"/>
              <a:gd name="connsiteY209" fmla="*/ 217631 h 925261"/>
              <a:gd name="connsiteX210" fmla="*/ 335383 w 1271016"/>
              <a:gd name="connsiteY210" fmla="*/ 189873 h 925261"/>
              <a:gd name="connsiteX211" fmla="*/ 358320 w 1271016"/>
              <a:gd name="connsiteY211" fmla="*/ 189873 h 925261"/>
              <a:gd name="connsiteX212" fmla="*/ 329588 w 1271016"/>
              <a:gd name="connsiteY212" fmla="*/ 199077 h 925261"/>
              <a:gd name="connsiteX213" fmla="*/ 358320 w 1271016"/>
              <a:gd name="connsiteY213" fmla="*/ 233896 h 925261"/>
              <a:gd name="connsiteX214" fmla="*/ 358320 w 1271016"/>
              <a:gd name="connsiteY214" fmla="*/ 301587 h 925261"/>
              <a:gd name="connsiteX215" fmla="*/ 329588 w 1271016"/>
              <a:gd name="connsiteY215" fmla="*/ 336406 h 925261"/>
              <a:gd name="connsiteX216" fmla="*/ 329588 w 1271016"/>
              <a:gd name="connsiteY216" fmla="*/ 199077 h 925261"/>
              <a:gd name="connsiteX217" fmla="*/ 358320 w 1271016"/>
              <a:gd name="connsiteY217" fmla="*/ 317852 h 925261"/>
              <a:gd name="connsiteX218" fmla="*/ 358320 w 1271016"/>
              <a:gd name="connsiteY218" fmla="*/ 323939 h 925261"/>
              <a:gd name="connsiteX219" fmla="*/ 358320 w 1271016"/>
              <a:gd name="connsiteY219" fmla="*/ 383740 h 925261"/>
              <a:gd name="connsiteX220" fmla="*/ 331097 w 1271016"/>
              <a:gd name="connsiteY220" fmla="*/ 350820 h 925261"/>
              <a:gd name="connsiteX221" fmla="*/ 358320 w 1271016"/>
              <a:gd name="connsiteY221" fmla="*/ 317852 h 925261"/>
              <a:gd name="connsiteX222" fmla="*/ 329588 w 1271016"/>
              <a:gd name="connsiteY222" fmla="*/ 365186 h 925261"/>
              <a:gd name="connsiteX223" fmla="*/ 358320 w 1271016"/>
              <a:gd name="connsiteY223" fmla="*/ 400005 h 925261"/>
              <a:gd name="connsiteX224" fmla="*/ 358320 w 1271016"/>
              <a:gd name="connsiteY224" fmla="*/ 428981 h 925261"/>
              <a:gd name="connsiteX225" fmla="*/ 358320 w 1271016"/>
              <a:gd name="connsiteY225" fmla="*/ 467696 h 925261"/>
              <a:gd name="connsiteX226" fmla="*/ 329588 w 1271016"/>
              <a:gd name="connsiteY226" fmla="*/ 502515 h 925261"/>
              <a:gd name="connsiteX227" fmla="*/ 329588 w 1271016"/>
              <a:gd name="connsiteY227" fmla="*/ 365186 h 925261"/>
              <a:gd name="connsiteX228" fmla="*/ 329588 w 1271016"/>
              <a:gd name="connsiteY228" fmla="*/ 518731 h 925261"/>
              <a:gd name="connsiteX229" fmla="*/ 358320 w 1271016"/>
              <a:gd name="connsiteY229" fmla="*/ 483912 h 925261"/>
              <a:gd name="connsiteX230" fmla="*/ 358320 w 1271016"/>
              <a:gd name="connsiteY230" fmla="*/ 528763 h 925261"/>
              <a:gd name="connsiteX231" fmla="*/ 329588 w 1271016"/>
              <a:gd name="connsiteY231" fmla="*/ 528763 h 925261"/>
              <a:gd name="connsiteX232" fmla="*/ 329588 w 1271016"/>
              <a:gd name="connsiteY232" fmla="*/ 518731 h 925261"/>
              <a:gd name="connsiteX233" fmla="*/ 256054 w 1271016"/>
              <a:gd name="connsiteY233" fmla="*/ 511426 h 925261"/>
              <a:gd name="connsiteX234" fmla="*/ 273634 w 1271016"/>
              <a:gd name="connsiteY234" fmla="*/ 511426 h 925261"/>
              <a:gd name="connsiteX235" fmla="*/ 273634 w 1271016"/>
              <a:gd name="connsiteY235" fmla="*/ 530516 h 925261"/>
              <a:gd name="connsiteX236" fmla="*/ 256054 w 1271016"/>
              <a:gd name="connsiteY236" fmla="*/ 530516 h 925261"/>
              <a:gd name="connsiteX237" fmla="*/ 256054 w 1271016"/>
              <a:gd name="connsiteY237" fmla="*/ 511426 h 925261"/>
              <a:gd name="connsiteX238" fmla="*/ 182812 w 1271016"/>
              <a:gd name="connsiteY238" fmla="*/ 540889 h 925261"/>
              <a:gd name="connsiteX239" fmla="*/ 250843 w 1271016"/>
              <a:gd name="connsiteY239" fmla="*/ 540889 h 925261"/>
              <a:gd name="connsiteX240" fmla="*/ 278747 w 1271016"/>
              <a:gd name="connsiteY240" fmla="*/ 540889 h 925261"/>
              <a:gd name="connsiteX241" fmla="*/ 308648 w 1271016"/>
              <a:gd name="connsiteY241" fmla="*/ 540889 h 925261"/>
              <a:gd name="connsiteX242" fmla="*/ 328176 w 1271016"/>
              <a:gd name="connsiteY242" fmla="*/ 540889 h 925261"/>
              <a:gd name="connsiteX243" fmla="*/ 344246 w 1271016"/>
              <a:gd name="connsiteY243" fmla="*/ 540889 h 925261"/>
              <a:gd name="connsiteX244" fmla="*/ 364407 w 1271016"/>
              <a:gd name="connsiteY244" fmla="*/ 571861 h 925261"/>
              <a:gd name="connsiteX245" fmla="*/ 308063 w 1271016"/>
              <a:gd name="connsiteY245" fmla="*/ 571861 h 925261"/>
              <a:gd name="connsiteX246" fmla="*/ 302658 w 1271016"/>
              <a:gd name="connsiteY246" fmla="*/ 571861 h 925261"/>
              <a:gd name="connsiteX247" fmla="*/ 297691 w 1271016"/>
              <a:gd name="connsiteY247" fmla="*/ 571861 h 925261"/>
              <a:gd name="connsiteX248" fmla="*/ 162700 w 1271016"/>
              <a:gd name="connsiteY248" fmla="*/ 571861 h 925261"/>
              <a:gd name="connsiteX249" fmla="*/ 182812 w 1271016"/>
              <a:gd name="connsiteY249" fmla="*/ 540889 h 925261"/>
              <a:gd name="connsiteX250" fmla="*/ 202097 w 1271016"/>
              <a:gd name="connsiteY250" fmla="*/ 910799 h 925261"/>
              <a:gd name="connsiteX251" fmla="*/ 153837 w 1271016"/>
              <a:gd name="connsiteY251" fmla="*/ 910799 h 925261"/>
              <a:gd name="connsiteX252" fmla="*/ 153837 w 1271016"/>
              <a:gd name="connsiteY252" fmla="*/ 864974 h 925261"/>
              <a:gd name="connsiteX253" fmla="*/ 148431 w 1271016"/>
              <a:gd name="connsiteY253" fmla="*/ 859568 h 925261"/>
              <a:gd name="connsiteX254" fmla="*/ 61067 w 1271016"/>
              <a:gd name="connsiteY254" fmla="*/ 859568 h 925261"/>
              <a:gd name="connsiteX255" fmla="*/ 55662 w 1271016"/>
              <a:gd name="connsiteY255" fmla="*/ 864974 h 925261"/>
              <a:gd name="connsiteX256" fmla="*/ 55662 w 1271016"/>
              <a:gd name="connsiteY256" fmla="*/ 910799 h 925261"/>
              <a:gd name="connsiteX257" fmla="*/ 14025 w 1271016"/>
              <a:gd name="connsiteY257" fmla="*/ 910799 h 925261"/>
              <a:gd name="connsiteX258" fmla="*/ 14025 w 1271016"/>
              <a:gd name="connsiteY258" fmla="*/ 819441 h 925261"/>
              <a:gd name="connsiteX259" fmla="*/ 107963 w 1271016"/>
              <a:gd name="connsiteY259" fmla="*/ 713474 h 925261"/>
              <a:gd name="connsiteX260" fmla="*/ 108256 w 1271016"/>
              <a:gd name="connsiteY260" fmla="*/ 713133 h 925261"/>
              <a:gd name="connsiteX261" fmla="*/ 174241 w 1271016"/>
              <a:gd name="connsiteY261" fmla="*/ 779168 h 925261"/>
              <a:gd name="connsiteX262" fmla="*/ 202145 w 1271016"/>
              <a:gd name="connsiteY262" fmla="*/ 807072 h 925261"/>
              <a:gd name="connsiteX263" fmla="*/ 202145 w 1271016"/>
              <a:gd name="connsiteY263" fmla="*/ 910799 h 925261"/>
              <a:gd name="connsiteX264" fmla="*/ 160119 w 1271016"/>
              <a:gd name="connsiteY264" fmla="*/ 701056 h 925261"/>
              <a:gd name="connsiteX265" fmla="*/ 162310 w 1271016"/>
              <a:gd name="connsiteY265" fmla="*/ 582233 h 925261"/>
              <a:gd name="connsiteX266" fmla="*/ 297447 w 1271016"/>
              <a:gd name="connsiteY266" fmla="*/ 582233 h 925261"/>
              <a:gd name="connsiteX267" fmla="*/ 302658 w 1271016"/>
              <a:gd name="connsiteY267" fmla="*/ 582233 h 925261"/>
              <a:gd name="connsiteX268" fmla="*/ 307820 w 1271016"/>
              <a:gd name="connsiteY268" fmla="*/ 582233 h 925261"/>
              <a:gd name="connsiteX269" fmla="*/ 364553 w 1271016"/>
              <a:gd name="connsiteY269" fmla="*/ 582233 h 925261"/>
              <a:gd name="connsiteX270" fmla="*/ 362313 w 1271016"/>
              <a:gd name="connsiteY270" fmla="*/ 700959 h 925261"/>
              <a:gd name="connsiteX271" fmla="*/ 160119 w 1271016"/>
              <a:gd name="connsiteY271" fmla="*/ 701056 h 925261"/>
              <a:gd name="connsiteX272" fmla="*/ 1208683 w 1271016"/>
              <a:gd name="connsiteY272" fmla="*/ 911480 h 925261"/>
              <a:gd name="connsiteX273" fmla="*/ 1051535 w 1271016"/>
              <a:gd name="connsiteY273" fmla="*/ 911480 h 925261"/>
              <a:gd name="connsiteX274" fmla="*/ 1051535 w 1271016"/>
              <a:gd name="connsiteY274" fmla="*/ 832541 h 925261"/>
              <a:gd name="connsiteX275" fmla="*/ 1050172 w 1271016"/>
              <a:gd name="connsiteY275" fmla="*/ 831177 h 925261"/>
              <a:gd name="connsiteX276" fmla="*/ 1006684 w 1271016"/>
              <a:gd name="connsiteY276" fmla="*/ 831177 h 925261"/>
              <a:gd name="connsiteX277" fmla="*/ 1005321 w 1271016"/>
              <a:gd name="connsiteY277" fmla="*/ 832541 h 925261"/>
              <a:gd name="connsiteX278" fmla="*/ 1005321 w 1271016"/>
              <a:gd name="connsiteY278" fmla="*/ 911480 h 925261"/>
              <a:gd name="connsiteX279" fmla="*/ 955113 w 1271016"/>
              <a:gd name="connsiteY279" fmla="*/ 911480 h 925261"/>
              <a:gd name="connsiteX280" fmla="*/ 949951 w 1271016"/>
              <a:gd name="connsiteY280" fmla="*/ 911480 h 925261"/>
              <a:gd name="connsiteX281" fmla="*/ 944789 w 1271016"/>
              <a:gd name="connsiteY281" fmla="*/ 911480 h 925261"/>
              <a:gd name="connsiteX282" fmla="*/ 939627 w 1271016"/>
              <a:gd name="connsiteY282" fmla="*/ 911480 h 925261"/>
              <a:gd name="connsiteX283" fmla="*/ 693216 w 1271016"/>
              <a:gd name="connsiteY283" fmla="*/ 911480 h 925261"/>
              <a:gd name="connsiteX284" fmla="*/ 693216 w 1271016"/>
              <a:gd name="connsiteY284" fmla="*/ 832541 h 925261"/>
              <a:gd name="connsiteX285" fmla="*/ 691852 w 1271016"/>
              <a:gd name="connsiteY285" fmla="*/ 831177 h 925261"/>
              <a:gd name="connsiteX286" fmla="*/ 648365 w 1271016"/>
              <a:gd name="connsiteY286" fmla="*/ 831177 h 925261"/>
              <a:gd name="connsiteX287" fmla="*/ 647001 w 1271016"/>
              <a:gd name="connsiteY287" fmla="*/ 832541 h 925261"/>
              <a:gd name="connsiteX288" fmla="*/ 647001 w 1271016"/>
              <a:gd name="connsiteY288" fmla="*/ 911480 h 925261"/>
              <a:gd name="connsiteX289" fmla="*/ 631418 w 1271016"/>
              <a:gd name="connsiteY289" fmla="*/ 911480 h 925261"/>
              <a:gd name="connsiteX290" fmla="*/ 621045 w 1271016"/>
              <a:gd name="connsiteY290" fmla="*/ 911480 h 925261"/>
              <a:gd name="connsiteX291" fmla="*/ 334896 w 1271016"/>
              <a:gd name="connsiteY291" fmla="*/ 911480 h 925261"/>
              <a:gd name="connsiteX292" fmla="*/ 334896 w 1271016"/>
              <a:gd name="connsiteY292" fmla="*/ 832541 h 925261"/>
              <a:gd name="connsiteX293" fmla="*/ 333532 w 1271016"/>
              <a:gd name="connsiteY293" fmla="*/ 831177 h 925261"/>
              <a:gd name="connsiteX294" fmla="*/ 290045 w 1271016"/>
              <a:gd name="connsiteY294" fmla="*/ 831177 h 925261"/>
              <a:gd name="connsiteX295" fmla="*/ 288682 w 1271016"/>
              <a:gd name="connsiteY295" fmla="*/ 832541 h 925261"/>
              <a:gd name="connsiteX296" fmla="*/ 288682 w 1271016"/>
              <a:gd name="connsiteY296" fmla="*/ 911480 h 925261"/>
              <a:gd name="connsiteX297" fmla="*/ 212469 w 1271016"/>
              <a:gd name="connsiteY297" fmla="*/ 911480 h 925261"/>
              <a:gd name="connsiteX298" fmla="*/ 212469 w 1271016"/>
              <a:gd name="connsiteY298" fmla="*/ 810773 h 925261"/>
              <a:gd name="connsiteX299" fmla="*/ 621045 w 1271016"/>
              <a:gd name="connsiteY299" fmla="*/ 810773 h 925261"/>
              <a:gd name="connsiteX300" fmla="*/ 631418 w 1271016"/>
              <a:gd name="connsiteY300" fmla="*/ 810773 h 925261"/>
              <a:gd name="connsiteX301" fmla="*/ 939579 w 1271016"/>
              <a:gd name="connsiteY301" fmla="*/ 810773 h 925261"/>
              <a:gd name="connsiteX302" fmla="*/ 944740 w 1271016"/>
              <a:gd name="connsiteY302" fmla="*/ 810773 h 925261"/>
              <a:gd name="connsiteX303" fmla="*/ 949902 w 1271016"/>
              <a:gd name="connsiteY303" fmla="*/ 810773 h 925261"/>
              <a:gd name="connsiteX304" fmla="*/ 955064 w 1271016"/>
              <a:gd name="connsiteY304" fmla="*/ 810773 h 925261"/>
              <a:gd name="connsiteX305" fmla="*/ 1208635 w 1271016"/>
              <a:gd name="connsiteY305" fmla="*/ 810773 h 925261"/>
              <a:gd name="connsiteX306" fmla="*/ 1208635 w 1271016"/>
              <a:gd name="connsiteY306" fmla="*/ 911480 h 925261"/>
              <a:gd name="connsiteX307" fmla="*/ 1261618 w 1271016"/>
              <a:gd name="connsiteY307" fmla="*/ 911529 h 925261"/>
              <a:gd name="connsiteX308" fmla="*/ 1219056 w 1271016"/>
              <a:gd name="connsiteY308" fmla="*/ 911529 h 925261"/>
              <a:gd name="connsiteX309" fmla="*/ 1219056 w 1271016"/>
              <a:gd name="connsiteY309" fmla="*/ 805611 h 925261"/>
              <a:gd name="connsiteX310" fmla="*/ 1219007 w 1271016"/>
              <a:gd name="connsiteY310" fmla="*/ 805319 h 925261"/>
              <a:gd name="connsiteX311" fmla="*/ 1218277 w 1271016"/>
              <a:gd name="connsiteY311" fmla="*/ 802251 h 925261"/>
              <a:gd name="connsiteX312" fmla="*/ 1156869 w 1271016"/>
              <a:gd name="connsiteY312" fmla="*/ 702907 h 925261"/>
              <a:gd name="connsiteX313" fmla="*/ 1152486 w 1271016"/>
              <a:gd name="connsiteY313" fmla="*/ 700472 h 925261"/>
              <a:gd name="connsiteX314" fmla="*/ 1152486 w 1271016"/>
              <a:gd name="connsiteY314" fmla="*/ 700472 h 925261"/>
              <a:gd name="connsiteX315" fmla="*/ 955162 w 1271016"/>
              <a:gd name="connsiteY315" fmla="*/ 700569 h 925261"/>
              <a:gd name="connsiteX316" fmla="*/ 950000 w 1271016"/>
              <a:gd name="connsiteY316" fmla="*/ 700569 h 925261"/>
              <a:gd name="connsiteX317" fmla="*/ 944838 w 1271016"/>
              <a:gd name="connsiteY317" fmla="*/ 700569 h 925261"/>
              <a:gd name="connsiteX318" fmla="*/ 939676 w 1271016"/>
              <a:gd name="connsiteY318" fmla="*/ 700569 h 925261"/>
              <a:gd name="connsiteX319" fmla="*/ 868236 w 1271016"/>
              <a:gd name="connsiteY319" fmla="*/ 700618 h 925261"/>
              <a:gd name="connsiteX320" fmla="*/ 864778 w 1271016"/>
              <a:gd name="connsiteY320" fmla="*/ 700618 h 925261"/>
              <a:gd name="connsiteX321" fmla="*/ 864778 w 1271016"/>
              <a:gd name="connsiteY321" fmla="*/ 700034 h 925261"/>
              <a:gd name="connsiteX322" fmla="*/ 864778 w 1271016"/>
              <a:gd name="connsiteY322" fmla="*/ 700034 h 925261"/>
              <a:gd name="connsiteX323" fmla="*/ 864778 w 1271016"/>
              <a:gd name="connsiteY323" fmla="*/ 700618 h 925261"/>
              <a:gd name="connsiteX324" fmla="*/ 812672 w 1271016"/>
              <a:gd name="connsiteY324" fmla="*/ 700667 h 925261"/>
              <a:gd name="connsiteX325" fmla="*/ 812672 w 1271016"/>
              <a:gd name="connsiteY325" fmla="*/ 700082 h 925261"/>
              <a:gd name="connsiteX326" fmla="*/ 812672 w 1271016"/>
              <a:gd name="connsiteY326" fmla="*/ 700082 h 925261"/>
              <a:gd name="connsiteX327" fmla="*/ 812672 w 1271016"/>
              <a:gd name="connsiteY327" fmla="*/ 700667 h 925261"/>
              <a:gd name="connsiteX328" fmla="*/ 809214 w 1271016"/>
              <a:gd name="connsiteY328" fmla="*/ 700667 h 925261"/>
              <a:gd name="connsiteX329" fmla="*/ 797575 w 1271016"/>
              <a:gd name="connsiteY329" fmla="*/ 700667 h 925261"/>
              <a:gd name="connsiteX330" fmla="*/ 783794 w 1271016"/>
              <a:gd name="connsiteY330" fmla="*/ 700667 h 925261"/>
              <a:gd name="connsiteX331" fmla="*/ 729252 w 1271016"/>
              <a:gd name="connsiteY331" fmla="*/ 700667 h 925261"/>
              <a:gd name="connsiteX332" fmla="*/ 725794 w 1271016"/>
              <a:gd name="connsiteY332" fmla="*/ 700667 h 925261"/>
              <a:gd name="connsiteX333" fmla="*/ 722337 w 1271016"/>
              <a:gd name="connsiteY333" fmla="*/ 700667 h 925261"/>
              <a:gd name="connsiteX334" fmla="*/ 663558 w 1271016"/>
              <a:gd name="connsiteY334" fmla="*/ 700715 h 925261"/>
              <a:gd name="connsiteX335" fmla="*/ 660101 w 1271016"/>
              <a:gd name="connsiteY335" fmla="*/ 700715 h 925261"/>
              <a:gd name="connsiteX336" fmla="*/ 656643 w 1271016"/>
              <a:gd name="connsiteY336" fmla="*/ 700715 h 925261"/>
              <a:gd name="connsiteX337" fmla="*/ 636239 w 1271016"/>
              <a:gd name="connsiteY337" fmla="*/ 700715 h 925261"/>
              <a:gd name="connsiteX338" fmla="*/ 636190 w 1271016"/>
              <a:gd name="connsiteY338" fmla="*/ 678509 h 925261"/>
              <a:gd name="connsiteX339" fmla="*/ 656692 w 1271016"/>
              <a:gd name="connsiteY339" fmla="*/ 669062 h 925261"/>
              <a:gd name="connsiteX340" fmla="*/ 660150 w 1271016"/>
              <a:gd name="connsiteY340" fmla="*/ 667455 h 925261"/>
              <a:gd name="connsiteX341" fmla="*/ 663607 w 1271016"/>
              <a:gd name="connsiteY341" fmla="*/ 665848 h 925261"/>
              <a:gd name="connsiteX342" fmla="*/ 722239 w 1271016"/>
              <a:gd name="connsiteY342" fmla="*/ 638772 h 925261"/>
              <a:gd name="connsiteX343" fmla="*/ 725697 w 1271016"/>
              <a:gd name="connsiteY343" fmla="*/ 637165 h 925261"/>
              <a:gd name="connsiteX344" fmla="*/ 729155 w 1271016"/>
              <a:gd name="connsiteY344" fmla="*/ 635557 h 925261"/>
              <a:gd name="connsiteX345" fmla="*/ 783745 w 1271016"/>
              <a:gd name="connsiteY345" fmla="*/ 610381 h 925261"/>
              <a:gd name="connsiteX346" fmla="*/ 788956 w 1271016"/>
              <a:gd name="connsiteY346" fmla="*/ 607994 h 925261"/>
              <a:gd name="connsiteX347" fmla="*/ 797575 w 1271016"/>
              <a:gd name="connsiteY347" fmla="*/ 611988 h 925261"/>
              <a:gd name="connsiteX348" fmla="*/ 809360 w 1271016"/>
              <a:gd name="connsiteY348" fmla="*/ 617442 h 925261"/>
              <a:gd name="connsiteX349" fmla="*/ 812818 w 1271016"/>
              <a:gd name="connsiteY349" fmla="*/ 619049 h 925261"/>
              <a:gd name="connsiteX350" fmla="*/ 816275 w 1271016"/>
              <a:gd name="connsiteY350" fmla="*/ 620656 h 925261"/>
              <a:gd name="connsiteX351" fmla="*/ 861175 w 1271016"/>
              <a:gd name="connsiteY351" fmla="*/ 641353 h 925261"/>
              <a:gd name="connsiteX352" fmla="*/ 864632 w 1271016"/>
              <a:gd name="connsiteY352" fmla="*/ 642960 h 925261"/>
              <a:gd name="connsiteX353" fmla="*/ 868090 w 1271016"/>
              <a:gd name="connsiteY353" fmla="*/ 644567 h 925261"/>
              <a:gd name="connsiteX354" fmla="*/ 886887 w 1271016"/>
              <a:gd name="connsiteY354" fmla="*/ 653235 h 925261"/>
              <a:gd name="connsiteX355" fmla="*/ 890345 w 1271016"/>
              <a:gd name="connsiteY355" fmla="*/ 654842 h 925261"/>
              <a:gd name="connsiteX356" fmla="*/ 893802 w 1271016"/>
              <a:gd name="connsiteY356" fmla="*/ 656449 h 925261"/>
              <a:gd name="connsiteX357" fmla="*/ 939725 w 1271016"/>
              <a:gd name="connsiteY357" fmla="*/ 677633 h 925261"/>
              <a:gd name="connsiteX358" fmla="*/ 939725 w 1271016"/>
              <a:gd name="connsiteY358" fmla="*/ 700034 h 925261"/>
              <a:gd name="connsiteX359" fmla="*/ 944887 w 1271016"/>
              <a:gd name="connsiteY359" fmla="*/ 700034 h 925261"/>
              <a:gd name="connsiteX360" fmla="*/ 950049 w 1271016"/>
              <a:gd name="connsiteY360" fmla="*/ 700034 h 925261"/>
              <a:gd name="connsiteX361" fmla="*/ 950049 w 1271016"/>
              <a:gd name="connsiteY361" fmla="*/ 680019 h 925261"/>
              <a:gd name="connsiteX362" fmla="*/ 955211 w 1271016"/>
              <a:gd name="connsiteY362" fmla="*/ 677633 h 925261"/>
              <a:gd name="connsiteX363" fmla="*/ 1105931 w 1271016"/>
              <a:gd name="connsiteY363" fmla="*/ 608092 h 925261"/>
              <a:gd name="connsiteX364" fmla="*/ 1236977 w 1271016"/>
              <a:gd name="connsiteY364" fmla="*/ 668575 h 925261"/>
              <a:gd name="connsiteX365" fmla="*/ 1240435 w 1271016"/>
              <a:gd name="connsiteY365" fmla="*/ 670182 h 925261"/>
              <a:gd name="connsiteX366" fmla="*/ 1243892 w 1271016"/>
              <a:gd name="connsiteY366" fmla="*/ 671789 h 925261"/>
              <a:gd name="connsiteX367" fmla="*/ 1261764 w 1271016"/>
              <a:gd name="connsiteY367" fmla="*/ 680019 h 925261"/>
              <a:gd name="connsiteX368" fmla="*/ 1261764 w 1271016"/>
              <a:gd name="connsiteY368" fmla="*/ 911529 h 9252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 ang="0">
                <a:pos x="connsiteX114" y="connsiteY114"/>
              </a:cxn>
              <a:cxn ang="0">
                <a:pos x="connsiteX115" y="connsiteY115"/>
              </a:cxn>
              <a:cxn ang="0">
                <a:pos x="connsiteX116" y="connsiteY116"/>
              </a:cxn>
              <a:cxn ang="0">
                <a:pos x="connsiteX117" y="connsiteY117"/>
              </a:cxn>
              <a:cxn ang="0">
                <a:pos x="connsiteX118" y="connsiteY118"/>
              </a:cxn>
              <a:cxn ang="0">
                <a:pos x="connsiteX119" y="connsiteY119"/>
              </a:cxn>
              <a:cxn ang="0">
                <a:pos x="connsiteX120" y="connsiteY120"/>
              </a:cxn>
              <a:cxn ang="0">
                <a:pos x="connsiteX121" y="connsiteY121"/>
              </a:cxn>
              <a:cxn ang="0">
                <a:pos x="connsiteX122" y="connsiteY122"/>
              </a:cxn>
              <a:cxn ang="0">
                <a:pos x="connsiteX123" y="connsiteY123"/>
              </a:cxn>
              <a:cxn ang="0">
                <a:pos x="connsiteX124" y="connsiteY124"/>
              </a:cxn>
              <a:cxn ang="0">
                <a:pos x="connsiteX125" y="connsiteY125"/>
              </a:cxn>
              <a:cxn ang="0">
                <a:pos x="connsiteX126" y="connsiteY126"/>
              </a:cxn>
              <a:cxn ang="0">
                <a:pos x="connsiteX127" y="connsiteY127"/>
              </a:cxn>
              <a:cxn ang="0">
                <a:pos x="connsiteX128" y="connsiteY128"/>
              </a:cxn>
              <a:cxn ang="0">
                <a:pos x="connsiteX129" y="connsiteY129"/>
              </a:cxn>
              <a:cxn ang="0">
                <a:pos x="connsiteX130" y="connsiteY130"/>
              </a:cxn>
              <a:cxn ang="0">
                <a:pos x="connsiteX131" y="connsiteY131"/>
              </a:cxn>
              <a:cxn ang="0">
                <a:pos x="connsiteX132" y="connsiteY132"/>
              </a:cxn>
              <a:cxn ang="0">
                <a:pos x="connsiteX133" y="connsiteY133"/>
              </a:cxn>
              <a:cxn ang="0">
                <a:pos x="connsiteX134" y="connsiteY134"/>
              </a:cxn>
              <a:cxn ang="0">
                <a:pos x="connsiteX135" y="connsiteY135"/>
              </a:cxn>
              <a:cxn ang="0">
                <a:pos x="connsiteX136" y="connsiteY136"/>
              </a:cxn>
              <a:cxn ang="0">
                <a:pos x="connsiteX137" y="connsiteY137"/>
              </a:cxn>
              <a:cxn ang="0">
                <a:pos x="connsiteX138" y="connsiteY138"/>
              </a:cxn>
              <a:cxn ang="0">
                <a:pos x="connsiteX139" y="connsiteY139"/>
              </a:cxn>
              <a:cxn ang="0">
                <a:pos x="connsiteX140" y="connsiteY140"/>
              </a:cxn>
              <a:cxn ang="0">
                <a:pos x="connsiteX141" y="connsiteY141"/>
              </a:cxn>
              <a:cxn ang="0">
                <a:pos x="connsiteX142" y="connsiteY142"/>
              </a:cxn>
              <a:cxn ang="0">
                <a:pos x="connsiteX143" y="connsiteY143"/>
              </a:cxn>
              <a:cxn ang="0">
                <a:pos x="connsiteX144" y="connsiteY144"/>
              </a:cxn>
              <a:cxn ang="0">
                <a:pos x="connsiteX145" y="connsiteY145"/>
              </a:cxn>
              <a:cxn ang="0">
                <a:pos x="connsiteX146" y="connsiteY146"/>
              </a:cxn>
              <a:cxn ang="0">
                <a:pos x="connsiteX147" y="connsiteY147"/>
              </a:cxn>
              <a:cxn ang="0">
                <a:pos x="connsiteX148" y="connsiteY148"/>
              </a:cxn>
              <a:cxn ang="0">
                <a:pos x="connsiteX149" y="connsiteY149"/>
              </a:cxn>
              <a:cxn ang="0">
                <a:pos x="connsiteX150" y="connsiteY150"/>
              </a:cxn>
              <a:cxn ang="0">
                <a:pos x="connsiteX151" y="connsiteY151"/>
              </a:cxn>
              <a:cxn ang="0">
                <a:pos x="connsiteX152" y="connsiteY152"/>
              </a:cxn>
              <a:cxn ang="0">
                <a:pos x="connsiteX153" y="connsiteY153"/>
              </a:cxn>
              <a:cxn ang="0">
                <a:pos x="connsiteX154" y="connsiteY154"/>
              </a:cxn>
              <a:cxn ang="0">
                <a:pos x="connsiteX155" y="connsiteY155"/>
              </a:cxn>
              <a:cxn ang="0">
                <a:pos x="connsiteX156" y="connsiteY156"/>
              </a:cxn>
              <a:cxn ang="0">
                <a:pos x="connsiteX157" y="connsiteY157"/>
              </a:cxn>
              <a:cxn ang="0">
                <a:pos x="connsiteX158" y="connsiteY158"/>
              </a:cxn>
              <a:cxn ang="0">
                <a:pos x="connsiteX159" y="connsiteY159"/>
              </a:cxn>
              <a:cxn ang="0">
                <a:pos x="connsiteX160" y="connsiteY160"/>
              </a:cxn>
              <a:cxn ang="0">
                <a:pos x="connsiteX161" y="connsiteY161"/>
              </a:cxn>
              <a:cxn ang="0">
                <a:pos x="connsiteX162" y="connsiteY162"/>
              </a:cxn>
              <a:cxn ang="0">
                <a:pos x="connsiteX163" y="connsiteY163"/>
              </a:cxn>
              <a:cxn ang="0">
                <a:pos x="connsiteX164" y="connsiteY164"/>
              </a:cxn>
              <a:cxn ang="0">
                <a:pos x="connsiteX165" y="connsiteY165"/>
              </a:cxn>
              <a:cxn ang="0">
                <a:pos x="connsiteX166" y="connsiteY166"/>
              </a:cxn>
              <a:cxn ang="0">
                <a:pos x="connsiteX167" y="connsiteY167"/>
              </a:cxn>
              <a:cxn ang="0">
                <a:pos x="connsiteX168" y="connsiteY168"/>
              </a:cxn>
              <a:cxn ang="0">
                <a:pos x="connsiteX169" y="connsiteY169"/>
              </a:cxn>
              <a:cxn ang="0">
                <a:pos x="connsiteX170" y="connsiteY170"/>
              </a:cxn>
              <a:cxn ang="0">
                <a:pos x="connsiteX171" y="connsiteY171"/>
              </a:cxn>
              <a:cxn ang="0">
                <a:pos x="connsiteX172" y="connsiteY172"/>
              </a:cxn>
              <a:cxn ang="0">
                <a:pos x="connsiteX173" y="connsiteY173"/>
              </a:cxn>
              <a:cxn ang="0">
                <a:pos x="connsiteX174" y="connsiteY174"/>
              </a:cxn>
              <a:cxn ang="0">
                <a:pos x="connsiteX175" y="connsiteY175"/>
              </a:cxn>
              <a:cxn ang="0">
                <a:pos x="connsiteX176" y="connsiteY176"/>
              </a:cxn>
              <a:cxn ang="0">
                <a:pos x="connsiteX177" y="connsiteY177"/>
              </a:cxn>
              <a:cxn ang="0">
                <a:pos x="connsiteX178" y="connsiteY178"/>
              </a:cxn>
              <a:cxn ang="0">
                <a:pos x="connsiteX179" y="connsiteY179"/>
              </a:cxn>
              <a:cxn ang="0">
                <a:pos x="connsiteX180" y="connsiteY180"/>
              </a:cxn>
              <a:cxn ang="0">
                <a:pos x="connsiteX181" y="connsiteY181"/>
              </a:cxn>
              <a:cxn ang="0">
                <a:pos x="connsiteX182" y="connsiteY182"/>
              </a:cxn>
              <a:cxn ang="0">
                <a:pos x="connsiteX183" y="connsiteY183"/>
              </a:cxn>
              <a:cxn ang="0">
                <a:pos x="connsiteX184" y="connsiteY184"/>
              </a:cxn>
              <a:cxn ang="0">
                <a:pos x="connsiteX185" y="connsiteY185"/>
              </a:cxn>
              <a:cxn ang="0">
                <a:pos x="connsiteX186" y="connsiteY186"/>
              </a:cxn>
              <a:cxn ang="0">
                <a:pos x="connsiteX187" y="connsiteY187"/>
              </a:cxn>
              <a:cxn ang="0">
                <a:pos x="connsiteX188" y="connsiteY188"/>
              </a:cxn>
              <a:cxn ang="0">
                <a:pos x="connsiteX189" y="connsiteY189"/>
              </a:cxn>
              <a:cxn ang="0">
                <a:pos x="connsiteX190" y="connsiteY190"/>
              </a:cxn>
              <a:cxn ang="0">
                <a:pos x="connsiteX191" y="connsiteY191"/>
              </a:cxn>
              <a:cxn ang="0">
                <a:pos x="connsiteX192" y="connsiteY192"/>
              </a:cxn>
              <a:cxn ang="0">
                <a:pos x="connsiteX193" y="connsiteY193"/>
              </a:cxn>
              <a:cxn ang="0">
                <a:pos x="connsiteX194" y="connsiteY194"/>
              </a:cxn>
              <a:cxn ang="0">
                <a:pos x="connsiteX195" y="connsiteY195"/>
              </a:cxn>
              <a:cxn ang="0">
                <a:pos x="connsiteX196" y="connsiteY196"/>
              </a:cxn>
              <a:cxn ang="0">
                <a:pos x="connsiteX197" y="connsiteY197"/>
              </a:cxn>
              <a:cxn ang="0">
                <a:pos x="connsiteX198" y="connsiteY198"/>
              </a:cxn>
              <a:cxn ang="0">
                <a:pos x="connsiteX199" y="connsiteY199"/>
              </a:cxn>
              <a:cxn ang="0">
                <a:pos x="connsiteX200" y="connsiteY200"/>
              </a:cxn>
              <a:cxn ang="0">
                <a:pos x="connsiteX201" y="connsiteY201"/>
              </a:cxn>
              <a:cxn ang="0">
                <a:pos x="connsiteX202" y="connsiteY202"/>
              </a:cxn>
              <a:cxn ang="0">
                <a:pos x="connsiteX203" y="connsiteY203"/>
              </a:cxn>
              <a:cxn ang="0">
                <a:pos x="connsiteX204" y="connsiteY204"/>
              </a:cxn>
              <a:cxn ang="0">
                <a:pos x="connsiteX205" y="connsiteY205"/>
              </a:cxn>
              <a:cxn ang="0">
                <a:pos x="connsiteX206" y="connsiteY206"/>
              </a:cxn>
              <a:cxn ang="0">
                <a:pos x="connsiteX207" y="connsiteY207"/>
              </a:cxn>
              <a:cxn ang="0">
                <a:pos x="connsiteX208" y="connsiteY208"/>
              </a:cxn>
              <a:cxn ang="0">
                <a:pos x="connsiteX209" y="connsiteY209"/>
              </a:cxn>
              <a:cxn ang="0">
                <a:pos x="connsiteX210" y="connsiteY210"/>
              </a:cxn>
              <a:cxn ang="0">
                <a:pos x="connsiteX211" y="connsiteY211"/>
              </a:cxn>
              <a:cxn ang="0">
                <a:pos x="connsiteX212" y="connsiteY212"/>
              </a:cxn>
              <a:cxn ang="0">
                <a:pos x="connsiteX213" y="connsiteY213"/>
              </a:cxn>
              <a:cxn ang="0">
                <a:pos x="connsiteX214" y="connsiteY214"/>
              </a:cxn>
              <a:cxn ang="0">
                <a:pos x="connsiteX215" y="connsiteY215"/>
              </a:cxn>
              <a:cxn ang="0">
                <a:pos x="connsiteX216" y="connsiteY216"/>
              </a:cxn>
              <a:cxn ang="0">
                <a:pos x="connsiteX217" y="connsiteY217"/>
              </a:cxn>
              <a:cxn ang="0">
                <a:pos x="connsiteX218" y="connsiteY218"/>
              </a:cxn>
              <a:cxn ang="0">
                <a:pos x="connsiteX219" y="connsiteY219"/>
              </a:cxn>
              <a:cxn ang="0">
                <a:pos x="connsiteX220" y="connsiteY220"/>
              </a:cxn>
              <a:cxn ang="0">
                <a:pos x="connsiteX221" y="connsiteY221"/>
              </a:cxn>
              <a:cxn ang="0">
                <a:pos x="connsiteX222" y="connsiteY222"/>
              </a:cxn>
              <a:cxn ang="0">
                <a:pos x="connsiteX223" y="connsiteY223"/>
              </a:cxn>
              <a:cxn ang="0">
                <a:pos x="connsiteX224" y="connsiteY224"/>
              </a:cxn>
              <a:cxn ang="0">
                <a:pos x="connsiteX225" y="connsiteY225"/>
              </a:cxn>
              <a:cxn ang="0">
                <a:pos x="connsiteX226" y="connsiteY226"/>
              </a:cxn>
              <a:cxn ang="0">
                <a:pos x="connsiteX227" y="connsiteY227"/>
              </a:cxn>
              <a:cxn ang="0">
                <a:pos x="connsiteX228" y="connsiteY228"/>
              </a:cxn>
              <a:cxn ang="0">
                <a:pos x="connsiteX229" y="connsiteY229"/>
              </a:cxn>
              <a:cxn ang="0">
                <a:pos x="connsiteX230" y="connsiteY230"/>
              </a:cxn>
              <a:cxn ang="0">
                <a:pos x="connsiteX231" y="connsiteY231"/>
              </a:cxn>
              <a:cxn ang="0">
                <a:pos x="connsiteX232" y="connsiteY232"/>
              </a:cxn>
              <a:cxn ang="0">
                <a:pos x="connsiteX233" y="connsiteY233"/>
              </a:cxn>
              <a:cxn ang="0">
                <a:pos x="connsiteX234" y="connsiteY234"/>
              </a:cxn>
              <a:cxn ang="0">
                <a:pos x="connsiteX235" y="connsiteY235"/>
              </a:cxn>
              <a:cxn ang="0">
                <a:pos x="connsiteX236" y="connsiteY236"/>
              </a:cxn>
              <a:cxn ang="0">
                <a:pos x="connsiteX237" y="connsiteY237"/>
              </a:cxn>
              <a:cxn ang="0">
                <a:pos x="connsiteX238" y="connsiteY238"/>
              </a:cxn>
              <a:cxn ang="0">
                <a:pos x="connsiteX239" y="connsiteY239"/>
              </a:cxn>
              <a:cxn ang="0">
                <a:pos x="connsiteX240" y="connsiteY240"/>
              </a:cxn>
              <a:cxn ang="0">
                <a:pos x="connsiteX241" y="connsiteY241"/>
              </a:cxn>
              <a:cxn ang="0">
                <a:pos x="connsiteX242" y="connsiteY242"/>
              </a:cxn>
              <a:cxn ang="0">
                <a:pos x="connsiteX243" y="connsiteY243"/>
              </a:cxn>
              <a:cxn ang="0">
                <a:pos x="connsiteX244" y="connsiteY244"/>
              </a:cxn>
              <a:cxn ang="0">
                <a:pos x="connsiteX245" y="connsiteY245"/>
              </a:cxn>
              <a:cxn ang="0">
                <a:pos x="connsiteX246" y="connsiteY246"/>
              </a:cxn>
              <a:cxn ang="0">
                <a:pos x="connsiteX247" y="connsiteY247"/>
              </a:cxn>
              <a:cxn ang="0">
                <a:pos x="connsiteX248" y="connsiteY248"/>
              </a:cxn>
              <a:cxn ang="0">
                <a:pos x="connsiteX249" y="connsiteY249"/>
              </a:cxn>
              <a:cxn ang="0">
                <a:pos x="connsiteX250" y="connsiteY250"/>
              </a:cxn>
              <a:cxn ang="0">
                <a:pos x="connsiteX251" y="connsiteY251"/>
              </a:cxn>
              <a:cxn ang="0">
                <a:pos x="connsiteX252" y="connsiteY252"/>
              </a:cxn>
              <a:cxn ang="0">
                <a:pos x="connsiteX253" y="connsiteY253"/>
              </a:cxn>
              <a:cxn ang="0">
                <a:pos x="connsiteX254" y="connsiteY254"/>
              </a:cxn>
              <a:cxn ang="0">
                <a:pos x="connsiteX255" y="connsiteY255"/>
              </a:cxn>
              <a:cxn ang="0">
                <a:pos x="connsiteX256" y="connsiteY256"/>
              </a:cxn>
              <a:cxn ang="0">
                <a:pos x="connsiteX257" y="connsiteY257"/>
              </a:cxn>
              <a:cxn ang="0">
                <a:pos x="connsiteX258" y="connsiteY258"/>
              </a:cxn>
              <a:cxn ang="0">
                <a:pos x="connsiteX259" y="connsiteY259"/>
              </a:cxn>
              <a:cxn ang="0">
                <a:pos x="connsiteX260" y="connsiteY260"/>
              </a:cxn>
              <a:cxn ang="0">
                <a:pos x="connsiteX261" y="connsiteY261"/>
              </a:cxn>
              <a:cxn ang="0">
                <a:pos x="connsiteX262" y="connsiteY262"/>
              </a:cxn>
              <a:cxn ang="0">
                <a:pos x="connsiteX263" y="connsiteY263"/>
              </a:cxn>
              <a:cxn ang="0">
                <a:pos x="connsiteX264" y="connsiteY264"/>
              </a:cxn>
              <a:cxn ang="0">
                <a:pos x="connsiteX265" y="connsiteY265"/>
              </a:cxn>
              <a:cxn ang="0">
                <a:pos x="connsiteX266" y="connsiteY266"/>
              </a:cxn>
              <a:cxn ang="0">
                <a:pos x="connsiteX267" y="connsiteY267"/>
              </a:cxn>
              <a:cxn ang="0">
                <a:pos x="connsiteX268" y="connsiteY268"/>
              </a:cxn>
              <a:cxn ang="0">
                <a:pos x="connsiteX269" y="connsiteY269"/>
              </a:cxn>
              <a:cxn ang="0">
                <a:pos x="connsiteX270" y="connsiteY270"/>
              </a:cxn>
              <a:cxn ang="0">
                <a:pos x="connsiteX271" y="connsiteY271"/>
              </a:cxn>
              <a:cxn ang="0">
                <a:pos x="connsiteX272" y="connsiteY272"/>
              </a:cxn>
              <a:cxn ang="0">
                <a:pos x="connsiteX273" y="connsiteY273"/>
              </a:cxn>
              <a:cxn ang="0">
                <a:pos x="connsiteX274" y="connsiteY274"/>
              </a:cxn>
              <a:cxn ang="0">
                <a:pos x="connsiteX275" y="connsiteY275"/>
              </a:cxn>
              <a:cxn ang="0">
                <a:pos x="connsiteX276" y="connsiteY276"/>
              </a:cxn>
              <a:cxn ang="0">
                <a:pos x="connsiteX277" y="connsiteY277"/>
              </a:cxn>
              <a:cxn ang="0">
                <a:pos x="connsiteX278" y="connsiteY278"/>
              </a:cxn>
              <a:cxn ang="0">
                <a:pos x="connsiteX279" y="connsiteY279"/>
              </a:cxn>
              <a:cxn ang="0">
                <a:pos x="connsiteX280" y="connsiteY280"/>
              </a:cxn>
              <a:cxn ang="0">
                <a:pos x="connsiteX281" y="connsiteY281"/>
              </a:cxn>
              <a:cxn ang="0">
                <a:pos x="connsiteX282" y="connsiteY282"/>
              </a:cxn>
              <a:cxn ang="0">
                <a:pos x="connsiteX283" y="connsiteY283"/>
              </a:cxn>
              <a:cxn ang="0">
                <a:pos x="connsiteX284" y="connsiteY284"/>
              </a:cxn>
              <a:cxn ang="0">
                <a:pos x="connsiteX285" y="connsiteY285"/>
              </a:cxn>
              <a:cxn ang="0">
                <a:pos x="connsiteX286" y="connsiteY286"/>
              </a:cxn>
              <a:cxn ang="0">
                <a:pos x="connsiteX287" y="connsiteY287"/>
              </a:cxn>
              <a:cxn ang="0">
                <a:pos x="connsiteX288" y="connsiteY288"/>
              </a:cxn>
              <a:cxn ang="0">
                <a:pos x="connsiteX289" y="connsiteY289"/>
              </a:cxn>
              <a:cxn ang="0">
                <a:pos x="connsiteX290" y="connsiteY290"/>
              </a:cxn>
              <a:cxn ang="0">
                <a:pos x="connsiteX291" y="connsiteY291"/>
              </a:cxn>
              <a:cxn ang="0">
                <a:pos x="connsiteX292" y="connsiteY292"/>
              </a:cxn>
              <a:cxn ang="0">
                <a:pos x="connsiteX293" y="connsiteY293"/>
              </a:cxn>
              <a:cxn ang="0">
                <a:pos x="connsiteX294" y="connsiteY294"/>
              </a:cxn>
              <a:cxn ang="0">
                <a:pos x="connsiteX295" y="connsiteY295"/>
              </a:cxn>
              <a:cxn ang="0">
                <a:pos x="connsiteX296" y="connsiteY296"/>
              </a:cxn>
              <a:cxn ang="0">
                <a:pos x="connsiteX297" y="connsiteY297"/>
              </a:cxn>
              <a:cxn ang="0">
                <a:pos x="connsiteX298" y="connsiteY298"/>
              </a:cxn>
              <a:cxn ang="0">
                <a:pos x="connsiteX299" y="connsiteY299"/>
              </a:cxn>
              <a:cxn ang="0">
                <a:pos x="connsiteX300" y="connsiteY300"/>
              </a:cxn>
              <a:cxn ang="0">
                <a:pos x="connsiteX301" y="connsiteY301"/>
              </a:cxn>
              <a:cxn ang="0">
                <a:pos x="connsiteX302" y="connsiteY302"/>
              </a:cxn>
              <a:cxn ang="0">
                <a:pos x="connsiteX303" y="connsiteY303"/>
              </a:cxn>
              <a:cxn ang="0">
                <a:pos x="connsiteX304" y="connsiteY304"/>
              </a:cxn>
              <a:cxn ang="0">
                <a:pos x="connsiteX305" y="connsiteY305"/>
              </a:cxn>
              <a:cxn ang="0">
                <a:pos x="connsiteX306" y="connsiteY306"/>
              </a:cxn>
              <a:cxn ang="0">
                <a:pos x="connsiteX307" y="connsiteY307"/>
              </a:cxn>
              <a:cxn ang="0">
                <a:pos x="connsiteX308" y="connsiteY308"/>
              </a:cxn>
              <a:cxn ang="0">
                <a:pos x="connsiteX309" y="connsiteY309"/>
              </a:cxn>
              <a:cxn ang="0">
                <a:pos x="connsiteX310" y="connsiteY310"/>
              </a:cxn>
              <a:cxn ang="0">
                <a:pos x="connsiteX311" y="connsiteY311"/>
              </a:cxn>
              <a:cxn ang="0">
                <a:pos x="connsiteX312" y="connsiteY312"/>
              </a:cxn>
              <a:cxn ang="0">
                <a:pos x="connsiteX313" y="connsiteY313"/>
              </a:cxn>
              <a:cxn ang="0">
                <a:pos x="connsiteX314" y="connsiteY314"/>
              </a:cxn>
              <a:cxn ang="0">
                <a:pos x="connsiteX315" y="connsiteY315"/>
              </a:cxn>
              <a:cxn ang="0">
                <a:pos x="connsiteX316" y="connsiteY316"/>
              </a:cxn>
              <a:cxn ang="0">
                <a:pos x="connsiteX317" y="connsiteY317"/>
              </a:cxn>
              <a:cxn ang="0">
                <a:pos x="connsiteX318" y="connsiteY318"/>
              </a:cxn>
              <a:cxn ang="0">
                <a:pos x="connsiteX319" y="connsiteY319"/>
              </a:cxn>
              <a:cxn ang="0">
                <a:pos x="connsiteX320" y="connsiteY320"/>
              </a:cxn>
              <a:cxn ang="0">
                <a:pos x="connsiteX321" y="connsiteY321"/>
              </a:cxn>
              <a:cxn ang="0">
                <a:pos x="connsiteX322" y="connsiteY322"/>
              </a:cxn>
              <a:cxn ang="0">
                <a:pos x="connsiteX323" y="connsiteY323"/>
              </a:cxn>
              <a:cxn ang="0">
                <a:pos x="connsiteX324" y="connsiteY324"/>
              </a:cxn>
              <a:cxn ang="0">
                <a:pos x="connsiteX325" y="connsiteY325"/>
              </a:cxn>
              <a:cxn ang="0">
                <a:pos x="connsiteX326" y="connsiteY326"/>
              </a:cxn>
              <a:cxn ang="0">
                <a:pos x="connsiteX327" y="connsiteY327"/>
              </a:cxn>
              <a:cxn ang="0">
                <a:pos x="connsiteX328" y="connsiteY328"/>
              </a:cxn>
              <a:cxn ang="0">
                <a:pos x="connsiteX329" y="connsiteY329"/>
              </a:cxn>
              <a:cxn ang="0">
                <a:pos x="connsiteX330" y="connsiteY330"/>
              </a:cxn>
              <a:cxn ang="0">
                <a:pos x="connsiteX331" y="connsiteY331"/>
              </a:cxn>
              <a:cxn ang="0">
                <a:pos x="connsiteX332" y="connsiteY332"/>
              </a:cxn>
              <a:cxn ang="0">
                <a:pos x="connsiteX333" y="connsiteY333"/>
              </a:cxn>
              <a:cxn ang="0">
                <a:pos x="connsiteX334" y="connsiteY334"/>
              </a:cxn>
              <a:cxn ang="0">
                <a:pos x="connsiteX335" y="connsiteY335"/>
              </a:cxn>
              <a:cxn ang="0">
                <a:pos x="connsiteX336" y="connsiteY336"/>
              </a:cxn>
              <a:cxn ang="0">
                <a:pos x="connsiteX337" y="connsiteY337"/>
              </a:cxn>
              <a:cxn ang="0">
                <a:pos x="connsiteX338" y="connsiteY338"/>
              </a:cxn>
              <a:cxn ang="0">
                <a:pos x="connsiteX339" y="connsiteY339"/>
              </a:cxn>
              <a:cxn ang="0">
                <a:pos x="connsiteX340" y="connsiteY340"/>
              </a:cxn>
              <a:cxn ang="0">
                <a:pos x="connsiteX341" y="connsiteY341"/>
              </a:cxn>
              <a:cxn ang="0">
                <a:pos x="connsiteX342" y="connsiteY342"/>
              </a:cxn>
              <a:cxn ang="0">
                <a:pos x="connsiteX343" y="connsiteY343"/>
              </a:cxn>
              <a:cxn ang="0">
                <a:pos x="connsiteX344" y="connsiteY344"/>
              </a:cxn>
              <a:cxn ang="0">
                <a:pos x="connsiteX345" y="connsiteY345"/>
              </a:cxn>
              <a:cxn ang="0">
                <a:pos x="connsiteX346" y="connsiteY346"/>
              </a:cxn>
              <a:cxn ang="0">
                <a:pos x="connsiteX347" y="connsiteY347"/>
              </a:cxn>
              <a:cxn ang="0">
                <a:pos x="connsiteX348" y="connsiteY348"/>
              </a:cxn>
              <a:cxn ang="0">
                <a:pos x="connsiteX349" y="connsiteY349"/>
              </a:cxn>
              <a:cxn ang="0">
                <a:pos x="connsiteX350" y="connsiteY350"/>
              </a:cxn>
              <a:cxn ang="0">
                <a:pos x="connsiteX351" y="connsiteY351"/>
              </a:cxn>
              <a:cxn ang="0">
                <a:pos x="connsiteX352" y="connsiteY352"/>
              </a:cxn>
              <a:cxn ang="0">
                <a:pos x="connsiteX353" y="connsiteY353"/>
              </a:cxn>
              <a:cxn ang="0">
                <a:pos x="connsiteX354" y="connsiteY354"/>
              </a:cxn>
              <a:cxn ang="0">
                <a:pos x="connsiteX355" y="connsiteY355"/>
              </a:cxn>
              <a:cxn ang="0">
                <a:pos x="connsiteX356" y="connsiteY356"/>
              </a:cxn>
              <a:cxn ang="0">
                <a:pos x="connsiteX357" y="connsiteY357"/>
              </a:cxn>
              <a:cxn ang="0">
                <a:pos x="connsiteX358" y="connsiteY358"/>
              </a:cxn>
              <a:cxn ang="0">
                <a:pos x="connsiteX359" y="connsiteY359"/>
              </a:cxn>
              <a:cxn ang="0">
                <a:pos x="connsiteX360" y="connsiteY360"/>
              </a:cxn>
              <a:cxn ang="0">
                <a:pos x="connsiteX361" y="connsiteY361"/>
              </a:cxn>
              <a:cxn ang="0">
                <a:pos x="connsiteX362" y="connsiteY362"/>
              </a:cxn>
              <a:cxn ang="0">
                <a:pos x="connsiteX363" y="connsiteY363"/>
              </a:cxn>
              <a:cxn ang="0">
                <a:pos x="connsiteX364" y="connsiteY364"/>
              </a:cxn>
              <a:cxn ang="0">
                <a:pos x="connsiteX365" y="connsiteY365"/>
              </a:cxn>
              <a:cxn ang="0">
                <a:pos x="connsiteX366" y="connsiteY366"/>
              </a:cxn>
              <a:cxn ang="0">
                <a:pos x="connsiteX367" y="connsiteY367"/>
              </a:cxn>
              <a:cxn ang="0">
                <a:pos x="connsiteX368" y="connsiteY368"/>
              </a:cxn>
            </a:cxnLst>
            <a:rect l="l" t="t" r="r" b="b"/>
            <a:pathLst>
              <a:path w="1271016" h="925261">
                <a:moveTo>
                  <a:pt x="1268923" y="671984"/>
                </a:moveTo>
                <a:lnTo>
                  <a:pt x="1243746" y="660345"/>
                </a:lnTo>
                <a:lnTo>
                  <a:pt x="1240288" y="658738"/>
                </a:lnTo>
                <a:lnTo>
                  <a:pt x="1240288" y="539476"/>
                </a:lnTo>
                <a:cubicBezTo>
                  <a:pt x="1240288" y="537528"/>
                  <a:pt x="1238779" y="535970"/>
                  <a:pt x="1236880" y="535970"/>
                </a:cubicBezTo>
                <a:lnTo>
                  <a:pt x="893608" y="535970"/>
                </a:lnTo>
                <a:cubicBezTo>
                  <a:pt x="891757" y="535970"/>
                  <a:pt x="890247" y="537528"/>
                  <a:pt x="890247" y="539476"/>
                </a:cubicBezTo>
                <a:lnTo>
                  <a:pt x="890247" y="643349"/>
                </a:lnTo>
                <a:lnTo>
                  <a:pt x="893608" y="644956"/>
                </a:lnTo>
                <a:lnTo>
                  <a:pt x="895507" y="645881"/>
                </a:lnTo>
                <a:lnTo>
                  <a:pt x="893656" y="645005"/>
                </a:lnTo>
                <a:lnTo>
                  <a:pt x="890199" y="643398"/>
                </a:lnTo>
                <a:lnTo>
                  <a:pt x="886741" y="641791"/>
                </a:lnTo>
                <a:lnTo>
                  <a:pt x="867944" y="633123"/>
                </a:lnTo>
                <a:lnTo>
                  <a:pt x="867652" y="480308"/>
                </a:lnTo>
                <a:cubicBezTo>
                  <a:pt x="867652" y="464920"/>
                  <a:pt x="858302" y="451966"/>
                  <a:pt x="845738" y="448362"/>
                </a:cubicBezTo>
                <a:cubicBezTo>
                  <a:pt x="845738" y="442713"/>
                  <a:pt x="845738" y="436918"/>
                  <a:pt x="845494" y="433412"/>
                </a:cubicBezTo>
                <a:cubicBezTo>
                  <a:pt x="843838" y="406433"/>
                  <a:pt x="838628" y="398788"/>
                  <a:pt x="807364" y="400103"/>
                </a:cubicBezTo>
                <a:cubicBezTo>
                  <a:pt x="783648" y="401077"/>
                  <a:pt x="783648" y="422065"/>
                  <a:pt x="783648" y="444320"/>
                </a:cubicBezTo>
                <a:lnTo>
                  <a:pt x="783648" y="549703"/>
                </a:lnTo>
                <a:lnTo>
                  <a:pt x="773908" y="549703"/>
                </a:lnTo>
                <a:cubicBezTo>
                  <a:pt x="772057" y="549703"/>
                  <a:pt x="771230" y="549119"/>
                  <a:pt x="770645" y="548534"/>
                </a:cubicBezTo>
                <a:cubicBezTo>
                  <a:pt x="766749" y="544590"/>
                  <a:pt x="766847" y="532269"/>
                  <a:pt x="766896" y="524916"/>
                </a:cubicBezTo>
                <a:lnTo>
                  <a:pt x="766896" y="358076"/>
                </a:lnTo>
                <a:cubicBezTo>
                  <a:pt x="766896" y="327932"/>
                  <a:pt x="752627" y="310644"/>
                  <a:pt x="727840" y="310644"/>
                </a:cubicBezTo>
                <a:cubicBezTo>
                  <a:pt x="694043" y="310644"/>
                  <a:pt x="687080" y="333338"/>
                  <a:pt x="686106" y="355349"/>
                </a:cubicBezTo>
                <a:cubicBezTo>
                  <a:pt x="669548" y="358856"/>
                  <a:pt x="657033" y="375023"/>
                  <a:pt x="657033" y="394356"/>
                </a:cubicBezTo>
                <a:lnTo>
                  <a:pt x="656643" y="657666"/>
                </a:lnTo>
                <a:lnTo>
                  <a:pt x="636093" y="667162"/>
                </a:lnTo>
                <a:lnTo>
                  <a:pt x="635703" y="516832"/>
                </a:lnTo>
                <a:cubicBezTo>
                  <a:pt x="635703" y="497304"/>
                  <a:pt x="621532" y="481039"/>
                  <a:pt x="602929" y="477727"/>
                </a:cubicBezTo>
                <a:lnTo>
                  <a:pt x="602929" y="462874"/>
                </a:lnTo>
                <a:cubicBezTo>
                  <a:pt x="602929" y="449775"/>
                  <a:pt x="593726" y="434532"/>
                  <a:pt x="567721" y="434532"/>
                </a:cubicBezTo>
                <a:cubicBezTo>
                  <a:pt x="535191" y="434532"/>
                  <a:pt x="530321" y="453378"/>
                  <a:pt x="530321" y="464628"/>
                </a:cubicBezTo>
                <a:lnTo>
                  <a:pt x="530321" y="648073"/>
                </a:lnTo>
                <a:cubicBezTo>
                  <a:pt x="530321" y="648755"/>
                  <a:pt x="530321" y="649485"/>
                  <a:pt x="530370" y="650313"/>
                </a:cubicBezTo>
                <a:cubicBezTo>
                  <a:pt x="530467" y="654696"/>
                  <a:pt x="530613" y="660150"/>
                  <a:pt x="527545" y="663315"/>
                </a:cubicBezTo>
                <a:cubicBezTo>
                  <a:pt x="525841" y="665069"/>
                  <a:pt x="523162" y="665994"/>
                  <a:pt x="520338" y="666529"/>
                </a:cubicBezTo>
                <a:lnTo>
                  <a:pt x="520338" y="577217"/>
                </a:lnTo>
                <a:cubicBezTo>
                  <a:pt x="520338" y="577169"/>
                  <a:pt x="520386" y="577120"/>
                  <a:pt x="520386" y="577071"/>
                </a:cubicBezTo>
                <a:cubicBezTo>
                  <a:pt x="520386" y="551018"/>
                  <a:pt x="506897" y="530565"/>
                  <a:pt x="489658" y="530565"/>
                </a:cubicBezTo>
                <a:lnTo>
                  <a:pt x="465553" y="530565"/>
                </a:lnTo>
                <a:lnTo>
                  <a:pt x="465553" y="184711"/>
                </a:lnTo>
                <a:cubicBezTo>
                  <a:pt x="465553" y="181838"/>
                  <a:pt x="463215" y="179549"/>
                  <a:pt x="460391" y="179549"/>
                </a:cubicBezTo>
                <a:lnTo>
                  <a:pt x="427617" y="179549"/>
                </a:lnTo>
                <a:lnTo>
                  <a:pt x="427617" y="113856"/>
                </a:lnTo>
                <a:lnTo>
                  <a:pt x="427617" y="8814"/>
                </a:lnTo>
                <a:cubicBezTo>
                  <a:pt x="427617" y="5941"/>
                  <a:pt x="425279" y="3652"/>
                  <a:pt x="422455" y="3652"/>
                </a:cubicBezTo>
                <a:lnTo>
                  <a:pt x="363482" y="3652"/>
                </a:lnTo>
                <a:cubicBezTo>
                  <a:pt x="360608" y="3652"/>
                  <a:pt x="358320" y="5990"/>
                  <a:pt x="358320" y="8814"/>
                </a:cubicBezTo>
                <a:lnTo>
                  <a:pt x="358320" y="113856"/>
                </a:lnTo>
                <a:lnTo>
                  <a:pt x="358320" y="179501"/>
                </a:lnTo>
                <a:lnTo>
                  <a:pt x="324377" y="179501"/>
                </a:lnTo>
                <a:cubicBezTo>
                  <a:pt x="321504" y="179501"/>
                  <a:pt x="319215" y="181838"/>
                  <a:pt x="319215" y="184663"/>
                </a:cubicBezTo>
                <a:lnTo>
                  <a:pt x="319215" y="530516"/>
                </a:lnTo>
                <a:lnTo>
                  <a:pt x="283958" y="530516"/>
                </a:lnTo>
                <a:lnTo>
                  <a:pt x="283958" y="506264"/>
                </a:lnTo>
                <a:cubicBezTo>
                  <a:pt x="283958" y="503391"/>
                  <a:pt x="281620" y="501102"/>
                  <a:pt x="278796" y="501102"/>
                </a:cubicBezTo>
                <a:lnTo>
                  <a:pt x="250892" y="501102"/>
                </a:lnTo>
                <a:cubicBezTo>
                  <a:pt x="248019" y="501102"/>
                  <a:pt x="245730" y="503440"/>
                  <a:pt x="245730" y="506264"/>
                </a:cubicBezTo>
                <a:lnTo>
                  <a:pt x="245730" y="530516"/>
                </a:lnTo>
                <a:lnTo>
                  <a:pt x="182812" y="530516"/>
                </a:lnTo>
                <a:cubicBezTo>
                  <a:pt x="165622" y="530516"/>
                  <a:pt x="152181" y="550823"/>
                  <a:pt x="152084" y="576730"/>
                </a:cubicBezTo>
                <a:cubicBezTo>
                  <a:pt x="152084" y="576779"/>
                  <a:pt x="152035" y="576828"/>
                  <a:pt x="152035" y="576876"/>
                </a:cubicBezTo>
                <a:lnTo>
                  <a:pt x="149746" y="701008"/>
                </a:lnTo>
                <a:lnTo>
                  <a:pt x="110301" y="701008"/>
                </a:lnTo>
                <a:cubicBezTo>
                  <a:pt x="109570" y="700667"/>
                  <a:pt x="108743" y="700423"/>
                  <a:pt x="107866" y="700375"/>
                </a:cubicBezTo>
                <a:cubicBezTo>
                  <a:pt x="106454" y="700423"/>
                  <a:pt x="105090" y="701056"/>
                  <a:pt x="104165" y="702128"/>
                </a:cubicBezTo>
                <a:lnTo>
                  <a:pt x="4967" y="814036"/>
                </a:lnTo>
                <a:cubicBezTo>
                  <a:pt x="4139" y="815010"/>
                  <a:pt x="3652" y="816227"/>
                  <a:pt x="3652" y="817493"/>
                </a:cubicBezTo>
                <a:lnTo>
                  <a:pt x="3652" y="916009"/>
                </a:lnTo>
                <a:cubicBezTo>
                  <a:pt x="3652" y="918882"/>
                  <a:pt x="5990" y="921171"/>
                  <a:pt x="8814" y="921171"/>
                </a:cubicBezTo>
                <a:lnTo>
                  <a:pt x="204872" y="921171"/>
                </a:lnTo>
                <a:cubicBezTo>
                  <a:pt x="205603" y="921561"/>
                  <a:pt x="206382" y="921804"/>
                  <a:pt x="207259" y="921804"/>
                </a:cubicBezTo>
                <a:lnTo>
                  <a:pt x="622409" y="921804"/>
                </a:lnTo>
                <a:lnTo>
                  <a:pt x="940942" y="921804"/>
                </a:lnTo>
                <a:lnTo>
                  <a:pt x="949902" y="921804"/>
                </a:lnTo>
                <a:lnTo>
                  <a:pt x="953701" y="921804"/>
                </a:lnTo>
                <a:lnTo>
                  <a:pt x="1213845" y="921804"/>
                </a:lnTo>
                <a:lnTo>
                  <a:pt x="1266731" y="921804"/>
                </a:lnTo>
                <a:cubicBezTo>
                  <a:pt x="1269556" y="921804"/>
                  <a:pt x="1271893" y="919516"/>
                  <a:pt x="1271893" y="916642"/>
                </a:cubicBezTo>
                <a:lnTo>
                  <a:pt x="1271893" y="676659"/>
                </a:lnTo>
                <a:cubicBezTo>
                  <a:pt x="1271942" y="674662"/>
                  <a:pt x="1270773" y="672860"/>
                  <a:pt x="1268923" y="671984"/>
                </a:cubicBezTo>
                <a:close/>
                <a:moveTo>
                  <a:pt x="797527" y="444369"/>
                </a:moveTo>
                <a:cubicBezTo>
                  <a:pt x="797527" y="415735"/>
                  <a:pt x="800059" y="414274"/>
                  <a:pt x="807997" y="413933"/>
                </a:cubicBezTo>
                <a:cubicBezTo>
                  <a:pt x="830495" y="413008"/>
                  <a:pt x="830495" y="413397"/>
                  <a:pt x="831761" y="434289"/>
                </a:cubicBezTo>
                <a:cubicBezTo>
                  <a:pt x="831956" y="437503"/>
                  <a:pt x="832005" y="442908"/>
                  <a:pt x="831956" y="448265"/>
                </a:cubicBezTo>
                <a:cubicBezTo>
                  <a:pt x="819148" y="451723"/>
                  <a:pt x="809555" y="464774"/>
                  <a:pt x="809555" y="480357"/>
                </a:cubicBezTo>
                <a:lnTo>
                  <a:pt x="809409" y="549703"/>
                </a:lnTo>
                <a:lnTo>
                  <a:pt x="797478" y="549703"/>
                </a:lnTo>
                <a:lnTo>
                  <a:pt x="797478" y="444369"/>
                </a:lnTo>
                <a:close/>
                <a:moveTo>
                  <a:pt x="797527" y="563533"/>
                </a:moveTo>
                <a:lnTo>
                  <a:pt x="809409" y="563533"/>
                </a:lnTo>
                <a:lnTo>
                  <a:pt x="809311" y="606144"/>
                </a:lnTo>
                <a:lnTo>
                  <a:pt x="797527" y="600690"/>
                </a:lnTo>
                <a:lnTo>
                  <a:pt x="797527" y="563533"/>
                </a:lnTo>
                <a:close/>
                <a:moveTo>
                  <a:pt x="727888" y="324523"/>
                </a:moveTo>
                <a:cubicBezTo>
                  <a:pt x="744641" y="324523"/>
                  <a:pt x="753163" y="335821"/>
                  <a:pt x="753163" y="358125"/>
                </a:cubicBezTo>
                <a:lnTo>
                  <a:pt x="753163" y="522189"/>
                </a:lnTo>
                <a:lnTo>
                  <a:pt x="753163" y="524867"/>
                </a:lnTo>
                <a:cubicBezTo>
                  <a:pt x="753065" y="535581"/>
                  <a:pt x="752968" y="550287"/>
                  <a:pt x="760906" y="558274"/>
                </a:cubicBezTo>
                <a:cubicBezTo>
                  <a:pt x="764315" y="561683"/>
                  <a:pt x="768795" y="563484"/>
                  <a:pt x="773957" y="563484"/>
                </a:cubicBezTo>
                <a:lnTo>
                  <a:pt x="783696" y="563484"/>
                </a:lnTo>
                <a:lnTo>
                  <a:pt x="783696" y="599083"/>
                </a:lnTo>
                <a:lnTo>
                  <a:pt x="729106" y="624260"/>
                </a:lnTo>
                <a:lnTo>
                  <a:pt x="728765" y="394356"/>
                </a:lnTo>
                <a:cubicBezTo>
                  <a:pt x="728765" y="375121"/>
                  <a:pt x="716396" y="359050"/>
                  <a:pt x="699985" y="355398"/>
                </a:cubicBezTo>
                <a:cubicBezTo>
                  <a:pt x="701299" y="329685"/>
                  <a:pt x="710990" y="324523"/>
                  <a:pt x="727888" y="324523"/>
                </a:cubicBezTo>
                <a:close/>
                <a:moveTo>
                  <a:pt x="520435" y="680408"/>
                </a:moveTo>
                <a:cubicBezTo>
                  <a:pt x="527740" y="679532"/>
                  <a:pt x="533486" y="677048"/>
                  <a:pt x="537528" y="672909"/>
                </a:cubicBezTo>
                <a:cubicBezTo>
                  <a:pt x="544687" y="665604"/>
                  <a:pt x="544395" y="655767"/>
                  <a:pt x="544248" y="649923"/>
                </a:cubicBezTo>
                <a:cubicBezTo>
                  <a:pt x="544248" y="649242"/>
                  <a:pt x="544200" y="648609"/>
                  <a:pt x="544200" y="648024"/>
                </a:cubicBezTo>
                <a:lnTo>
                  <a:pt x="544200" y="464579"/>
                </a:lnTo>
                <a:cubicBezTo>
                  <a:pt x="544200" y="459319"/>
                  <a:pt x="544200" y="448314"/>
                  <a:pt x="567770" y="448314"/>
                </a:cubicBezTo>
                <a:cubicBezTo>
                  <a:pt x="586372" y="448314"/>
                  <a:pt x="589148" y="457420"/>
                  <a:pt x="589148" y="462874"/>
                </a:cubicBezTo>
                <a:lnTo>
                  <a:pt x="589148" y="477776"/>
                </a:lnTo>
                <a:cubicBezTo>
                  <a:pt x="570545" y="481039"/>
                  <a:pt x="556326" y="497304"/>
                  <a:pt x="556326" y="516880"/>
                </a:cubicBezTo>
                <a:lnTo>
                  <a:pt x="555839" y="700813"/>
                </a:lnTo>
                <a:lnTo>
                  <a:pt x="520386" y="700813"/>
                </a:lnTo>
                <a:lnTo>
                  <a:pt x="520386" y="680408"/>
                </a:lnTo>
                <a:close/>
                <a:moveTo>
                  <a:pt x="427666" y="189873"/>
                </a:moveTo>
                <a:lnTo>
                  <a:pt x="450602" y="189873"/>
                </a:lnTo>
                <a:lnTo>
                  <a:pt x="427666" y="217631"/>
                </a:lnTo>
                <a:lnTo>
                  <a:pt x="427666" y="189873"/>
                </a:lnTo>
                <a:close/>
                <a:moveTo>
                  <a:pt x="427666" y="233896"/>
                </a:moveTo>
                <a:lnTo>
                  <a:pt x="455277" y="200490"/>
                </a:lnTo>
                <a:lnTo>
                  <a:pt x="455277" y="335042"/>
                </a:lnTo>
                <a:lnTo>
                  <a:pt x="427666" y="301635"/>
                </a:lnTo>
                <a:lnTo>
                  <a:pt x="427666" y="233896"/>
                </a:lnTo>
                <a:close/>
                <a:moveTo>
                  <a:pt x="427666" y="323939"/>
                </a:moveTo>
                <a:lnTo>
                  <a:pt x="427666" y="317852"/>
                </a:lnTo>
                <a:lnTo>
                  <a:pt x="454888" y="350772"/>
                </a:lnTo>
                <a:lnTo>
                  <a:pt x="427666" y="383691"/>
                </a:lnTo>
                <a:lnTo>
                  <a:pt x="427666" y="323939"/>
                </a:lnTo>
                <a:close/>
                <a:moveTo>
                  <a:pt x="427666" y="428932"/>
                </a:moveTo>
                <a:lnTo>
                  <a:pt x="427666" y="399957"/>
                </a:lnTo>
                <a:lnTo>
                  <a:pt x="455277" y="366550"/>
                </a:lnTo>
                <a:lnTo>
                  <a:pt x="455277" y="501102"/>
                </a:lnTo>
                <a:lnTo>
                  <a:pt x="427666" y="467696"/>
                </a:lnTo>
                <a:lnTo>
                  <a:pt x="427666" y="428932"/>
                </a:lnTo>
                <a:close/>
                <a:moveTo>
                  <a:pt x="427666" y="483961"/>
                </a:moveTo>
                <a:lnTo>
                  <a:pt x="455277" y="517367"/>
                </a:lnTo>
                <a:lnTo>
                  <a:pt x="455277" y="528811"/>
                </a:lnTo>
                <a:lnTo>
                  <a:pt x="429419" y="528811"/>
                </a:lnTo>
                <a:lnTo>
                  <a:pt x="429419" y="506264"/>
                </a:lnTo>
                <a:cubicBezTo>
                  <a:pt x="429419" y="504755"/>
                  <a:pt x="428737" y="503440"/>
                  <a:pt x="427714" y="502466"/>
                </a:cubicBezTo>
                <a:lnTo>
                  <a:pt x="427714" y="483961"/>
                </a:lnTo>
                <a:close/>
                <a:moveTo>
                  <a:pt x="419046" y="511426"/>
                </a:moveTo>
                <a:lnTo>
                  <a:pt x="419046" y="528763"/>
                </a:lnTo>
                <a:lnTo>
                  <a:pt x="417342" y="528763"/>
                </a:lnTo>
                <a:lnTo>
                  <a:pt x="401466" y="528763"/>
                </a:lnTo>
                <a:lnTo>
                  <a:pt x="401466" y="511426"/>
                </a:lnTo>
                <a:lnTo>
                  <a:pt x="417342" y="511426"/>
                </a:lnTo>
                <a:lnTo>
                  <a:pt x="419046" y="511426"/>
                </a:lnTo>
                <a:close/>
                <a:moveTo>
                  <a:pt x="417342" y="455131"/>
                </a:moveTo>
                <a:lnTo>
                  <a:pt x="399956" y="434094"/>
                </a:lnTo>
                <a:lnTo>
                  <a:pt x="417342" y="434094"/>
                </a:lnTo>
                <a:lnTo>
                  <a:pt x="417342" y="455131"/>
                </a:lnTo>
                <a:close/>
                <a:moveTo>
                  <a:pt x="417342" y="289071"/>
                </a:moveTo>
                <a:lnTo>
                  <a:pt x="399713" y="267742"/>
                </a:lnTo>
                <a:lnTo>
                  <a:pt x="417342" y="246412"/>
                </a:lnTo>
                <a:lnTo>
                  <a:pt x="417342" y="289071"/>
                </a:lnTo>
                <a:close/>
                <a:moveTo>
                  <a:pt x="368692" y="14025"/>
                </a:moveTo>
                <a:lnTo>
                  <a:pt x="417342" y="14025"/>
                </a:lnTo>
                <a:lnTo>
                  <a:pt x="417342" y="108694"/>
                </a:lnTo>
                <a:lnTo>
                  <a:pt x="368692" y="108694"/>
                </a:lnTo>
                <a:lnTo>
                  <a:pt x="368692" y="14025"/>
                </a:lnTo>
                <a:close/>
                <a:moveTo>
                  <a:pt x="368692" y="224059"/>
                </a:moveTo>
                <a:lnTo>
                  <a:pt x="417342" y="224059"/>
                </a:lnTo>
                <a:lnTo>
                  <a:pt x="417342" y="230147"/>
                </a:lnTo>
                <a:lnTo>
                  <a:pt x="392993" y="259609"/>
                </a:lnTo>
                <a:lnTo>
                  <a:pt x="368692" y="230147"/>
                </a:lnTo>
                <a:lnTo>
                  <a:pt x="368692" y="224059"/>
                </a:lnTo>
                <a:close/>
                <a:moveTo>
                  <a:pt x="368692" y="246412"/>
                </a:moveTo>
                <a:lnTo>
                  <a:pt x="386321" y="267742"/>
                </a:lnTo>
                <a:lnTo>
                  <a:pt x="368692" y="289071"/>
                </a:lnTo>
                <a:lnTo>
                  <a:pt x="368692" y="246412"/>
                </a:lnTo>
                <a:close/>
                <a:moveTo>
                  <a:pt x="368692" y="305288"/>
                </a:moveTo>
                <a:lnTo>
                  <a:pt x="392993" y="275825"/>
                </a:lnTo>
                <a:lnTo>
                  <a:pt x="417342" y="305288"/>
                </a:lnTo>
                <a:lnTo>
                  <a:pt x="417342" y="318728"/>
                </a:lnTo>
                <a:lnTo>
                  <a:pt x="368692" y="318728"/>
                </a:lnTo>
                <a:lnTo>
                  <a:pt x="368692" y="305288"/>
                </a:lnTo>
                <a:close/>
                <a:moveTo>
                  <a:pt x="368692" y="434143"/>
                </a:moveTo>
                <a:lnTo>
                  <a:pt x="386077" y="434143"/>
                </a:lnTo>
                <a:lnTo>
                  <a:pt x="368692" y="455180"/>
                </a:lnTo>
                <a:lnTo>
                  <a:pt x="368692" y="434143"/>
                </a:lnTo>
                <a:close/>
                <a:moveTo>
                  <a:pt x="368692" y="471397"/>
                </a:moveTo>
                <a:lnTo>
                  <a:pt x="392993" y="441934"/>
                </a:lnTo>
                <a:lnTo>
                  <a:pt x="417342" y="471397"/>
                </a:lnTo>
                <a:lnTo>
                  <a:pt x="417342" y="501102"/>
                </a:lnTo>
                <a:lnTo>
                  <a:pt x="396304" y="501102"/>
                </a:lnTo>
                <a:cubicBezTo>
                  <a:pt x="393431" y="501102"/>
                  <a:pt x="391142" y="503440"/>
                  <a:pt x="391142" y="506264"/>
                </a:cubicBezTo>
                <a:lnTo>
                  <a:pt x="391142" y="528811"/>
                </a:lnTo>
                <a:lnTo>
                  <a:pt x="368692" y="528811"/>
                </a:lnTo>
                <a:lnTo>
                  <a:pt x="368692" y="471397"/>
                </a:lnTo>
                <a:close/>
                <a:moveTo>
                  <a:pt x="396304" y="540889"/>
                </a:moveTo>
                <a:lnTo>
                  <a:pt x="424208" y="540889"/>
                </a:lnTo>
                <a:lnTo>
                  <a:pt x="489707" y="540889"/>
                </a:lnTo>
                <a:cubicBezTo>
                  <a:pt x="499739" y="540889"/>
                  <a:pt x="508407" y="554621"/>
                  <a:pt x="509868" y="571861"/>
                </a:cubicBezTo>
                <a:lnTo>
                  <a:pt x="374828" y="571861"/>
                </a:lnTo>
                <a:cubicBezTo>
                  <a:pt x="373952" y="559296"/>
                  <a:pt x="369861" y="548339"/>
                  <a:pt x="363822" y="540889"/>
                </a:cubicBezTo>
                <a:lnTo>
                  <a:pt x="396304" y="540889"/>
                </a:lnTo>
                <a:close/>
                <a:moveTo>
                  <a:pt x="510062" y="582185"/>
                </a:moveTo>
                <a:lnTo>
                  <a:pt x="510062" y="700813"/>
                </a:lnTo>
                <a:lnTo>
                  <a:pt x="372637" y="700910"/>
                </a:lnTo>
                <a:lnTo>
                  <a:pt x="374877" y="582185"/>
                </a:lnTo>
                <a:lnTo>
                  <a:pt x="510062" y="582185"/>
                </a:lnTo>
                <a:close/>
                <a:moveTo>
                  <a:pt x="358320" y="189873"/>
                </a:moveTo>
                <a:lnTo>
                  <a:pt x="358320" y="217631"/>
                </a:lnTo>
                <a:lnTo>
                  <a:pt x="335383" y="189873"/>
                </a:lnTo>
                <a:lnTo>
                  <a:pt x="358320" y="189873"/>
                </a:lnTo>
                <a:close/>
                <a:moveTo>
                  <a:pt x="329588" y="199077"/>
                </a:moveTo>
                <a:lnTo>
                  <a:pt x="358320" y="233896"/>
                </a:lnTo>
                <a:lnTo>
                  <a:pt x="358320" y="301587"/>
                </a:lnTo>
                <a:lnTo>
                  <a:pt x="329588" y="336406"/>
                </a:lnTo>
                <a:lnTo>
                  <a:pt x="329588" y="199077"/>
                </a:lnTo>
                <a:close/>
                <a:moveTo>
                  <a:pt x="358320" y="317852"/>
                </a:moveTo>
                <a:lnTo>
                  <a:pt x="358320" y="323939"/>
                </a:lnTo>
                <a:lnTo>
                  <a:pt x="358320" y="383740"/>
                </a:lnTo>
                <a:lnTo>
                  <a:pt x="331097" y="350820"/>
                </a:lnTo>
                <a:lnTo>
                  <a:pt x="358320" y="317852"/>
                </a:lnTo>
                <a:close/>
                <a:moveTo>
                  <a:pt x="329588" y="365186"/>
                </a:moveTo>
                <a:lnTo>
                  <a:pt x="358320" y="400005"/>
                </a:lnTo>
                <a:lnTo>
                  <a:pt x="358320" y="428981"/>
                </a:lnTo>
                <a:lnTo>
                  <a:pt x="358320" y="467696"/>
                </a:lnTo>
                <a:lnTo>
                  <a:pt x="329588" y="502515"/>
                </a:lnTo>
                <a:lnTo>
                  <a:pt x="329588" y="365186"/>
                </a:lnTo>
                <a:close/>
                <a:moveTo>
                  <a:pt x="329588" y="518731"/>
                </a:moveTo>
                <a:lnTo>
                  <a:pt x="358320" y="483912"/>
                </a:lnTo>
                <a:lnTo>
                  <a:pt x="358320" y="528763"/>
                </a:lnTo>
                <a:lnTo>
                  <a:pt x="329588" y="528763"/>
                </a:lnTo>
                <a:lnTo>
                  <a:pt x="329588" y="518731"/>
                </a:lnTo>
                <a:close/>
                <a:moveTo>
                  <a:pt x="256054" y="511426"/>
                </a:moveTo>
                <a:lnTo>
                  <a:pt x="273634" y="511426"/>
                </a:lnTo>
                <a:lnTo>
                  <a:pt x="273634" y="530516"/>
                </a:lnTo>
                <a:lnTo>
                  <a:pt x="256054" y="530516"/>
                </a:lnTo>
                <a:lnTo>
                  <a:pt x="256054" y="511426"/>
                </a:lnTo>
                <a:close/>
                <a:moveTo>
                  <a:pt x="182812" y="540889"/>
                </a:moveTo>
                <a:lnTo>
                  <a:pt x="250843" y="540889"/>
                </a:lnTo>
                <a:lnTo>
                  <a:pt x="278747" y="540889"/>
                </a:lnTo>
                <a:lnTo>
                  <a:pt x="308648" y="540889"/>
                </a:lnTo>
                <a:lnTo>
                  <a:pt x="328176" y="540889"/>
                </a:lnTo>
                <a:lnTo>
                  <a:pt x="344246" y="540889"/>
                </a:lnTo>
                <a:cubicBezTo>
                  <a:pt x="354278" y="540889"/>
                  <a:pt x="362946" y="554621"/>
                  <a:pt x="364407" y="571861"/>
                </a:cubicBezTo>
                <a:lnTo>
                  <a:pt x="308063" y="571861"/>
                </a:lnTo>
                <a:lnTo>
                  <a:pt x="302658" y="571861"/>
                </a:lnTo>
                <a:lnTo>
                  <a:pt x="297691" y="571861"/>
                </a:lnTo>
                <a:lnTo>
                  <a:pt x="162700" y="571861"/>
                </a:lnTo>
                <a:cubicBezTo>
                  <a:pt x="164161" y="554621"/>
                  <a:pt x="172780" y="540889"/>
                  <a:pt x="182812" y="540889"/>
                </a:cubicBezTo>
                <a:close/>
                <a:moveTo>
                  <a:pt x="202097" y="910799"/>
                </a:moveTo>
                <a:lnTo>
                  <a:pt x="153837" y="910799"/>
                </a:lnTo>
                <a:lnTo>
                  <a:pt x="153837" y="864974"/>
                </a:lnTo>
                <a:cubicBezTo>
                  <a:pt x="153837" y="861954"/>
                  <a:pt x="151402" y="859568"/>
                  <a:pt x="148431" y="859568"/>
                </a:cubicBezTo>
                <a:lnTo>
                  <a:pt x="61067" y="859568"/>
                </a:lnTo>
                <a:cubicBezTo>
                  <a:pt x="58048" y="859568"/>
                  <a:pt x="55662" y="862003"/>
                  <a:pt x="55662" y="864974"/>
                </a:cubicBezTo>
                <a:lnTo>
                  <a:pt x="55662" y="910799"/>
                </a:lnTo>
                <a:lnTo>
                  <a:pt x="14025" y="910799"/>
                </a:lnTo>
                <a:lnTo>
                  <a:pt x="14025" y="819441"/>
                </a:lnTo>
                <a:lnTo>
                  <a:pt x="107963" y="713474"/>
                </a:lnTo>
                <a:lnTo>
                  <a:pt x="108256" y="713133"/>
                </a:lnTo>
                <a:lnTo>
                  <a:pt x="174241" y="779168"/>
                </a:lnTo>
                <a:lnTo>
                  <a:pt x="202145" y="807072"/>
                </a:lnTo>
                <a:lnTo>
                  <a:pt x="202145" y="910799"/>
                </a:lnTo>
                <a:close/>
                <a:moveTo>
                  <a:pt x="160119" y="701056"/>
                </a:moveTo>
                <a:lnTo>
                  <a:pt x="162310" y="582233"/>
                </a:lnTo>
                <a:lnTo>
                  <a:pt x="297447" y="582233"/>
                </a:lnTo>
                <a:lnTo>
                  <a:pt x="302658" y="582233"/>
                </a:lnTo>
                <a:lnTo>
                  <a:pt x="307820" y="582233"/>
                </a:lnTo>
                <a:lnTo>
                  <a:pt x="364553" y="582233"/>
                </a:lnTo>
                <a:lnTo>
                  <a:pt x="362313" y="700959"/>
                </a:lnTo>
                <a:lnTo>
                  <a:pt x="160119" y="701056"/>
                </a:lnTo>
                <a:close/>
                <a:moveTo>
                  <a:pt x="1208683" y="911480"/>
                </a:moveTo>
                <a:lnTo>
                  <a:pt x="1051535" y="911480"/>
                </a:lnTo>
                <a:lnTo>
                  <a:pt x="1051535" y="832541"/>
                </a:lnTo>
                <a:cubicBezTo>
                  <a:pt x="1051535" y="831810"/>
                  <a:pt x="1050951" y="831177"/>
                  <a:pt x="1050172" y="831177"/>
                </a:cubicBezTo>
                <a:lnTo>
                  <a:pt x="1006684" y="831177"/>
                </a:lnTo>
                <a:cubicBezTo>
                  <a:pt x="1005954" y="831177"/>
                  <a:pt x="1005321" y="831762"/>
                  <a:pt x="1005321" y="832541"/>
                </a:cubicBezTo>
                <a:lnTo>
                  <a:pt x="1005321" y="911480"/>
                </a:lnTo>
                <a:lnTo>
                  <a:pt x="955113" y="911480"/>
                </a:lnTo>
                <a:lnTo>
                  <a:pt x="949951" y="911480"/>
                </a:lnTo>
                <a:lnTo>
                  <a:pt x="944789" y="911480"/>
                </a:lnTo>
                <a:lnTo>
                  <a:pt x="939627" y="911480"/>
                </a:lnTo>
                <a:lnTo>
                  <a:pt x="693216" y="911480"/>
                </a:lnTo>
                <a:lnTo>
                  <a:pt x="693216" y="832541"/>
                </a:lnTo>
                <a:cubicBezTo>
                  <a:pt x="693216" y="831810"/>
                  <a:pt x="692631" y="831177"/>
                  <a:pt x="691852" y="831177"/>
                </a:cubicBezTo>
                <a:lnTo>
                  <a:pt x="648365" y="831177"/>
                </a:lnTo>
                <a:cubicBezTo>
                  <a:pt x="647634" y="831177"/>
                  <a:pt x="647001" y="831762"/>
                  <a:pt x="647001" y="832541"/>
                </a:cubicBezTo>
                <a:lnTo>
                  <a:pt x="647001" y="911480"/>
                </a:lnTo>
                <a:lnTo>
                  <a:pt x="631418" y="911480"/>
                </a:lnTo>
                <a:lnTo>
                  <a:pt x="621045" y="911480"/>
                </a:lnTo>
                <a:lnTo>
                  <a:pt x="334896" y="911480"/>
                </a:lnTo>
                <a:lnTo>
                  <a:pt x="334896" y="832541"/>
                </a:lnTo>
                <a:cubicBezTo>
                  <a:pt x="334896" y="831810"/>
                  <a:pt x="334312" y="831177"/>
                  <a:pt x="333532" y="831177"/>
                </a:cubicBezTo>
                <a:lnTo>
                  <a:pt x="290045" y="831177"/>
                </a:lnTo>
                <a:cubicBezTo>
                  <a:pt x="289315" y="831177"/>
                  <a:pt x="288682" y="831762"/>
                  <a:pt x="288682" y="832541"/>
                </a:cubicBezTo>
                <a:lnTo>
                  <a:pt x="288682" y="911480"/>
                </a:lnTo>
                <a:lnTo>
                  <a:pt x="212469" y="911480"/>
                </a:lnTo>
                <a:lnTo>
                  <a:pt x="212469" y="810773"/>
                </a:lnTo>
                <a:lnTo>
                  <a:pt x="621045" y="810773"/>
                </a:lnTo>
                <a:lnTo>
                  <a:pt x="631418" y="810773"/>
                </a:lnTo>
                <a:lnTo>
                  <a:pt x="939579" y="810773"/>
                </a:lnTo>
                <a:lnTo>
                  <a:pt x="944740" y="810773"/>
                </a:lnTo>
                <a:lnTo>
                  <a:pt x="949902" y="810773"/>
                </a:lnTo>
                <a:lnTo>
                  <a:pt x="955064" y="810773"/>
                </a:lnTo>
                <a:lnTo>
                  <a:pt x="1208635" y="810773"/>
                </a:lnTo>
                <a:lnTo>
                  <a:pt x="1208635" y="911480"/>
                </a:lnTo>
                <a:close/>
                <a:moveTo>
                  <a:pt x="1261618" y="911529"/>
                </a:moveTo>
                <a:lnTo>
                  <a:pt x="1219056" y="911529"/>
                </a:lnTo>
                <a:lnTo>
                  <a:pt x="1219056" y="805611"/>
                </a:lnTo>
                <a:cubicBezTo>
                  <a:pt x="1219056" y="805513"/>
                  <a:pt x="1219007" y="805416"/>
                  <a:pt x="1219007" y="805319"/>
                </a:cubicBezTo>
                <a:cubicBezTo>
                  <a:pt x="1219105" y="804247"/>
                  <a:pt x="1218861" y="803176"/>
                  <a:pt x="1218277" y="802251"/>
                </a:cubicBezTo>
                <a:lnTo>
                  <a:pt x="1156869" y="702907"/>
                </a:lnTo>
                <a:cubicBezTo>
                  <a:pt x="1155944" y="701397"/>
                  <a:pt x="1154239" y="700472"/>
                  <a:pt x="1152486" y="700472"/>
                </a:cubicBezTo>
                <a:lnTo>
                  <a:pt x="1152486" y="700472"/>
                </a:lnTo>
                <a:lnTo>
                  <a:pt x="955162" y="700569"/>
                </a:lnTo>
                <a:lnTo>
                  <a:pt x="950000" y="700569"/>
                </a:lnTo>
                <a:lnTo>
                  <a:pt x="944838" y="700569"/>
                </a:lnTo>
                <a:lnTo>
                  <a:pt x="939676" y="700569"/>
                </a:lnTo>
                <a:lnTo>
                  <a:pt x="868236" y="700618"/>
                </a:lnTo>
                <a:lnTo>
                  <a:pt x="864778" y="700618"/>
                </a:lnTo>
                <a:lnTo>
                  <a:pt x="864778" y="700034"/>
                </a:lnTo>
                <a:lnTo>
                  <a:pt x="864778" y="700034"/>
                </a:lnTo>
                <a:lnTo>
                  <a:pt x="864778" y="700618"/>
                </a:lnTo>
                <a:lnTo>
                  <a:pt x="812672" y="700667"/>
                </a:lnTo>
                <a:lnTo>
                  <a:pt x="812672" y="700082"/>
                </a:lnTo>
                <a:lnTo>
                  <a:pt x="812672" y="700082"/>
                </a:lnTo>
                <a:lnTo>
                  <a:pt x="812672" y="700667"/>
                </a:lnTo>
                <a:lnTo>
                  <a:pt x="809214" y="700667"/>
                </a:lnTo>
                <a:lnTo>
                  <a:pt x="797575" y="700667"/>
                </a:lnTo>
                <a:lnTo>
                  <a:pt x="783794" y="700667"/>
                </a:lnTo>
                <a:lnTo>
                  <a:pt x="729252" y="700667"/>
                </a:lnTo>
                <a:lnTo>
                  <a:pt x="725794" y="700667"/>
                </a:lnTo>
                <a:lnTo>
                  <a:pt x="722337" y="700667"/>
                </a:lnTo>
                <a:lnTo>
                  <a:pt x="663558" y="700715"/>
                </a:lnTo>
                <a:lnTo>
                  <a:pt x="660101" y="700715"/>
                </a:lnTo>
                <a:lnTo>
                  <a:pt x="656643" y="700715"/>
                </a:lnTo>
                <a:lnTo>
                  <a:pt x="636239" y="700715"/>
                </a:lnTo>
                <a:lnTo>
                  <a:pt x="636190" y="678509"/>
                </a:lnTo>
                <a:lnTo>
                  <a:pt x="656692" y="669062"/>
                </a:lnTo>
                <a:lnTo>
                  <a:pt x="660150" y="667455"/>
                </a:lnTo>
                <a:lnTo>
                  <a:pt x="663607" y="665848"/>
                </a:lnTo>
                <a:lnTo>
                  <a:pt x="722239" y="638772"/>
                </a:lnTo>
                <a:lnTo>
                  <a:pt x="725697" y="637165"/>
                </a:lnTo>
                <a:lnTo>
                  <a:pt x="729155" y="635557"/>
                </a:lnTo>
                <a:lnTo>
                  <a:pt x="783745" y="610381"/>
                </a:lnTo>
                <a:lnTo>
                  <a:pt x="788956" y="607994"/>
                </a:lnTo>
                <a:lnTo>
                  <a:pt x="797575" y="611988"/>
                </a:lnTo>
                <a:lnTo>
                  <a:pt x="809360" y="617442"/>
                </a:lnTo>
                <a:lnTo>
                  <a:pt x="812818" y="619049"/>
                </a:lnTo>
                <a:lnTo>
                  <a:pt x="816275" y="620656"/>
                </a:lnTo>
                <a:lnTo>
                  <a:pt x="861175" y="641353"/>
                </a:lnTo>
                <a:lnTo>
                  <a:pt x="864632" y="642960"/>
                </a:lnTo>
                <a:lnTo>
                  <a:pt x="868090" y="644567"/>
                </a:lnTo>
                <a:lnTo>
                  <a:pt x="886887" y="653235"/>
                </a:lnTo>
                <a:lnTo>
                  <a:pt x="890345" y="654842"/>
                </a:lnTo>
                <a:lnTo>
                  <a:pt x="893802" y="656449"/>
                </a:lnTo>
                <a:lnTo>
                  <a:pt x="939725" y="677633"/>
                </a:lnTo>
                <a:lnTo>
                  <a:pt x="939725" y="700034"/>
                </a:lnTo>
                <a:lnTo>
                  <a:pt x="944887" y="700034"/>
                </a:lnTo>
                <a:lnTo>
                  <a:pt x="950049" y="700034"/>
                </a:lnTo>
                <a:lnTo>
                  <a:pt x="950049" y="680019"/>
                </a:lnTo>
                <a:lnTo>
                  <a:pt x="955211" y="677633"/>
                </a:lnTo>
                <a:lnTo>
                  <a:pt x="1105931" y="608092"/>
                </a:lnTo>
                <a:lnTo>
                  <a:pt x="1236977" y="668575"/>
                </a:lnTo>
                <a:lnTo>
                  <a:pt x="1240435" y="670182"/>
                </a:lnTo>
                <a:lnTo>
                  <a:pt x="1243892" y="671789"/>
                </a:lnTo>
                <a:lnTo>
                  <a:pt x="1261764" y="680019"/>
                </a:lnTo>
                <a:lnTo>
                  <a:pt x="1261764" y="911529"/>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3" name="フリーフォーム: 図形 42">
            <a:extLst>
              <a:ext uri="{FF2B5EF4-FFF2-40B4-BE49-F238E27FC236}">
                <a16:creationId xmlns:a16="http://schemas.microsoft.com/office/drawing/2014/main" id="{D8E507BC-CD00-E8BA-4B97-90FBDAEE905D}"/>
              </a:ext>
            </a:extLst>
          </xdr:cNvPr>
          <xdr:cNvSpPr/>
        </xdr:nvSpPr>
        <xdr:spPr>
          <a:xfrm>
            <a:off x="886062" y="161287"/>
            <a:ext cx="355495" cy="365235"/>
          </a:xfrm>
          <a:custGeom>
            <a:avLst/>
            <a:gdLst>
              <a:gd name="connsiteX0" fmla="*/ 5402 w 355495"/>
              <a:gd name="connsiteY0" fmla="*/ 363774 h 365234"/>
              <a:gd name="connsiteX1" fmla="*/ 354372 w 355495"/>
              <a:gd name="connsiteY1" fmla="*/ 363774 h 365234"/>
              <a:gd name="connsiteX2" fmla="*/ 355297 w 355495"/>
              <a:gd name="connsiteY2" fmla="*/ 360511 h 365234"/>
              <a:gd name="connsiteX3" fmla="*/ 343950 w 355495"/>
              <a:gd name="connsiteY3" fmla="*/ 353499 h 365234"/>
              <a:gd name="connsiteX4" fmla="*/ 343950 w 355495"/>
              <a:gd name="connsiteY4" fmla="*/ 267449 h 365234"/>
              <a:gd name="connsiteX5" fmla="*/ 343950 w 355495"/>
              <a:gd name="connsiteY5" fmla="*/ 180085 h 365234"/>
              <a:gd name="connsiteX6" fmla="*/ 343950 w 355495"/>
              <a:gd name="connsiteY6" fmla="*/ 92770 h 365234"/>
              <a:gd name="connsiteX7" fmla="*/ 338788 w 355495"/>
              <a:gd name="connsiteY7" fmla="*/ 87608 h 365234"/>
              <a:gd name="connsiteX8" fmla="*/ 292671 w 355495"/>
              <a:gd name="connsiteY8" fmla="*/ 87608 h 365234"/>
              <a:gd name="connsiteX9" fmla="*/ 287509 w 355495"/>
              <a:gd name="connsiteY9" fmla="*/ 92770 h 365234"/>
              <a:gd name="connsiteX10" fmla="*/ 287509 w 355495"/>
              <a:gd name="connsiteY10" fmla="*/ 180134 h 365234"/>
              <a:gd name="connsiteX11" fmla="*/ 287509 w 355495"/>
              <a:gd name="connsiteY11" fmla="*/ 267498 h 365234"/>
              <a:gd name="connsiteX12" fmla="*/ 287509 w 355495"/>
              <a:gd name="connsiteY12" fmla="*/ 318631 h 365234"/>
              <a:gd name="connsiteX13" fmla="*/ 251473 w 355495"/>
              <a:gd name="connsiteY13" fmla="*/ 296376 h 365234"/>
              <a:gd name="connsiteX14" fmla="*/ 251473 w 355495"/>
              <a:gd name="connsiteY14" fmla="*/ 270907 h 365234"/>
              <a:gd name="connsiteX15" fmla="*/ 251473 w 355495"/>
              <a:gd name="connsiteY15" fmla="*/ 183494 h 365234"/>
              <a:gd name="connsiteX16" fmla="*/ 251473 w 355495"/>
              <a:gd name="connsiteY16" fmla="*/ 96179 h 365234"/>
              <a:gd name="connsiteX17" fmla="*/ 251473 w 355495"/>
              <a:gd name="connsiteY17" fmla="*/ 8814 h 365234"/>
              <a:gd name="connsiteX18" fmla="*/ 246311 w 355495"/>
              <a:gd name="connsiteY18" fmla="*/ 3652 h 365234"/>
              <a:gd name="connsiteX19" fmla="*/ 200194 w 355495"/>
              <a:gd name="connsiteY19" fmla="*/ 3652 h 365234"/>
              <a:gd name="connsiteX20" fmla="*/ 195032 w 355495"/>
              <a:gd name="connsiteY20" fmla="*/ 8814 h 365234"/>
              <a:gd name="connsiteX21" fmla="*/ 195032 w 355495"/>
              <a:gd name="connsiteY21" fmla="*/ 96179 h 365234"/>
              <a:gd name="connsiteX22" fmla="*/ 195032 w 355495"/>
              <a:gd name="connsiteY22" fmla="*/ 183543 h 365234"/>
              <a:gd name="connsiteX23" fmla="*/ 195032 w 355495"/>
              <a:gd name="connsiteY23" fmla="*/ 261460 h 365234"/>
              <a:gd name="connsiteX24" fmla="*/ 180910 w 355495"/>
              <a:gd name="connsiteY24" fmla="*/ 252743 h 365234"/>
              <a:gd name="connsiteX25" fmla="*/ 179059 w 355495"/>
              <a:gd name="connsiteY25" fmla="*/ 252743 h 365234"/>
              <a:gd name="connsiteX26" fmla="*/ 4574 w 355495"/>
              <a:gd name="connsiteY26" fmla="*/ 360560 h 365234"/>
              <a:gd name="connsiteX27" fmla="*/ 5402 w 355495"/>
              <a:gd name="connsiteY27" fmla="*/ 363774 h 365234"/>
              <a:gd name="connsiteX28" fmla="*/ 297785 w 355495"/>
              <a:gd name="connsiteY28" fmla="*/ 97932 h 365234"/>
              <a:gd name="connsiteX29" fmla="*/ 333578 w 355495"/>
              <a:gd name="connsiteY29" fmla="*/ 97932 h 365234"/>
              <a:gd name="connsiteX30" fmla="*/ 333578 w 355495"/>
              <a:gd name="connsiteY30" fmla="*/ 174923 h 365234"/>
              <a:gd name="connsiteX31" fmla="*/ 297785 w 355495"/>
              <a:gd name="connsiteY31" fmla="*/ 174923 h 365234"/>
              <a:gd name="connsiteX32" fmla="*/ 297785 w 355495"/>
              <a:gd name="connsiteY32" fmla="*/ 97932 h 365234"/>
              <a:gd name="connsiteX33" fmla="*/ 297785 w 355495"/>
              <a:gd name="connsiteY33" fmla="*/ 272660 h 365234"/>
              <a:gd name="connsiteX34" fmla="*/ 333578 w 355495"/>
              <a:gd name="connsiteY34" fmla="*/ 272660 h 365234"/>
              <a:gd name="connsiteX35" fmla="*/ 333578 w 355495"/>
              <a:gd name="connsiteY35" fmla="*/ 347119 h 365234"/>
              <a:gd name="connsiteX36" fmla="*/ 297785 w 355495"/>
              <a:gd name="connsiteY36" fmla="*/ 325010 h 365234"/>
              <a:gd name="connsiteX37" fmla="*/ 297785 w 355495"/>
              <a:gd name="connsiteY37" fmla="*/ 272660 h 365234"/>
              <a:gd name="connsiteX38" fmla="*/ 205259 w 355495"/>
              <a:gd name="connsiteY38" fmla="*/ 13976 h 365234"/>
              <a:gd name="connsiteX39" fmla="*/ 241051 w 355495"/>
              <a:gd name="connsiteY39" fmla="*/ 13976 h 365234"/>
              <a:gd name="connsiteX40" fmla="*/ 241051 w 355495"/>
              <a:gd name="connsiteY40" fmla="*/ 90968 h 365234"/>
              <a:gd name="connsiteX41" fmla="*/ 205259 w 355495"/>
              <a:gd name="connsiteY41" fmla="*/ 90968 h 365234"/>
              <a:gd name="connsiteX42" fmla="*/ 205259 w 355495"/>
              <a:gd name="connsiteY42" fmla="*/ 13976 h 365234"/>
              <a:gd name="connsiteX43" fmla="*/ 205259 w 355495"/>
              <a:gd name="connsiteY43" fmla="*/ 188705 h 365234"/>
              <a:gd name="connsiteX44" fmla="*/ 241051 w 355495"/>
              <a:gd name="connsiteY44" fmla="*/ 188705 h 365234"/>
              <a:gd name="connsiteX45" fmla="*/ 241051 w 355495"/>
              <a:gd name="connsiteY45" fmla="*/ 265696 h 365234"/>
              <a:gd name="connsiteX46" fmla="*/ 205259 w 355495"/>
              <a:gd name="connsiteY46" fmla="*/ 265696 h 365234"/>
              <a:gd name="connsiteX47" fmla="*/ 205259 w 355495"/>
              <a:gd name="connsiteY47" fmla="*/ 188705 h 3652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355495" h="365234">
                <a:moveTo>
                  <a:pt x="5402" y="363774"/>
                </a:moveTo>
                <a:lnTo>
                  <a:pt x="354372" y="363774"/>
                </a:lnTo>
                <a:cubicBezTo>
                  <a:pt x="356125" y="363774"/>
                  <a:pt x="356807" y="361436"/>
                  <a:pt x="355297" y="360511"/>
                </a:cubicBezTo>
                <a:lnTo>
                  <a:pt x="343950" y="353499"/>
                </a:lnTo>
                <a:lnTo>
                  <a:pt x="343950" y="267449"/>
                </a:lnTo>
                <a:lnTo>
                  <a:pt x="343950" y="180085"/>
                </a:lnTo>
                <a:lnTo>
                  <a:pt x="343950" y="92770"/>
                </a:lnTo>
                <a:cubicBezTo>
                  <a:pt x="343950" y="89897"/>
                  <a:pt x="341613" y="87608"/>
                  <a:pt x="338788" y="87608"/>
                </a:cubicBezTo>
                <a:lnTo>
                  <a:pt x="292671" y="87608"/>
                </a:lnTo>
                <a:cubicBezTo>
                  <a:pt x="289798" y="87608"/>
                  <a:pt x="287509" y="89945"/>
                  <a:pt x="287509" y="92770"/>
                </a:cubicBezTo>
                <a:lnTo>
                  <a:pt x="287509" y="180134"/>
                </a:lnTo>
                <a:lnTo>
                  <a:pt x="287509" y="267498"/>
                </a:lnTo>
                <a:lnTo>
                  <a:pt x="287509" y="318631"/>
                </a:lnTo>
                <a:lnTo>
                  <a:pt x="251473" y="296376"/>
                </a:lnTo>
                <a:lnTo>
                  <a:pt x="251473" y="270907"/>
                </a:lnTo>
                <a:lnTo>
                  <a:pt x="251473" y="183494"/>
                </a:lnTo>
                <a:lnTo>
                  <a:pt x="251473" y="96179"/>
                </a:lnTo>
                <a:lnTo>
                  <a:pt x="251473" y="8814"/>
                </a:lnTo>
                <a:cubicBezTo>
                  <a:pt x="251473" y="5941"/>
                  <a:pt x="249135" y="3652"/>
                  <a:pt x="246311" y="3652"/>
                </a:cubicBezTo>
                <a:lnTo>
                  <a:pt x="200194" y="3652"/>
                </a:lnTo>
                <a:cubicBezTo>
                  <a:pt x="197321" y="3652"/>
                  <a:pt x="195032" y="5990"/>
                  <a:pt x="195032" y="8814"/>
                </a:cubicBezTo>
                <a:lnTo>
                  <a:pt x="195032" y="96179"/>
                </a:lnTo>
                <a:lnTo>
                  <a:pt x="195032" y="183543"/>
                </a:lnTo>
                <a:lnTo>
                  <a:pt x="195032" y="261460"/>
                </a:lnTo>
                <a:lnTo>
                  <a:pt x="180910" y="252743"/>
                </a:lnTo>
                <a:cubicBezTo>
                  <a:pt x="180325" y="252402"/>
                  <a:pt x="179643" y="252402"/>
                  <a:pt x="179059" y="252743"/>
                </a:cubicBezTo>
                <a:lnTo>
                  <a:pt x="4574" y="360560"/>
                </a:lnTo>
                <a:cubicBezTo>
                  <a:pt x="2967" y="361485"/>
                  <a:pt x="3600" y="363774"/>
                  <a:pt x="5402" y="363774"/>
                </a:cubicBezTo>
                <a:close/>
                <a:moveTo>
                  <a:pt x="297785" y="97932"/>
                </a:moveTo>
                <a:lnTo>
                  <a:pt x="333578" y="97932"/>
                </a:lnTo>
                <a:lnTo>
                  <a:pt x="333578" y="174923"/>
                </a:lnTo>
                <a:lnTo>
                  <a:pt x="297785" y="174923"/>
                </a:lnTo>
                <a:lnTo>
                  <a:pt x="297785" y="97932"/>
                </a:lnTo>
                <a:close/>
                <a:moveTo>
                  <a:pt x="297785" y="272660"/>
                </a:moveTo>
                <a:lnTo>
                  <a:pt x="333578" y="272660"/>
                </a:lnTo>
                <a:lnTo>
                  <a:pt x="333578" y="347119"/>
                </a:lnTo>
                <a:lnTo>
                  <a:pt x="297785" y="325010"/>
                </a:lnTo>
                <a:lnTo>
                  <a:pt x="297785" y="272660"/>
                </a:lnTo>
                <a:close/>
                <a:moveTo>
                  <a:pt x="205259" y="13976"/>
                </a:moveTo>
                <a:lnTo>
                  <a:pt x="241051" y="13976"/>
                </a:lnTo>
                <a:lnTo>
                  <a:pt x="241051" y="90968"/>
                </a:lnTo>
                <a:lnTo>
                  <a:pt x="205259" y="90968"/>
                </a:lnTo>
                <a:lnTo>
                  <a:pt x="205259" y="13976"/>
                </a:lnTo>
                <a:close/>
                <a:moveTo>
                  <a:pt x="205259" y="188705"/>
                </a:moveTo>
                <a:lnTo>
                  <a:pt x="241051" y="188705"/>
                </a:lnTo>
                <a:lnTo>
                  <a:pt x="241051" y="265696"/>
                </a:lnTo>
                <a:lnTo>
                  <a:pt x="205259" y="265696"/>
                </a:lnTo>
                <a:lnTo>
                  <a:pt x="205259" y="188705"/>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4" name="フリーフォーム: 図形 43">
            <a:extLst>
              <a:ext uri="{FF2B5EF4-FFF2-40B4-BE49-F238E27FC236}">
                <a16:creationId xmlns:a16="http://schemas.microsoft.com/office/drawing/2014/main" id="{83C99A7E-2083-F759-B787-447E0CA2EEF7}"/>
              </a:ext>
            </a:extLst>
          </xdr:cNvPr>
          <xdr:cNvSpPr/>
        </xdr:nvSpPr>
        <xdr:spPr>
          <a:xfrm>
            <a:off x="359001"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127"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5" name="フリーフォーム: 図形 44">
            <a:extLst>
              <a:ext uri="{FF2B5EF4-FFF2-40B4-BE49-F238E27FC236}">
                <a16:creationId xmlns:a16="http://schemas.microsoft.com/office/drawing/2014/main" id="{C357CB58-7EC3-1B0C-C4EC-3134E0EB60AA}"/>
              </a:ext>
            </a:extLst>
          </xdr:cNvPr>
          <xdr:cNvSpPr/>
        </xdr:nvSpPr>
        <xdr:spPr>
          <a:xfrm>
            <a:off x="428103"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127"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6" name="フリーフォーム: 図形 45">
            <a:extLst>
              <a:ext uri="{FF2B5EF4-FFF2-40B4-BE49-F238E27FC236}">
                <a16:creationId xmlns:a16="http://schemas.microsoft.com/office/drawing/2014/main" id="{5D51B302-B03C-56C0-7CF0-4BEA875641F8}"/>
              </a:ext>
            </a:extLst>
          </xdr:cNvPr>
          <xdr:cNvSpPr/>
        </xdr:nvSpPr>
        <xdr:spPr>
          <a:xfrm>
            <a:off x="497206"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078"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7" name="フリーフォーム: 図形 46">
            <a:extLst>
              <a:ext uri="{FF2B5EF4-FFF2-40B4-BE49-F238E27FC236}">
                <a16:creationId xmlns:a16="http://schemas.microsoft.com/office/drawing/2014/main" id="{3C57424D-EC46-763B-3EA9-36BCD56D7E5D}"/>
              </a:ext>
            </a:extLst>
          </xdr:cNvPr>
          <xdr:cNvSpPr/>
        </xdr:nvSpPr>
        <xdr:spPr>
          <a:xfrm>
            <a:off x="566260"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127"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8" name="フリーフォーム: 図形 47">
            <a:extLst>
              <a:ext uri="{FF2B5EF4-FFF2-40B4-BE49-F238E27FC236}">
                <a16:creationId xmlns:a16="http://schemas.microsoft.com/office/drawing/2014/main" id="{28ABFA60-E630-AD42-DA8B-578A62ADA9E0}"/>
              </a:ext>
            </a:extLst>
          </xdr:cNvPr>
          <xdr:cNvSpPr/>
        </xdr:nvSpPr>
        <xdr:spPr>
          <a:xfrm>
            <a:off x="717321"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127"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49" name="フリーフォーム: 図形 48">
            <a:extLst>
              <a:ext uri="{FF2B5EF4-FFF2-40B4-BE49-F238E27FC236}">
                <a16:creationId xmlns:a16="http://schemas.microsoft.com/office/drawing/2014/main" id="{96C68F57-8592-0F8B-A244-17E4BA7161AF}"/>
              </a:ext>
            </a:extLst>
          </xdr:cNvPr>
          <xdr:cNvSpPr/>
        </xdr:nvSpPr>
        <xdr:spPr>
          <a:xfrm>
            <a:off x="786374" y="832151"/>
            <a:ext cx="38958" cy="38958"/>
          </a:xfrm>
          <a:custGeom>
            <a:avLst/>
            <a:gdLst>
              <a:gd name="connsiteX0" fmla="*/ 38618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8 w 38958"/>
              <a:gd name="connsiteY5" fmla="*/ 40127 h 38958"/>
              <a:gd name="connsiteX6" fmla="*/ 40127 w 38958"/>
              <a:gd name="connsiteY6" fmla="*/ 38617 h 38958"/>
              <a:gd name="connsiteX7" fmla="*/ 40127 w 38958"/>
              <a:gd name="connsiteY7" fmla="*/ 5162 h 38958"/>
              <a:gd name="connsiteX8" fmla="*/ 38618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8" y="3652"/>
                </a:moveTo>
                <a:lnTo>
                  <a:pt x="5162" y="3652"/>
                </a:lnTo>
                <a:cubicBezTo>
                  <a:pt x="4334" y="3652"/>
                  <a:pt x="3652" y="4334"/>
                  <a:pt x="3652" y="5162"/>
                </a:cubicBezTo>
                <a:lnTo>
                  <a:pt x="3652" y="38617"/>
                </a:lnTo>
                <a:cubicBezTo>
                  <a:pt x="3652" y="39445"/>
                  <a:pt x="4334" y="40127"/>
                  <a:pt x="5162" y="40127"/>
                </a:cubicBezTo>
                <a:lnTo>
                  <a:pt x="38618" y="40127"/>
                </a:lnTo>
                <a:cubicBezTo>
                  <a:pt x="39445" y="40127"/>
                  <a:pt x="40127" y="39445"/>
                  <a:pt x="40127" y="38617"/>
                </a:cubicBezTo>
                <a:lnTo>
                  <a:pt x="40127" y="5162"/>
                </a:lnTo>
                <a:cubicBezTo>
                  <a:pt x="40127" y="4285"/>
                  <a:pt x="39494" y="3652"/>
                  <a:pt x="38618"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0" name="フリーフォーム: 図形 49">
            <a:extLst>
              <a:ext uri="{FF2B5EF4-FFF2-40B4-BE49-F238E27FC236}">
                <a16:creationId xmlns:a16="http://schemas.microsoft.com/office/drawing/2014/main" id="{F2CEC16A-C7D4-7F94-D65B-3FFA6FF2C838}"/>
              </a:ext>
            </a:extLst>
          </xdr:cNvPr>
          <xdr:cNvSpPr/>
        </xdr:nvSpPr>
        <xdr:spPr>
          <a:xfrm>
            <a:off x="855477" y="832151"/>
            <a:ext cx="38958" cy="38958"/>
          </a:xfrm>
          <a:custGeom>
            <a:avLst/>
            <a:gdLst>
              <a:gd name="connsiteX0" fmla="*/ 38618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8 w 38958"/>
              <a:gd name="connsiteY5" fmla="*/ 40127 h 38958"/>
              <a:gd name="connsiteX6" fmla="*/ 40127 w 38958"/>
              <a:gd name="connsiteY6" fmla="*/ 38617 h 38958"/>
              <a:gd name="connsiteX7" fmla="*/ 40127 w 38958"/>
              <a:gd name="connsiteY7" fmla="*/ 5162 h 38958"/>
              <a:gd name="connsiteX8" fmla="*/ 38618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8" y="3652"/>
                </a:moveTo>
                <a:lnTo>
                  <a:pt x="5162" y="3652"/>
                </a:lnTo>
                <a:cubicBezTo>
                  <a:pt x="4334" y="3652"/>
                  <a:pt x="3652" y="4334"/>
                  <a:pt x="3652" y="5162"/>
                </a:cubicBezTo>
                <a:lnTo>
                  <a:pt x="3652" y="38617"/>
                </a:lnTo>
                <a:cubicBezTo>
                  <a:pt x="3652" y="39445"/>
                  <a:pt x="4334" y="40127"/>
                  <a:pt x="5162" y="40127"/>
                </a:cubicBezTo>
                <a:lnTo>
                  <a:pt x="38618" y="40127"/>
                </a:lnTo>
                <a:cubicBezTo>
                  <a:pt x="39445" y="40127"/>
                  <a:pt x="40127" y="39445"/>
                  <a:pt x="40127" y="38617"/>
                </a:cubicBezTo>
                <a:lnTo>
                  <a:pt x="40127" y="5162"/>
                </a:lnTo>
                <a:cubicBezTo>
                  <a:pt x="40127" y="4285"/>
                  <a:pt x="39445" y="3652"/>
                  <a:pt x="38618"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1" name="フリーフォーム: 図形 50">
            <a:extLst>
              <a:ext uri="{FF2B5EF4-FFF2-40B4-BE49-F238E27FC236}">
                <a16:creationId xmlns:a16="http://schemas.microsoft.com/office/drawing/2014/main" id="{90FF87B0-CF00-AD91-5D23-6819A94185C5}"/>
              </a:ext>
            </a:extLst>
          </xdr:cNvPr>
          <xdr:cNvSpPr/>
        </xdr:nvSpPr>
        <xdr:spPr>
          <a:xfrm>
            <a:off x="924579" y="832151"/>
            <a:ext cx="38958" cy="38958"/>
          </a:xfrm>
          <a:custGeom>
            <a:avLst/>
            <a:gdLst>
              <a:gd name="connsiteX0" fmla="*/ 25372 w 38958"/>
              <a:gd name="connsiteY0" fmla="*/ 3652 h 38958"/>
              <a:gd name="connsiteX1" fmla="*/ 20210 w 38958"/>
              <a:gd name="connsiteY1" fmla="*/ 3652 h 38958"/>
              <a:gd name="connsiteX2" fmla="*/ 15048 w 38958"/>
              <a:gd name="connsiteY2" fmla="*/ 3652 h 38958"/>
              <a:gd name="connsiteX3" fmla="*/ 5162 w 38958"/>
              <a:gd name="connsiteY3" fmla="*/ 3652 h 38958"/>
              <a:gd name="connsiteX4" fmla="*/ 3652 w 38958"/>
              <a:gd name="connsiteY4" fmla="*/ 5162 h 38958"/>
              <a:gd name="connsiteX5" fmla="*/ 3652 w 38958"/>
              <a:gd name="connsiteY5" fmla="*/ 38617 h 38958"/>
              <a:gd name="connsiteX6" fmla="*/ 5162 w 38958"/>
              <a:gd name="connsiteY6" fmla="*/ 40127 h 38958"/>
              <a:gd name="connsiteX7" fmla="*/ 15048 w 38958"/>
              <a:gd name="connsiteY7" fmla="*/ 40127 h 38958"/>
              <a:gd name="connsiteX8" fmla="*/ 20210 w 38958"/>
              <a:gd name="connsiteY8" fmla="*/ 40127 h 38958"/>
              <a:gd name="connsiteX9" fmla="*/ 25372 w 38958"/>
              <a:gd name="connsiteY9" fmla="*/ 40127 h 38958"/>
              <a:gd name="connsiteX10" fmla="*/ 30534 w 38958"/>
              <a:gd name="connsiteY10" fmla="*/ 40127 h 38958"/>
              <a:gd name="connsiteX11" fmla="*/ 38617 w 38958"/>
              <a:gd name="connsiteY11" fmla="*/ 40127 h 38958"/>
              <a:gd name="connsiteX12" fmla="*/ 40127 w 38958"/>
              <a:gd name="connsiteY12" fmla="*/ 38617 h 38958"/>
              <a:gd name="connsiteX13" fmla="*/ 40127 w 38958"/>
              <a:gd name="connsiteY13" fmla="*/ 5162 h 38958"/>
              <a:gd name="connsiteX14" fmla="*/ 38617 w 38958"/>
              <a:gd name="connsiteY14" fmla="*/ 3652 h 38958"/>
              <a:gd name="connsiteX15" fmla="*/ 30534 w 38958"/>
              <a:gd name="connsiteY15" fmla="*/ 3652 h 38958"/>
              <a:gd name="connsiteX16" fmla="*/ 25372 w 38958"/>
              <a:gd name="connsiteY16"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38958" h="38958">
                <a:moveTo>
                  <a:pt x="25372" y="3652"/>
                </a:moveTo>
                <a:lnTo>
                  <a:pt x="20210" y="3652"/>
                </a:lnTo>
                <a:lnTo>
                  <a:pt x="15048" y="3652"/>
                </a:lnTo>
                <a:lnTo>
                  <a:pt x="5162" y="3652"/>
                </a:lnTo>
                <a:cubicBezTo>
                  <a:pt x="4334" y="3652"/>
                  <a:pt x="3652" y="4334"/>
                  <a:pt x="3652" y="5162"/>
                </a:cubicBezTo>
                <a:lnTo>
                  <a:pt x="3652" y="38617"/>
                </a:lnTo>
                <a:cubicBezTo>
                  <a:pt x="3652" y="39445"/>
                  <a:pt x="4334" y="40127"/>
                  <a:pt x="5162" y="40127"/>
                </a:cubicBezTo>
                <a:lnTo>
                  <a:pt x="15048" y="40127"/>
                </a:lnTo>
                <a:lnTo>
                  <a:pt x="20210" y="40127"/>
                </a:lnTo>
                <a:lnTo>
                  <a:pt x="25372" y="40127"/>
                </a:lnTo>
                <a:lnTo>
                  <a:pt x="30534" y="40127"/>
                </a:lnTo>
                <a:lnTo>
                  <a:pt x="38617" y="40127"/>
                </a:lnTo>
                <a:cubicBezTo>
                  <a:pt x="39445" y="40127"/>
                  <a:pt x="40127" y="39445"/>
                  <a:pt x="40127" y="38617"/>
                </a:cubicBezTo>
                <a:lnTo>
                  <a:pt x="40127" y="5162"/>
                </a:lnTo>
                <a:cubicBezTo>
                  <a:pt x="40127" y="4334"/>
                  <a:pt x="39445" y="3652"/>
                  <a:pt x="38617" y="3652"/>
                </a:cubicBezTo>
                <a:lnTo>
                  <a:pt x="30534" y="3652"/>
                </a:lnTo>
                <a:lnTo>
                  <a:pt x="25372" y="3652"/>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2" name="フリーフォーム: 図形 51">
            <a:extLst>
              <a:ext uri="{FF2B5EF4-FFF2-40B4-BE49-F238E27FC236}">
                <a16:creationId xmlns:a16="http://schemas.microsoft.com/office/drawing/2014/main" id="{74DE8CC0-5CEC-5336-8B7B-70E596BC6875}"/>
              </a:ext>
            </a:extLst>
          </xdr:cNvPr>
          <xdr:cNvSpPr/>
        </xdr:nvSpPr>
        <xdr:spPr>
          <a:xfrm>
            <a:off x="1075592" y="832151"/>
            <a:ext cx="38958" cy="38958"/>
          </a:xfrm>
          <a:custGeom>
            <a:avLst/>
            <a:gdLst>
              <a:gd name="connsiteX0" fmla="*/ 5162 w 38958"/>
              <a:gd name="connsiteY0" fmla="*/ 40127 h 38958"/>
              <a:gd name="connsiteX1" fmla="*/ 38618 w 38958"/>
              <a:gd name="connsiteY1" fmla="*/ 40127 h 38958"/>
              <a:gd name="connsiteX2" fmla="*/ 40127 w 38958"/>
              <a:gd name="connsiteY2" fmla="*/ 38617 h 38958"/>
              <a:gd name="connsiteX3" fmla="*/ 40127 w 38958"/>
              <a:gd name="connsiteY3" fmla="*/ 5162 h 38958"/>
              <a:gd name="connsiteX4" fmla="*/ 38618 w 38958"/>
              <a:gd name="connsiteY4" fmla="*/ 3652 h 38958"/>
              <a:gd name="connsiteX5" fmla="*/ 5162 w 38958"/>
              <a:gd name="connsiteY5" fmla="*/ 3652 h 38958"/>
              <a:gd name="connsiteX6" fmla="*/ 3652 w 38958"/>
              <a:gd name="connsiteY6" fmla="*/ 5162 h 38958"/>
              <a:gd name="connsiteX7" fmla="*/ 3652 w 38958"/>
              <a:gd name="connsiteY7" fmla="*/ 38617 h 38958"/>
              <a:gd name="connsiteX8" fmla="*/ 5162 w 38958"/>
              <a:gd name="connsiteY8" fmla="*/ 40127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5162" y="40127"/>
                </a:moveTo>
                <a:lnTo>
                  <a:pt x="38618" y="40127"/>
                </a:lnTo>
                <a:cubicBezTo>
                  <a:pt x="39445" y="40127"/>
                  <a:pt x="40127" y="39445"/>
                  <a:pt x="40127" y="38617"/>
                </a:cubicBezTo>
                <a:lnTo>
                  <a:pt x="40127" y="5162"/>
                </a:lnTo>
                <a:cubicBezTo>
                  <a:pt x="40127" y="4334"/>
                  <a:pt x="39445" y="3652"/>
                  <a:pt x="38618" y="3652"/>
                </a:cubicBezTo>
                <a:lnTo>
                  <a:pt x="5162" y="3652"/>
                </a:lnTo>
                <a:cubicBezTo>
                  <a:pt x="4334" y="3652"/>
                  <a:pt x="3652" y="4334"/>
                  <a:pt x="3652" y="5162"/>
                </a:cubicBezTo>
                <a:lnTo>
                  <a:pt x="3652" y="38617"/>
                </a:lnTo>
                <a:cubicBezTo>
                  <a:pt x="3652" y="39445"/>
                  <a:pt x="4334" y="40127"/>
                  <a:pt x="5162" y="40127"/>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3" name="フリーフォーム: 図形 52">
            <a:extLst>
              <a:ext uri="{FF2B5EF4-FFF2-40B4-BE49-F238E27FC236}">
                <a16:creationId xmlns:a16="http://schemas.microsoft.com/office/drawing/2014/main" id="{29495090-C2BC-2D64-2FAE-78421432D3EE}"/>
              </a:ext>
            </a:extLst>
          </xdr:cNvPr>
          <xdr:cNvSpPr/>
        </xdr:nvSpPr>
        <xdr:spPr>
          <a:xfrm>
            <a:off x="1144694" y="832151"/>
            <a:ext cx="38958" cy="38958"/>
          </a:xfrm>
          <a:custGeom>
            <a:avLst/>
            <a:gdLst>
              <a:gd name="connsiteX0" fmla="*/ 5162 w 38958"/>
              <a:gd name="connsiteY0" fmla="*/ 40127 h 38958"/>
              <a:gd name="connsiteX1" fmla="*/ 38618 w 38958"/>
              <a:gd name="connsiteY1" fmla="*/ 40127 h 38958"/>
              <a:gd name="connsiteX2" fmla="*/ 40127 w 38958"/>
              <a:gd name="connsiteY2" fmla="*/ 38617 h 38958"/>
              <a:gd name="connsiteX3" fmla="*/ 40127 w 38958"/>
              <a:gd name="connsiteY3" fmla="*/ 5162 h 38958"/>
              <a:gd name="connsiteX4" fmla="*/ 38618 w 38958"/>
              <a:gd name="connsiteY4" fmla="*/ 3652 h 38958"/>
              <a:gd name="connsiteX5" fmla="*/ 5162 w 38958"/>
              <a:gd name="connsiteY5" fmla="*/ 3652 h 38958"/>
              <a:gd name="connsiteX6" fmla="*/ 3652 w 38958"/>
              <a:gd name="connsiteY6" fmla="*/ 5162 h 38958"/>
              <a:gd name="connsiteX7" fmla="*/ 3652 w 38958"/>
              <a:gd name="connsiteY7" fmla="*/ 38617 h 38958"/>
              <a:gd name="connsiteX8" fmla="*/ 5162 w 38958"/>
              <a:gd name="connsiteY8" fmla="*/ 40127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5162" y="40127"/>
                </a:moveTo>
                <a:lnTo>
                  <a:pt x="38618" y="40127"/>
                </a:lnTo>
                <a:cubicBezTo>
                  <a:pt x="39445" y="40127"/>
                  <a:pt x="40127" y="39445"/>
                  <a:pt x="40127" y="38617"/>
                </a:cubicBezTo>
                <a:lnTo>
                  <a:pt x="40127" y="5162"/>
                </a:lnTo>
                <a:cubicBezTo>
                  <a:pt x="40127" y="4334"/>
                  <a:pt x="39445" y="3652"/>
                  <a:pt x="38618" y="3652"/>
                </a:cubicBezTo>
                <a:lnTo>
                  <a:pt x="5162" y="3652"/>
                </a:lnTo>
                <a:cubicBezTo>
                  <a:pt x="4334" y="3652"/>
                  <a:pt x="3652" y="4334"/>
                  <a:pt x="3652" y="5162"/>
                </a:cubicBezTo>
                <a:lnTo>
                  <a:pt x="3652" y="38617"/>
                </a:lnTo>
                <a:cubicBezTo>
                  <a:pt x="3652" y="39445"/>
                  <a:pt x="4334" y="40127"/>
                  <a:pt x="5162" y="40127"/>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54" name="フリーフォーム: 図形 53">
            <a:extLst>
              <a:ext uri="{FF2B5EF4-FFF2-40B4-BE49-F238E27FC236}">
                <a16:creationId xmlns:a16="http://schemas.microsoft.com/office/drawing/2014/main" id="{B99974C2-6833-FB1F-A267-4EC68DC7D940}"/>
              </a:ext>
            </a:extLst>
          </xdr:cNvPr>
          <xdr:cNvSpPr/>
        </xdr:nvSpPr>
        <xdr:spPr>
          <a:xfrm>
            <a:off x="229172" y="832151"/>
            <a:ext cx="38958" cy="38958"/>
          </a:xfrm>
          <a:custGeom>
            <a:avLst/>
            <a:gdLst>
              <a:gd name="connsiteX0" fmla="*/ 38617 w 38958"/>
              <a:gd name="connsiteY0" fmla="*/ 3652 h 38958"/>
              <a:gd name="connsiteX1" fmla="*/ 5162 w 38958"/>
              <a:gd name="connsiteY1" fmla="*/ 3652 h 38958"/>
              <a:gd name="connsiteX2" fmla="*/ 3652 w 38958"/>
              <a:gd name="connsiteY2" fmla="*/ 5162 h 38958"/>
              <a:gd name="connsiteX3" fmla="*/ 3652 w 38958"/>
              <a:gd name="connsiteY3" fmla="*/ 38617 h 38958"/>
              <a:gd name="connsiteX4" fmla="*/ 5162 w 38958"/>
              <a:gd name="connsiteY4" fmla="*/ 40127 h 38958"/>
              <a:gd name="connsiteX5" fmla="*/ 38617 w 38958"/>
              <a:gd name="connsiteY5" fmla="*/ 40127 h 38958"/>
              <a:gd name="connsiteX6" fmla="*/ 40127 w 38958"/>
              <a:gd name="connsiteY6" fmla="*/ 38617 h 38958"/>
              <a:gd name="connsiteX7" fmla="*/ 40127 w 38958"/>
              <a:gd name="connsiteY7" fmla="*/ 5162 h 38958"/>
              <a:gd name="connsiteX8" fmla="*/ 38617 w 38958"/>
              <a:gd name="connsiteY8" fmla="*/ 3652 h 3895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38958" h="38958">
                <a:moveTo>
                  <a:pt x="38617" y="3652"/>
                </a:moveTo>
                <a:lnTo>
                  <a:pt x="5162" y="3652"/>
                </a:lnTo>
                <a:cubicBezTo>
                  <a:pt x="4334" y="3652"/>
                  <a:pt x="3652" y="4334"/>
                  <a:pt x="3652" y="5162"/>
                </a:cubicBezTo>
                <a:lnTo>
                  <a:pt x="3652" y="38617"/>
                </a:lnTo>
                <a:cubicBezTo>
                  <a:pt x="3652" y="39445"/>
                  <a:pt x="4334" y="40127"/>
                  <a:pt x="5162" y="40127"/>
                </a:cubicBezTo>
                <a:lnTo>
                  <a:pt x="38617" y="40127"/>
                </a:lnTo>
                <a:cubicBezTo>
                  <a:pt x="39445" y="40127"/>
                  <a:pt x="40127" y="39445"/>
                  <a:pt x="40127" y="38617"/>
                </a:cubicBezTo>
                <a:lnTo>
                  <a:pt x="40127" y="5162"/>
                </a:lnTo>
                <a:cubicBezTo>
                  <a:pt x="40127" y="4285"/>
                  <a:pt x="39445" y="3652"/>
                  <a:pt x="38617" y="3652"/>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2</xdr:col>
      <xdr:colOff>349473</xdr:colOff>
      <xdr:row>82</xdr:row>
      <xdr:rowOff>47686</xdr:rowOff>
    </xdr:from>
    <xdr:to>
      <xdr:col>3</xdr:col>
      <xdr:colOff>782072</xdr:colOff>
      <xdr:row>84</xdr:row>
      <xdr:rowOff>102624</xdr:rowOff>
    </xdr:to>
    <xdr:sp macro="" textlink="">
      <xdr:nvSpPr>
        <xdr:cNvPr id="55" name="テキスト ボックス 41">
          <a:extLst>
            <a:ext uri="{FF2B5EF4-FFF2-40B4-BE49-F238E27FC236}">
              <a16:creationId xmlns:a16="http://schemas.microsoft.com/office/drawing/2014/main" id="{BE400EF8-F56C-48DC-83FA-53FA6CEC4C01}"/>
            </a:ext>
          </a:extLst>
        </xdr:cNvPr>
        <xdr:cNvSpPr txBox="1">
          <a:spLocks noChangeArrowheads="1"/>
        </xdr:cNvSpPr>
      </xdr:nvSpPr>
      <xdr:spPr bwMode="auto">
        <a:xfrm>
          <a:off x="892398" y="18611911"/>
          <a:ext cx="1032674" cy="5311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清掃工場</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GWh</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0</xdr:col>
      <xdr:colOff>0</xdr:colOff>
      <xdr:row>89</xdr:row>
      <xdr:rowOff>152754</xdr:rowOff>
    </xdr:from>
    <xdr:to>
      <xdr:col>3</xdr:col>
      <xdr:colOff>679788</xdr:colOff>
      <xdr:row>91</xdr:row>
      <xdr:rowOff>216327</xdr:rowOff>
    </xdr:to>
    <xdr:sp macro="" textlink="">
      <xdr:nvSpPr>
        <xdr:cNvPr id="56" name="テキスト ボックス 41">
          <a:extLst>
            <a:ext uri="{FF2B5EF4-FFF2-40B4-BE49-F238E27FC236}">
              <a16:creationId xmlns:a16="http://schemas.microsoft.com/office/drawing/2014/main" id="{A5818D5E-826B-4AFF-8628-077EDF412074}"/>
            </a:ext>
          </a:extLst>
        </xdr:cNvPr>
        <xdr:cNvSpPr txBox="1">
          <a:spLocks noChangeArrowheads="1"/>
        </xdr:cNvSpPr>
      </xdr:nvSpPr>
      <xdr:spPr bwMode="auto">
        <a:xfrm>
          <a:off x="0" y="20383854"/>
          <a:ext cx="1822788" cy="539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太陽光発電</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GWh</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endPar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2</xdr:col>
      <xdr:colOff>443628</xdr:colOff>
      <xdr:row>89</xdr:row>
      <xdr:rowOff>153581</xdr:rowOff>
    </xdr:from>
    <xdr:to>
      <xdr:col>3</xdr:col>
      <xdr:colOff>1665927</xdr:colOff>
      <xdr:row>91</xdr:row>
      <xdr:rowOff>217154</xdr:rowOff>
    </xdr:to>
    <xdr:sp macro="" textlink="">
      <xdr:nvSpPr>
        <xdr:cNvPr id="57" name="テキスト ボックス 41">
          <a:extLst>
            <a:ext uri="{FF2B5EF4-FFF2-40B4-BE49-F238E27FC236}">
              <a16:creationId xmlns:a16="http://schemas.microsoft.com/office/drawing/2014/main" id="{7B1DC11C-3DBD-434F-8E54-978FF49806E6}"/>
            </a:ext>
          </a:extLst>
        </xdr:cNvPr>
        <xdr:cNvSpPr txBox="1">
          <a:spLocks noChangeArrowheads="1"/>
        </xdr:cNvSpPr>
      </xdr:nvSpPr>
      <xdr:spPr bwMode="auto">
        <a:xfrm>
          <a:off x="986553" y="20384681"/>
          <a:ext cx="1822374" cy="539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風力発電</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GWh</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endPar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2</xdr:col>
      <xdr:colOff>408335</xdr:colOff>
      <xdr:row>100</xdr:row>
      <xdr:rowOff>219825</xdr:rowOff>
    </xdr:from>
    <xdr:to>
      <xdr:col>3</xdr:col>
      <xdr:colOff>744321</xdr:colOff>
      <xdr:row>103</xdr:row>
      <xdr:rowOff>212095</xdr:rowOff>
    </xdr:to>
    <xdr:grpSp>
      <xdr:nvGrpSpPr>
        <xdr:cNvPr id="58" name="グループ化 57">
          <a:extLst>
            <a:ext uri="{FF2B5EF4-FFF2-40B4-BE49-F238E27FC236}">
              <a16:creationId xmlns:a16="http://schemas.microsoft.com/office/drawing/2014/main" id="{C6DC7296-9711-4974-A3AC-2FBF87000121}"/>
            </a:ext>
          </a:extLst>
        </xdr:cNvPr>
        <xdr:cNvGrpSpPr>
          <a:grpSpLocks noChangeAspect="1"/>
        </xdr:cNvGrpSpPr>
      </xdr:nvGrpSpPr>
      <xdr:grpSpPr>
        <a:xfrm>
          <a:off x="954435" y="22771850"/>
          <a:ext cx="932886" cy="681245"/>
          <a:chOff x="0" y="0"/>
          <a:chExt cx="1551758" cy="1029912"/>
        </a:xfrm>
        <a:solidFill>
          <a:schemeClr val="accent6">
            <a:lumMod val="75000"/>
          </a:schemeClr>
        </a:solidFill>
      </xdr:grpSpPr>
      <xdr:sp macro="" textlink="">
        <xdr:nvSpPr>
          <xdr:cNvPr id="59" name="Freeform 7">
            <a:extLst>
              <a:ext uri="{FF2B5EF4-FFF2-40B4-BE49-F238E27FC236}">
                <a16:creationId xmlns:a16="http://schemas.microsoft.com/office/drawing/2014/main" id="{80AF7879-F2CB-6FA5-21BB-9F4672CD54DA}"/>
              </a:ext>
            </a:extLst>
          </xdr:cNvPr>
          <xdr:cNvSpPr>
            <a:spLocks/>
          </xdr:cNvSpPr>
        </xdr:nvSpPr>
        <xdr:spPr bwMode="auto">
          <a:xfrm>
            <a:off x="1215834" y="290569"/>
            <a:ext cx="160598" cy="224283"/>
          </a:xfrm>
          <a:custGeom>
            <a:avLst/>
            <a:gdLst>
              <a:gd name="T0" fmla="*/ 43 w 50"/>
              <a:gd name="T1" fmla="*/ 25 h 69"/>
              <a:gd name="T2" fmla="*/ 43 w 50"/>
              <a:gd name="T3" fmla="*/ 24 h 69"/>
              <a:gd name="T4" fmla="*/ 37 w 50"/>
              <a:gd name="T5" fmla="*/ 12 h 69"/>
              <a:gd name="T6" fmla="*/ 25 w 50"/>
              <a:gd name="T7" fmla="*/ 0 h 69"/>
              <a:gd name="T8" fmla="*/ 14 w 50"/>
              <a:gd name="T9" fmla="*/ 12 h 69"/>
              <a:gd name="T10" fmla="*/ 7 w 50"/>
              <a:gd name="T11" fmla="*/ 24 h 69"/>
              <a:gd name="T12" fmla="*/ 7 w 50"/>
              <a:gd name="T13" fmla="*/ 25 h 69"/>
              <a:gd name="T14" fmla="*/ 0 w 50"/>
              <a:gd name="T15" fmla="*/ 36 h 69"/>
              <a:gd name="T16" fmla="*/ 11 w 50"/>
              <a:gd name="T17" fmla="*/ 49 h 69"/>
              <a:gd name="T18" fmla="*/ 18 w 50"/>
              <a:gd name="T19" fmla="*/ 47 h 69"/>
              <a:gd name="T20" fmla="*/ 21 w 50"/>
              <a:gd name="T21" fmla="*/ 48 h 69"/>
              <a:gd name="T22" fmla="*/ 19 w 50"/>
              <a:gd name="T23" fmla="*/ 69 h 69"/>
              <a:gd name="T24" fmla="*/ 31 w 50"/>
              <a:gd name="T25" fmla="*/ 69 h 69"/>
              <a:gd name="T26" fmla="*/ 28 w 50"/>
              <a:gd name="T27" fmla="*/ 48 h 69"/>
              <a:gd name="T28" fmla="*/ 31 w 50"/>
              <a:gd name="T29" fmla="*/ 47 h 69"/>
              <a:gd name="T30" fmla="*/ 38 w 50"/>
              <a:gd name="T31" fmla="*/ 49 h 69"/>
              <a:gd name="T32" fmla="*/ 50 w 50"/>
              <a:gd name="T33" fmla="*/ 36 h 69"/>
              <a:gd name="T34" fmla="*/ 43 w 50"/>
              <a:gd name="T35" fmla="*/ 25 h 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50" h="69">
                <a:moveTo>
                  <a:pt x="43" y="25"/>
                </a:moveTo>
                <a:cubicBezTo>
                  <a:pt x="43" y="25"/>
                  <a:pt x="43" y="24"/>
                  <a:pt x="43" y="24"/>
                </a:cubicBezTo>
                <a:cubicBezTo>
                  <a:pt x="43" y="18"/>
                  <a:pt x="40" y="14"/>
                  <a:pt x="37" y="12"/>
                </a:cubicBezTo>
                <a:cubicBezTo>
                  <a:pt x="36" y="6"/>
                  <a:pt x="31" y="0"/>
                  <a:pt x="25" y="0"/>
                </a:cubicBezTo>
                <a:cubicBezTo>
                  <a:pt x="19" y="0"/>
                  <a:pt x="14" y="6"/>
                  <a:pt x="14" y="12"/>
                </a:cubicBezTo>
                <a:cubicBezTo>
                  <a:pt x="10" y="14"/>
                  <a:pt x="7" y="18"/>
                  <a:pt x="7" y="24"/>
                </a:cubicBezTo>
                <a:cubicBezTo>
                  <a:pt x="7" y="25"/>
                  <a:pt x="7" y="25"/>
                  <a:pt x="7" y="25"/>
                </a:cubicBezTo>
                <a:cubicBezTo>
                  <a:pt x="3" y="27"/>
                  <a:pt x="0" y="31"/>
                  <a:pt x="0" y="36"/>
                </a:cubicBezTo>
                <a:cubicBezTo>
                  <a:pt x="0" y="43"/>
                  <a:pt x="5" y="49"/>
                  <a:pt x="11" y="49"/>
                </a:cubicBezTo>
                <a:cubicBezTo>
                  <a:pt x="14" y="49"/>
                  <a:pt x="16" y="48"/>
                  <a:pt x="18" y="47"/>
                </a:cubicBezTo>
                <a:cubicBezTo>
                  <a:pt x="19" y="47"/>
                  <a:pt x="20" y="48"/>
                  <a:pt x="21" y="48"/>
                </a:cubicBezTo>
                <a:cubicBezTo>
                  <a:pt x="19" y="69"/>
                  <a:pt x="19" y="69"/>
                  <a:pt x="19" y="69"/>
                </a:cubicBezTo>
                <a:cubicBezTo>
                  <a:pt x="31" y="69"/>
                  <a:pt x="31" y="69"/>
                  <a:pt x="31" y="69"/>
                </a:cubicBezTo>
                <a:cubicBezTo>
                  <a:pt x="28" y="48"/>
                  <a:pt x="28" y="48"/>
                  <a:pt x="28" y="48"/>
                </a:cubicBezTo>
                <a:cubicBezTo>
                  <a:pt x="30" y="48"/>
                  <a:pt x="30" y="47"/>
                  <a:pt x="31" y="47"/>
                </a:cubicBezTo>
                <a:cubicBezTo>
                  <a:pt x="33" y="48"/>
                  <a:pt x="36" y="49"/>
                  <a:pt x="38" y="49"/>
                </a:cubicBezTo>
                <a:cubicBezTo>
                  <a:pt x="45" y="49"/>
                  <a:pt x="50" y="43"/>
                  <a:pt x="50" y="36"/>
                </a:cubicBezTo>
                <a:cubicBezTo>
                  <a:pt x="50" y="31"/>
                  <a:pt x="47" y="27"/>
                  <a:pt x="43" y="25"/>
                </a:cubicBezTo>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60" name="Freeform 8">
            <a:extLst>
              <a:ext uri="{FF2B5EF4-FFF2-40B4-BE49-F238E27FC236}">
                <a16:creationId xmlns:a16="http://schemas.microsoft.com/office/drawing/2014/main" id="{3C045D8C-D526-A999-FC1B-0FCAFC3BBFA4}"/>
              </a:ext>
            </a:extLst>
          </xdr:cNvPr>
          <xdr:cNvSpPr>
            <a:spLocks/>
          </xdr:cNvSpPr>
        </xdr:nvSpPr>
        <xdr:spPr bwMode="auto">
          <a:xfrm>
            <a:off x="9566" y="340410"/>
            <a:ext cx="132909" cy="174442"/>
          </a:xfrm>
          <a:custGeom>
            <a:avLst/>
            <a:gdLst>
              <a:gd name="T0" fmla="*/ 36 w 41"/>
              <a:gd name="T1" fmla="*/ 20 h 54"/>
              <a:gd name="T2" fmla="*/ 36 w 41"/>
              <a:gd name="T3" fmla="*/ 19 h 54"/>
              <a:gd name="T4" fmla="*/ 30 w 41"/>
              <a:gd name="T5" fmla="*/ 9 h 54"/>
              <a:gd name="T6" fmla="*/ 21 w 41"/>
              <a:gd name="T7" fmla="*/ 0 h 54"/>
              <a:gd name="T8" fmla="*/ 12 w 41"/>
              <a:gd name="T9" fmla="*/ 9 h 54"/>
              <a:gd name="T10" fmla="*/ 7 w 41"/>
              <a:gd name="T11" fmla="*/ 19 h 54"/>
              <a:gd name="T12" fmla="*/ 7 w 41"/>
              <a:gd name="T13" fmla="*/ 19 h 54"/>
              <a:gd name="T14" fmla="*/ 0 w 41"/>
              <a:gd name="T15" fmla="*/ 28 h 54"/>
              <a:gd name="T16" fmla="*/ 10 w 41"/>
              <a:gd name="T17" fmla="*/ 38 h 54"/>
              <a:gd name="T18" fmla="*/ 15 w 41"/>
              <a:gd name="T19" fmla="*/ 37 h 54"/>
              <a:gd name="T20" fmla="*/ 18 w 41"/>
              <a:gd name="T21" fmla="*/ 38 h 54"/>
              <a:gd name="T22" fmla="*/ 16 w 41"/>
              <a:gd name="T23" fmla="*/ 54 h 54"/>
              <a:gd name="T24" fmla="*/ 26 w 41"/>
              <a:gd name="T25" fmla="*/ 54 h 54"/>
              <a:gd name="T26" fmla="*/ 24 w 41"/>
              <a:gd name="T27" fmla="*/ 38 h 54"/>
              <a:gd name="T28" fmla="*/ 26 w 41"/>
              <a:gd name="T29" fmla="*/ 37 h 54"/>
              <a:gd name="T30" fmla="*/ 32 w 41"/>
              <a:gd name="T31" fmla="*/ 38 h 54"/>
              <a:gd name="T32" fmla="*/ 41 w 41"/>
              <a:gd name="T33" fmla="*/ 28 h 54"/>
              <a:gd name="T34" fmla="*/ 36 w 41"/>
              <a:gd name="T35" fmla="*/ 20 h 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41" h="54">
                <a:moveTo>
                  <a:pt x="36" y="20"/>
                </a:moveTo>
                <a:cubicBezTo>
                  <a:pt x="36" y="19"/>
                  <a:pt x="36" y="19"/>
                  <a:pt x="36" y="19"/>
                </a:cubicBezTo>
                <a:cubicBezTo>
                  <a:pt x="36" y="14"/>
                  <a:pt x="33" y="11"/>
                  <a:pt x="30" y="9"/>
                </a:cubicBezTo>
                <a:cubicBezTo>
                  <a:pt x="30" y="4"/>
                  <a:pt x="26" y="0"/>
                  <a:pt x="21" y="0"/>
                </a:cubicBezTo>
                <a:cubicBezTo>
                  <a:pt x="16" y="0"/>
                  <a:pt x="12" y="4"/>
                  <a:pt x="12" y="9"/>
                </a:cubicBezTo>
                <a:cubicBezTo>
                  <a:pt x="9" y="11"/>
                  <a:pt x="7" y="14"/>
                  <a:pt x="7" y="19"/>
                </a:cubicBezTo>
                <a:cubicBezTo>
                  <a:pt x="7" y="19"/>
                  <a:pt x="7" y="19"/>
                  <a:pt x="7" y="19"/>
                </a:cubicBezTo>
                <a:cubicBezTo>
                  <a:pt x="3" y="21"/>
                  <a:pt x="0" y="24"/>
                  <a:pt x="0" y="28"/>
                </a:cubicBezTo>
                <a:cubicBezTo>
                  <a:pt x="0" y="34"/>
                  <a:pt x="5" y="38"/>
                  <a:pt x="10" y="38"/>
                </a:cubicBezTo>
                <a:cubicBezTo>
                  <a:pt x="12" y="38"/>
                  <a:pt x="14" y="38"/>
                  <a:pt x="15" y="37"/>
                </a:cubicBezTo>
                <a:cubicBezTo>
                  <a:pt x="16" y="37"/>
                  <a:pt x="17" y="38"/>
                  <a:pt x="18" y="38"/>
                </a:cubicBezTo>
                <a:cubicBezTo>
                  <a:pt x="16" y="54"/>
                  <a:pt x="16" y="54"/>
                  <a:pt x="16" y="54"/>
                </a:cubicBezTo>
                <a:cubicBezTo>
                  <a:pt x="26" y="54"/>
                  <a:pt x="26" y="54"/>
                  <a:pt x="26" y="54"/>
                </a:cubicBezTo>
                <a:cubicBezTo>
                  <a:pt x="24" y="38"/>
                  <a:pt x="24" y="38"/>
                  <a:pt x="24" y="38"/>
                </a:cubicBezTo>
                <a:cubicBezTo>
                  <a:pt x="25" y="38"/>
                  <a:pt x="25" y="37"/>
                  <a:pt x="26" y="37"/>
                </a:cubicBezTo>
                <a:cubicBezTo>
                  <a:pt x="28" y="38"/>
                  <a:pt x="30" y="38"/>
                  <a:pt x="32" y="38"/>
                </a:cubicBezTo>
                <a:cubicBezTo>
                  <a:pt x="37" y="38"/>
                  <a:pt x="41" y="34"/>
                  <a:pt x="41" y="28"/>
                </a:cubicBezTo>
                <a:cubicBezTo>
                  <a:pt x="41" y="25"/>
                  <a:pt x="39" y="21"/>
                  <a:pt x="36" y="20"/>
                </a:cubicBezTo>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61" name="グループ化 60">
            <a:extLst>
              <a:ext uri="{FF2B5EF4-FFF2-40B4-BE49-F238E27FC236}">
                <a16:creationId xmlns:a16="http://schemas.microsoft.com/office/drawing/2014/main" id="{7EE54E65-14C0-B1FE-DA2A-F4F5A4896147}"/>
              </a:ext>
            </a:extLst>
          </xdr:cNvPr>
          <xdr:cNvGrpSpPr/>
        </xdr:nvGrpSpPr>
        <xdr:grpSpPr>
          <a:xfrm>
            <a:off x="1308092" y="0"/>
            <a:ext cx="243666" cy="238126"/>
            <a:chOff x="1308092" y="0"/>
            <a:chExt cx="139699" cy="136524"/>
          </a:xfrm>
          <a:grpFill/>
        </xdr:grpSpPr>
        <xdr:sp macro="" textlink="">
          <xdr:nvSpPr>
            <xdr:cNvPr id="67" name="Oval 9">
              <a:extLst>
                <a:ext uri="{FF2B5EF4-FFF2-40B4-BE49-F238E27FC236}">
                  <a16:creationId xmlns:a16="http://schemas.microsoft.com/office/drawing/2014/main" id="{6071030A-FBE4-9D6E-54E4-1A785587C9E0}"/>
                </a:ext>
              </a:extLst>
            </xdr:cNvPr>
            <xdr:cNvSpPr>
              <a:spLocks noChangeArrowheads="1"/>
            </xdr:cNvSpPr>
          </xdr:nvSpPr>
          <xdr:spPr bwMode="auto">
            <a:xfrm>
              <a:off x="1350954" y="42862"/>
              <a:ext cx="53975" cy="50800"/>
            </a:xfrm>
            <a:prstGeom prst="ellipse">
              <a:avLst/>
            </a:pr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68" name="Freeform 10">
              <a:extLst>
                <a:ext uri="{FF2B5EF4-FFF2-40B4-BE49-F238E27FC236}">
                  <a16:creationId xmlns:a16="http://schemas.microsoft.com/office/drawing/2014/main" id="{629CCAA6-D089-D590-2513-A2BAFFEC5946}"/>
                </a:ext>
              </a:extLst>
            </xdr:cNvPr>
            <xdr:cNvSpPr>
              <a:spLocks/>
            </xdr:cNvSpPr>
          </xdr:nvSpPr>
          <xdr:spPr bwMode="auto">
            <a:xfrm>
              <a:off x="1373179" y="106362"/>
              <a:ext cx="9525" cy="30162"/>
            </a:xfrm>
            <a:custGeom>
              <a:avLst/>
              <a:gdLst>
                <a:gd name="T0" fmla="*/ 2 w 5"/>
                <a:gd name="T1" fmla="*/ 16 h 16"/>
                <a:gd name="T2" fmla="*/ 0 w 5"/>
                <a:gd name="T3" fmla="*/ 13 h 16"/>
                <a:gd name="T4" fmla="*/ 0 w 5"/>
                <a:gd name="T5" fmla="*/ 3 h 16"/>
                <a:gd name="T6" fmla="*/ 2 w 5"/>
                <a:gd name="T7" fmla="*/ 0 h 16"/>
                <a:gd name="T8" fmla="*/ 5 w 5"/>
                <a:gd name="T9" fmla="*/ 3 h 16"/>
                <a:gd name="T10" fmla="*/ 5 w 5"/>
                <a:gd name="T11" fmla="*/ 13 h 16"/>
                <a:gd name="T12" fmla="*/ 2 w 5"/>
                <a:gd name="T13" fmla="*/ 16 h 16"/>
              </a:gdLst>
              <a:ahLst/>
              <a:cxnLst>
                <a:cxn ang="0">
                  <a:pos x="T0" y="T1"/>
                </a:cxn>
                <a:cxn ang="0">
                  <a:pos x="T2" y="T3"/>
                </a:cxn>
                <a:cxn ang="0">
                  <a:pos x="T4" y="T5"/>
                </a:cxn>
                <a:cxn ang="0">
                  <a:pos x="T6" y="T7"/>
                </a:cxn>
                <a:cxn ang="0">
                  <a:pos x="T8" y="T9"/>
                </a:cxn>
                <a:cxn ang="0">
                  <a:pos x="T10" y="T11"/>
                </a:cxn>
                <a:cxn ang="0">
                  <a:pos x="T12" y="T13"/>
                </a:cxn>
              </a:cxnLst>
              <a:rect l="0" t="0" r="r" b="b"/>
              <a:pathLst>
                <a:path w="5" h="16">
                  <a:moveTo>
                    <a:pt x="2" y="16"/>
                  </a:moveTo>
                  <a:cubicBezTo>
                    <a:pt x="1" y="16"/>
                    <a:pt x="0" y="15"/>
                    <a:pt x="0" y="13"/>
                  </a:cubicBezTo>
                  <a:cubicBezTo>
                    <a:pt x="0" y="3"/>
                    <a:pt x="0" y="3"/>
                    <a:pt x="0" y="3"/>
                  </a:cubicBezTo>
                  <a:cubicBezTo>
                    <a:pt x="0" y="1"/>
                    <a:pt x="1" y="0"/>
                    <a:pt x="2" y="0"/>
                  </a:cubicBezTo>
                  <a:cubicBezTo>
                    <a:pt x="4" y="0"/>
                    <a:pt x="5" y="1"/>
                    <a:pt x="5" y="3"/>
                  </a:cubicBezTo>
                  <a:cubicBezTo>
                    <a:pt x="5" y="13"/>
                    <a:pt x="5" y="13"/>
                    <a:pt x="5" y="13"/>
                  </a:cubicBezTo>
                  <a:cubicBezTo>
                    <a:pt x="5" y="15"/>
                    <a:pt x="4" y="16"/>
                    <a:pt x="2" y="16"/>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69" name="Freeform 11">
              <a:extLst>
                <a:ext uri="{FF2B5EF4-FFF2-40B4-BE49-F238E27FC236}">
                  <a16:creationId xmlns:a16="http://schemas.microsoft.com/office/drawing/2014/main" id="{46DAF28E-2ECD-9D36-645E-0819F5220D80}"/>
                </a:ext>
              </a:extLst>
            </xdr:cNvPr>
            <xdr:cNvSpPr>
              <a:spLocks/>
            </xdr:cNvSpPr>
          </xdr:nvSpPr>
          <xdr:spPr bwMode="auto">
            <a:xfrm>
              <a:off x="1373179" y="0"/>
              <a:ext cx="9525" cy="26987"/>
            </a:xfrm>
            <a:custGeom>
              <a:avLst/>
              <a:gdLst>
                <a:gd name="T0" fmla="*/ 2 w 5"/>
                <a:gd name="T1" fmla="*/ 15 h 15"/>
                <a:gd name="T2" fmla="*/ 0 w 5"/>
                <a:gd name="T3" fmla="*/ 13 h 15"/>
                <a:gd name="T4" fmla="*/ 0 w 5"/>
                <a:gd name="T5" fmla="*/ 2 h 15"/>
                <a:gd name="T6" fmla="*/ 2 w 5"/>
                <a:gd name="T7" fmla="*/ 0 h 15"/>
                <a:gd name="T8" fmla="*/ 5 w 5"/>
                <a:gd name="T9" fmla="*/ 2 h 15"/>
                <a:gd name="T10" fmla="*/ 5 w 5"/>
                <a:gd name="T11" fmla="*/ 13 h 15"/>
                <a:gd name="T12" fmla="*/ 2 w 5"/>
                <a:gd name="T13" fmla="*/ 15 h 15"/>
              </a:gdLst>
              <a:ahLst/>
              <a:cxnLst>
                <a:cxn ang="0">
                  <a:pos x="T0" y="T1"/>
                </a:cxn>
                <a:cxn ang="0">
                  <a:pos x="T2" y="T3"/>
                </a:cxn>
                <a:cxn ang="0">
                  <a:pos x="T4" y="T5"/>
                </a:cxn>
                <a:cxn ang="0">
                  <a:pos x="T6" y="T7"/>
                </a:cxn>
                <a:cxn ang="0">
                  <a:pos x="T8" y="T9"/>
                </a:cxn>
                <a:cxn ang="0">
                  <a:pos x="T10" y="T11"/>
                </a:cxn>
                <a:cxn ang="0">
                  <a:pos x="T12" y="T13"/>
                </a:cxn>
              </a:cxnLst>
              <a:rect l="0" t="0" r="r" b="b"/>
              <a:pathLst>
                <a:path w="5" h="15">
                  <a:moveTo>
                    <a:pt x="2" y="15"/>
                  </a:moveTo>
                  <a:cubicBezTo>
                    <a:pt x="1" y="15"/>
                    <a:pt x="0" y="14"/>
                    <a:pt x="0" y="13"/>
                  </a:cubicBezTo>
                  <a:cubicBezTo>
                    <a:pt x="0" y="2"/>
                    <a:pt x="0" y="2"/>
                    <a:pt x="0" y="2"/>
                  </a:cubicBezTo>
                  <a:cubicBezTo>
                    <a:pt x="0" y="1"/>
                    <a:pt x="1" y="0"/>
                    <a:pt x="2" y="0"/>
                  </a:cubicBezTo>
                  <a:cubicBezTo>
                    <a:pt x="4" y="0"/>
                    <a:pt x="5" y="1"/>
                    <a:pt x="5" y="2"/>
                  </a:cubicBezTo>
                  <a:cubicBezTo>
                    <a:pt x="5" y="13"/>
                    <a:pt x="5" y="13"/>
                    <a:pt x="5" y="13"/>
                  </a:cubicBezTo>
                  <a:cubicBezTo>
                    <a:pt x="5" y="14"/>
                    <a:pt x="4" y="15"/>
                    <a:pt x="2" y="15"/>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70" name="Freeform 12">
              <a:extLst>
                <a:ext uri="{FF2B5EF4-FFF2-40B4-BE49-F238E27FC236}">
                  <a16:creationId xmlns:a16="http://schemas.microsoft.com/office/drawing/2014/main" id="{95C5FDF0-8E10-F401-85F6-76D2B33A8ADC}"/>
                </a:ext>
              </a:extLst>
            </xdr:cNvPr>
            <xdr:cNvSpPr>
              <a:spLocks/>
            </xdr:cNvSpPr>
          </xdr:nvSpPr>
          <xdr:spPr bwMode="auto">
            <a:xfrm>
              <a:off x="1417629" y="65087"/>
              <a:ext cx="30162" cy="6350"/>
            </a:xfrm>
            <a:custGeom>
              <a:avLst/>
              <a:gdLst>
                <a:gd name="T0" fmla="*/ 14 w 16"/>
                <a:gd name="T1" fmla="*/ 4 h 4"/>
                <a:gd name="T2" fmla="*/ 2 w 16"/>
                <a:gd name="T3" fmla="*/ 4 h 4"/>
                <a:gd name="T4" fmla="*/ 0 w 16"/>
                <a:gd name="T5" fmla="*/ 2 h 4"/>
                <a:gd name="T6" fmla="*/ 2 w 16"/>
                <a:gd name="T7" fmla="*/ 0 h 4"/>
                <a:gd name="T8" fmla="*/ 14 w 16"/>
                <a:gd name="T9" fmla="*/ 0 h 4"/>
                <a:gd name="T10" fmla="*/ 16 w 16"/>
                <a:gd name="T11" fmla="*/ 2 h 4"/>
                <a:gd name="T12" fmla="*/ 14 w 16"/>
                <a:gd name="T13" fmla="*/ 4 h 4"/>
              </a:gdLst>
              <a:ahLst/>
              <a:cxnLst>
                <a:cxn ang="0">
                  <a:pos x="T0" y="T1"/>
                </a:cxn>
                <a:cxn ang="0">
                  <a:pos x="T2" y="T3"/>
                </a:cxn>
                <a:cxn ang="0">
                  <a:pos x="T4" y="T5"/>
                </a:cxn>
                <a:cxn ang="0">
                  <a:pos x="T6" y="T7"/>
                </a:cxn>
                <a:cxn ang="0">
                  <a:pos x="T8" y="T9"/>
                </a:cxn>
                <a:cxn ang="0">
                  <a:pos x="T10" y="T11"/>
                </a:cxn>
                <a:cxn ang="0">
                  <a:pos x="T12" y="T13"/>
                </a:cxn>
              </a:cxnLst>
              <a:rect l="0" t="0" r="r" b="b"/>
              <a:pathLst>
                <a:path w="16" h="4">
                  <a:moveTo>
                    <a:pt x="14" y="4"/>
                  </a:moveTo>
                  <a:cubicBezTo>
                    <a:pt x="2" y="4"/>
                    <a:pt x="2" y="4"/>
                    <a:pt x="2" y="4"/>
                  </a:cubicBezTo>
                  <a:cubicBezTo>
                    <a:pt x="1" y="4"/>
                    <a:pt x="0" y="3"/>
                    <a:pt x="0" y="2"/>
                  </a:cubicBezTo>
                  <a:cubicBezTo>
                    <a:pt x="0" y="1"/>
                    <a:pt x="1" y="0"/>
                    <a:pt x="2" y="0"/>
                  </a:cubicBezTo>
                  <a:cubicBezTo>
                    <a:pt x="14" y="0"/>
                    <a:pt x="14" y="0"/>
                    <a:pt x="14" y="0"/>
                  </a:cubicBezTo>
                  <a:cubicBezTo>
                    <a:pt x="15" y="0"/>
                    <a:pt x="16" y="1"/>
                    <a:pt x="16" y="2"/>
                  </a:cubicBezTo>
                  <a:cubicBezTo>
                    <a:pt x="16" y="3"/>
                    <a:pt x="15" y="4"/>
                    <a:pt x="14" y="4"/>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71" name="Freeform 13">
              <a:extLst>
                <a:ext uri="{FF2B5EF4-FFF2-40B4-BE49-F238E27FC236}">
                  <a16:creationId xmlns:a16="http://schemas.microsoft.com/office/drawing/2014/main" id="{6B4DE7C0-35C8-149D-9EB3-2F0632727657}"/>
                </a:ext>
              </a:extLst>
            </xdr:cNvPr>
            <xdr:cNvSpPr>
              <a:spLocks/>
            </xdr:cNvSpPr>
          </xdr:nvSpPr>
          <xdr:spPr bwMode="auto">
            <a:xfrm>
              <a:off x="1308092" y="65087"/>
              <a:ext cx="30162" cy="6350"/>
            </a:xfrm>
            <a:custGeom>
              <a:avLst/>
              <a:gdLst>
                <a:gd name="T0" fmla="*/ 14 w 16"/>
                <a:gd name="T1" fmla="*/ 4 h 4"/>
                <a:gd name="T2" fmla="*/ 2 w 16"/>
                <a:gd name="T3" fmla="*/ 4 h 4"/>
                <a:gd name="T4" fmla="*/ 0 w 16"/>
                <a:gd name="T5" fmla="*/ 2 h 4"/>
                <a:gd name="T6" fmla="*/ 2 w 16"/>
                <a:gd name="T7" fmla="*/ 0 h 4"/>
                <a:gd name="T8" fmla="*/ 14 w 16"/>
                <a:gd name="T9" fmla="*/ 0 h 4"/>
                <a:gd name="T10" fmla="*/ 16 w 16"/>
                <a:gd name="T11" fmla="*/ 2 h 4"/>
                <a:gd name="T12" fmla="*/ 14 w 16"/>
                <a:gd name="T13" fmla="*/ 4 h 4"/>
              </a:gdLst>
              <a:ahLst/>
              <a:cxnLst>
                <a:cxn ang="0">
                  <a:pos x="T0" y="T1"/>
                </a:cxn>
                <a:cxn ang="0">
                  <a:pos x="T2" y="T3"/>
                </a:cxn>
                <a:cxn ang="0">
                  <a:pos x="T4" y="T5"/>
                </a:cxn>
                <a:cxn ang="0">
                  <a:pos x="T6" y="T7"/>
                </a:cxn>
                <a:cxn ang="0">
                  <a:pos x="T8" y="T9"/>
                </a:cxn>
                <a:cxn ang="0">
                  <a:pos x="T10" y="T11"/>
                </a:cxn>
                <a:cxn ang="0">
                  <a:pos x="T12" y="T13"/>
                </a:cxn>
              </a:cxnLst>
              <a:rect l="0" t="0" r="r" b="b"/>
              <a:pathLst>
                <a:path w="16" h="4">
                  <a:moveTo>
                    <a:pt x="14" y="4"/>
                  </a:moveTo>
                  <a:cubicBezTo>
                    <a:pt x="2" y="4"/>
                    <a:pt x="2" y="4"/>
                    <a:pt x="2" y="4"/>
                  </a:cubicBezTo>
                  <a:cubicBezTo>
                    <a:pt x="1" y="4"/>
                    <a:pt x="0" y="3"/>
                    <a:pt x="0" y="2"/>
                  </a:cubicBezTo>
                  <a:cubicBezTo>
                    <a:pt x="0" y="1"/>
                    <a:pt x="1" y="0"/>
                    <a:pt x="2" y="0"/>
                  </a:cubicBezTo>
                  <a:cubicBezTo>
                    <a:pt x="14" y="0"/>
                    <a:pt x="14" y="0"/>
                    <a:pt x="14" y="0"/>
                  </a:cubicBezTo>
                  <a:cubicBezTo>
                    <a:pt x="15" y="0"/>
                    <a:pt x="16" y="1"/>
                    <a:pt x="16" y="2"/>
                  </a:cubicBezTo>
                  <a:cubicBezTo>
                    <a:pt x="16" y="3"/>
                    <a:pt x="15" y="4"/>
                    <a:pt x="14" y="4"/>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72" name="Freeform 14">
              <a:extLst>
                <a:ext uri="{FF2B5EF4-FFF2-40B4-BE49-F238E27FC236}">
                  <a16:creationId xmlns:a16="http://schemas.microsoft.com/office/drawing/2014/main" id="{B870640E-3390-358F-7E8E-5E1E13050691}"/>
                </a:ext>
              </a:extLst>
            </xdr:cNvPr>
            <xdr:cNvSpPr>
              <a:spLocks/>
            </xdr:cNvSpPr>
          </xdr:nvSpPr>
          <xdr:spPr bwMode="auto">
            <a:xfrm>
              <a:off x="1404929" y="93662"/>
              <a:ext cx="23812" cy="23812"/>
            </a:xfrm>
            <a:custGeom>
              <a:avLst/>
              <a:gdLst>
                <a:gd name="T0" fmla="*/ 10 w 13"/>
                <a:gd name="T1" fmla="*/ 13 h 13"/>
                <a:gd name="T2" fmla="*/ 9 w 13"/>
                <a:gd name="T3" fmla="*/ 12 h 13"/>
                <a:gd name="T4" fmla="*/ 1 w 13"/>
                <a:gd name="T5" fmla="*/ 4 h 13"/>
                <a:gd name="T6" fmla="*/ 1 w 13"/>
                <a:gd name="T7" fmla="*/ 1 h 13"/>
                <a:gd name="T8" fmla="*/ 4 w 13"/>
                <a:gd name="T9" fmla="*/ 1 h 13"/>
                <a:gd name="T10" fmla="*/ 12 w 13"/>
                <a:gd name="T11" fmla="*/ 9 h 13"/>
                <a:gd name="T12" fmla="*/ 12 w 13"/>
                <a:gd name="T13" fmla="*/ 12 h 13"/>
                <a:gd name="T14" fmla="*/ 10 w 13"/>
                <a:gd name="T15" fmla="*/ 13 h 1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3" h="13">
                  <a:moveTo>
                    <a:pt x="10" y="13"/>
                  </a:moveTo>
                  <a:cubicBezTo>
                    <a:pt x="10" y="13"/>
                    <a:pt x="9" y="13"/>
                    <a:pt x="9" y="12"/>
                  </a:cubicBezTo>
                  <a:cubicBezTo>
                    <a:pt x="1" y="4"/>
                    <a:pt x="1" y="4"/>
                    <a:pt x="1" y="4"/>
                  </a:cubicBezTo>
                  <a:cubicBezTo>
                    <a:pt x="0" y="4"/>
                    <a:pt x="0" y="2"/>
                    <a:pt x="1" y="1"/>
                  </a:cubicBezTo>
                  <a:cubicBezTo>
                    <a:pt x="2" y="0"/>
                    <a:pt x="3" y="0"/>
                    <a:pt x="4" y="1"/>
                  </a:cubicBezTo>
                  <a:cubicBezTo>
                    <a:pt x="12" y="9"/>
                    <a:pt x="12" y="9"/>
                    <a:pt x="12" y="9"/>
                  </a:cubicBezTo>
                  <a:cubicBezTo>
                    <a:pt x="13" y="10"/>
                    <a:pt x="13" y="11"/>
                    <a:pt x="12" y="12"/>
                  </a:cubicBezTo>
                  <a:cubicBezTo>
                    <a:pt x="12" y="13"/>
                    <a:pt x="11" y="13"/>
                    <a:pt x="10" y="13"/>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73" name="Freeform 15">
              <a:extLst>
                <a:ext uri="{FF2B5EF4-FFF2-40B4-BE49-F238E27FC236}">
                  <a16:creationId xmlns:a16="http://schemas.microsoft.com/office/drawing/2014/main" id="{38AC4244-6060-C65C-5ACF-3BB3A23C6ED4}"/>
                </a:ext>
              </a:extLst>
            </xdr:cNvPr>
            <xdr:cNvSpPr>
              <a:spLocks/>
            </xdr:cNvSpPr>
          </xdr:nvSpPr>
          <xdr:spPr bwMode="auto">
            <a:xfrm>
              <a:off x="1327142" y="20637"/>
              <a:ext cx="23812" cy="22225"/>
            </a:xfrm>
            <a:custGeom>
              <a:avLst/>
              <a:gdLst>
                <a:gd name="T0" fmla="*/ 11 w 13"/>
                <a:gd name="T1" fmla="*/ 12 h 12"/>
                <a:gd name="T2" fmla="*/ 9 w 13"/>
                <a:gd name="T3" fmla="*/ 11 h 12"/>
                <a:gd name="T4" fmla="*/ 1 w 13"/>
                <a:gd name="T5" fmla="*/ 4 h 12"/>
                <a:gd name="T6" fmla="*/ 1 w 13"/>
                <a:gd name="T7" fmla="*/ 1 h 12"/>
                <a:gd name="T8" fmla="*/ 4 w 13"/>
                <a:gd name="T9" fmla="*/ 1 h 12"/>
                <a:gd name="T10" fmla="*/ 12 w 13"/>
                <a:gd name="T11" fmla="*/ 8 h 12"/>
                <a:gd name="T12" fmla="*/ 12 w 13"/>
                <a:gd name="T13" fmla="*/ 11 h 12"/>
                <a:gd name="T14" fmla="*/ 11 w 13"/>
                <a:gd name="T15" fmla="*/ 12 h 1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3" h="12">
                  <a:moveTo>
                    <a:pt x="11" y="12"/>
                  </a:moveTo>
                  <a:cubicBezTo>
                    <a:pt x="10" y="12"/>
                    <a:pt x="9" y="12"/>
                    <a:pt x="9" y="11"/>
                  </a:cubicBezTo>
                  <a:cubicBezTo>
                    <a:pt x="1" y="4"/>
                    <a:pt x="1" y="4"/>
                    <a:pt x="1" y="4"/>
                  </a:cubicBezTo>
                  <a:cubicBezTo>
                    <a:pt x="0" y="3"/>
                    <a:pt x="0" y="1"/>
                    <a:pt x="1" y="1"/>
                  </a:cubicBezTo>
                  <a:cubicBezTo>
                    <a:pt x="2" y="0"/>
                    <a:pt x="3" y="0"/>
                    <a:pt x="4" y="1"/>
                  </a:cubicBezTo>
                  <a:cubicBezTo>
                    <a:pt x="12" y="8"/>
                    <a:pt x="12" y="8"/>
                    <a:pt x="12" y="8"/>
                  </a:cubicBezTo>
                  <a:cubicBezTo>
                    <a:pt x="13" y="9"/>
                    <a:pt x="13" y="11"/>
                    <a:pt x="12" y="11"/>
                  </a:cubicBezTo>
                  <a:cubicBezTo>
                    <a:pt x="12" y="12"/>
                    <a:pt x="11" y="12"/>
                    <a:pt x="11" y="12"/>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74" name="Freeform 16">
              <a:extLst>
                <a:ext uri="{FF2B5EF4-FFF2-40B4-BE49-F238E27FC236}">
                  <a16:creationId xmlns:a16="http://schemas.microsoft.com/office/drawing/2014/main" id="{72079B71-786D-6D6B-2782-D4C003E9A332}"/>
                </a:ext>
              </a:extLst>
            </xdr:cNvPr>
            <xdr:cNvSpPr>
              <a:spLocks/>
            </xdr:cNvSpPr>
          </xdr:nvSpPr>
          <xdr:spPr bwMode="auto">
            <a:xfrm>
              <a:off x="1327142" y="93662"/>
              <a:ext cx="23812" cy="23812"/>
            </a:xfrm>
            <a:custGeom>
              <a:avLst/>
              <a:gdLst>
                <a:gd name="T0" fmla="*/ 3 w 13"/>
                <a:gd name="T1" fmla="*/ 13 h 13"/>
                <a:gd name="T2" fmla="*/ 1 w 13"/>
                <a:gd name="T3" fmla="*/ 12 h 13"/>
                <a:gd name="T4" fmla="*/ 1 w 13"/>
                <a:gd name="T5" fmla="*/ 9 h 13"/>
                <a:gd name="T6" fmla="*/ 9 w 13"/>
                <a:gd name="T7" fmla="*/ 1 h 13"/>
                <a:gd name="T8" fmla="*/ 12 w 13"/>
                <a:gd name="T9" fmla="*/ 1 h 13"/>
                <a:gd name="T10" fmla="*/ 12 w 13"/>
                <a:gd name="T11" fmla="*/ 4 h 13"/>
                <a:gd name="T12" fmla="*/ 4 w 13"/>
                <a:gd name="T13" fmla="*/ 12 h 13"/>
                <a:gd name="T14" fmla="*/ 3 w 13"/>
                <a:gd name="T15" fmla="*/ 13 h 1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3" h="13">
                  <a:moveTo>
                    <a:pt x="3" y="13"/>
                  </a:moveTo>
                  <a:cubicBezTo>
                    <a:pt x="2" y="13"/>
                    <a:pt x="1" y="13"/>
                    <a:pt x="1" y="12"/>
                  </a:cubicBezTo>
                  <a:cubicBezTo>
                    <a:pt x="0" y="11"/>
                    <a:pt x="0" y="10"/>
                    <a:pt x="1" y="9"/>
                  </a:cubicBezTo>
                  <a:cubicBezTo>
                    <a:pt x="9" y="1"/>
                    <a:pt x="9" y="1"/>
                    <a:pt x="9" y="1"/>
                  </a:cubicBezTo>
                  <a:cubicBezTo>
                    <a:pt x="10" y="0"/>
                    <a:pt x="11" y="0"/>
                    <a:pt x="12" y="1"/>
                  </a:cubicBezTo>
                  <a:cubicBezTo>
                    <a:pt x="13" y="2"/>
                    <a:pt x="13" y="4"/>
                    <a:pt x="12" y="4"/>
                  </a:cubicBezTo>
                  <a:cubicBezTo>
                    <a:pt x="4" y="12"/>
                    <a:pt x="4" y="12"/>
                    <a:pt x="4" y="12"/>
                  </a:cubicBezTo>
                  <a:cubicBezTo>
                    <a:pt x="4" y="13"/>
                    <a:pt x="3" y="13"/>
                    <a:pt x="3" y="13"/>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75" name="Freeform 17">
              <a:extLst>
                <a:ext uri="{FF2B5EF4-FFF2-40B4-BE49-F238E27FC236}">
                  <a16:creationId xmlns:a16="http://schemas.microsoft.com/office/drawing/2014/main" id="{9513F60E-2679-C93F-90AC-E7A1DED5DE97}"/>
                </a:ext>
              </a:extLst>
            </xdr:cNvPr>
            <xdr:cNvSpPr>
              <a:spLocks/>
            </xdr:cNvSpPr>
          </xdr:nvSpPr>
          <xdr:spPr bwMode="auto">
            <a:xfrm>
              <a:off x="1404929" y="19049"/>
              <a:ext cx="23812" cy="20637"/>
            </a:xfrm>
            <a:custGeom>
              <a:avLst/>
              <a:gdLst>
                <a:gd name="T0" fmla="*/ 2 w 13"/>
                <a:gd name="T1" fmla="*/ 12 h 12"/>
                <a:gd name="T2" fmla="*/ 1 w 13"/>
                <a:gd name="T3" fmla="*/ 11 h 12"/>
                <a:gd name="T4" fmla="*/ 1 w 13"/>
                <a:gd name="T5" fmla="*/ 8 h 12"/>
                <a:gd name="T6" fmla="*/ 9 w 13"/>
                <a:gd name="T7" fmla="*/ 1 h 12"/>
                <a:gd name="T8" fmla="*/ 12 w 13"/>
                <a:gd name="T9" fmla="*/ 1 h 12"/>
                <a:gd name="T10" fmla="*/ 12 w 13"/>
                <a:gd name="T11" fmla="*/ 4 h 12"/>
                <a:gd name="T12" fmla="*/ 4 w 13"/>
                <a:gd name="T13" fmla="*/ 11 h 12"/>
                <a:gd name="T14" fmla="*/ 2 w 13"/>
                <a:gd name="T15" fmla="*/ 12 h 1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3" h="12">
                  <a:moveTo>
                    <a:pt x="2" y="12"/>
                  </a:moveTo>
                  <a:cubicBezTo>
                    <a:pt x="2" y="12"/>
                    <a:pt x="1" y="12"/>
                    <a:pt x="1" y="11"/>
                  </a:cubicBezTo>
                  <a:cubicBezTo>
                    <a:pt x="0" y="11"/>
                    <a:pt x="0" y="9"/>
                    <a:pt x="1" y="8"/>
                  </a:cubicBezTo>
                  <a:cubicBezTo>
                    <a:pt x="9" y="1"/>
                    <a:pt x="9" y="1"/>
                    <a:pt x="9" y="1"/>
                  </a:cubicBezTo>
                  <a:cubicBezTo>
                    <a:pt x="10" y="0"/>
                    <a:pt x="11" y="0"/>
                    <a:pt x="12" y="1"/>
                  </a:cubicBezTo>
                  <a:cubicBezTo>
                    <a:pt x="13" y="1"/>
                    <a:pt x="13" y="3"/>
                    <a:pt x="12" y="4"/>
                  </a:cubicBezTo>
                  <a:cubicBezTo>
                    <a:pt x="4" y="11"/>
                    <a:pt x="4" y="11"/>
                    <a:pt x="4" y="11"/>
                  </a:cubicBezTo>
                  <a:cubicBezTo>
                    <a:pt x="4" y="12"/>
                    <a:pt x="3" y="12"/>
                    <a:pt x="2" y="12"/>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sp macro="" textlink="">
        <xdr:nvSpPr>
          <xdr:cNvPr id="62" name="Freeform 18">
            <a:extLst>
              <a:ext uri="{FF2B5EF4-FFF2-40B4-BE49-F238E27FC236}">
                <a16:creationId xmlns:a16="http://schemas.microsoft.com/office/drawing/2014/main" id="{30DF948E-A35A-D81F-A451-4B2CF158E4D5}"/>
              </a:ext>
            </a:extLst>
          </xdr:cNvPr>
          <xdr:cNvSpPr>
            <a:spLocks noEditPoints="1"/>
          </xdr:cNvSpPr>
        </xdr:nvSpPr>
        <xdr:spPr bwMode="auto">
          <a:xfrm>
            <a:off x="0" y="606265"/>
            <a:ext cx="1531222" cy="423647"/>
          </a:xfrm>
          <a:custGeom>
            <a:avLst/>
            <a:gdLst>
              <a:gd name="T0" fmla="*/ 273 w 474"/>
              <a:gd name="T1" fmla="*/ 10 h 132"/>
              <a:gd name="T2" fmla="*/ 59 w 474"/>
              <a:gd name="T3" fmla="*/ 29 h 132"/>
              <a:gd name="T4" fmla="*/ 0 w 474"/>
              <a:gd name="T5" fmla="*/ 70 h 132"/>
              <a:gd name="T6" fmla="*/ 68 w 474"/>
              <a:gd name="T7" fmla="*/ 121 h 132"/>
              <a:gd name="T8" fmla="*/ 337 w 474"/>
              <a:gd name="T9" fmla="*/ 126 h 132"/>
              <a:gd name="T10" fmla="*/ 469 w 474"/>
              <a:gd name="T11" fmla="*/ 80 h 132"/>
              <a:gd name="T12" fmla="*/ 414 w 474"/>
              <a:gd name="T13" fmla="*/ 43 h 132"/>
              <a:gd name="T14" fmla="*/ 330 w 474"/>
              <a:gd name="T15" fmla="*/ 35 h 132"/>
              <a:gd name="T16" fmla="*/ 86 w 474"/>
              <a:gd name="T17" fmla="*/ 32 h 132"/>
              <a:gd name="T18" fmla="*/ 82 w 474"/>
              <a:gd name="T19" fmla="*/ 40 h 132"/>
              <a:gd name="T20" fmla="*/ 127 w 474"/>
              <a:gd name="T21" fmla="*/ 106 h 132"/>
              <a:gd name="T22" fmla="*/ 371 w 474"/>
              <a:gd name="T23" fmla="*/ 104 h 132"/>
              <a:gd name="T24" fmla="*/ 330 w 474"/>
              <a:gd name="T25" fmla="*/ 35 h 132"/>
              <a:gd name="T26" fmla="*/ 434 w 474"/>
              <a:gd name="T27" fmla="*/ 85 h 132"/>
              <a:gd name="T28" fmla="*/ 433 w 474"/>
              <a:gd name="T29" fmla="*/ 58 h 132"/>
              <a:gd name="T30" fmla="*/ 434 w 474"/>
              <a:gd name="T31" fmla="*/ 57 h 132"/>
              <a:gd name="T32" fmla="*/ 448 w 474"/>
              <a:gd name="T33" fmla="*/ 80 h 132"/>
              <a:gd name="T34" fmla="*/ 405 w 474"/>
              <a:gd name="T35" fmla="*/ 101 h 132"/>
              <a:gd name="T36" fmla="*/ 404 w 474"/>
              <a:gd name="T37" fmla="*/ 99 h 132"/>
              <a:gd name="T38" fmla="*/ 144 w 474"/>
              <a:gd name="T39" fmla="*/ 72 h 132"/>
              <a:gd name="T40" fmla="*/ 131 w 474"/>
              <a:gd name="T41" fmla="*/ 99 h 132"/>
              <a:gd name="T42" fmla="*/ 112 w 474"/>
              <a:gd name="T43" fmla="*/ 72 h 132"/>
              <a:gd name="T44" fmla="*/ 202 w 474"/>
              <a:gd name="T45" fmla="*/ 99 h 132"/>
              <a:gd name="T46" fmla="*/ 151 w 474"/>
              <a:gd name="T47" fmla="*/ 72 h 132"/>
              <a:gd name="T48" fmla="*/ 202 w 474"/>
              <a:gd name="T49" fmla="*/ 99 h 132"/>
              <a:gd name="T50" fmla="*/ 209 w 474"/>
              <a:gd name="T51" fmla="*/ 99 h 132"/>
              <a:gd name="T52" fmla="*/ 225 w 474"/>
              <a:gd name="T53" fmla="*/ 72 h 132"/>
              <a:gd name="T54" fmla="*/ 282 w 474"/>
              <a:gd name="T55" fmla="*/ 99 h 132"/>
              <a:gd name="T56" fmla="*/ 232 w 474"/>
              <a:gd name="T57" fmla="*/ 72 h 132"/>
              <a:gd name="T58" fmla="*/ 282 w 474"/>
              <a:gd name="T59" fmla="*/ 99 h 132"/>
              <a:gd name="T60" fmla="*/ 290 w 474"/>
              <a:gd name="T61" fmla="*/ 99 h 132"/>
              <a:gd name="T62" fmla="*/ 306 w 474"/>
              <a:gd name="T63" fmla="*/ 72 h 132"/>
              <a:gd name="T64" fmla="*/ 344 w 474"/>
              <a:gd name="T65" fmla="*/ 72 h 132"/>
              <a:gd name="T66" fmla="*/ 358 w 474"/>
              <a:gd name="T67" fmla="*/ 97 h 132"/>
              <a:gd name="T68" fmla="*/ 331 w 474"/>
              <a:gd name="T69" fmla="*/ 99 h 132"/>
              <a:gd name="T70" fmla="*/ 344 w 474"/>
              <a:gd name="T71" fmla="*/ 72 h 132"/>
              <a:gd name="T72" fmla="*/ 66 w 474"/>
              <a:gd name="T73" fmla="*/ 47 h 132"/>
              <a:gd name="T74" fmla="*/ 49 w 474"/>
              <a:gd name="T75" fmla="*/ 48 h 132"/>
              <a:gd name="T76" fmla="*/ 39 w 474"/>
              <a:gd name="T77" fmla="*/ 92 h 132"/>
              <a:gd name="T78" fmla="*/ 41 w 474"/>
              <a:gd name="T79" fmla="*/ 91 h 132"/>
              <a:gd name="T80" fmla="*/ 51 w 474"/>
              <a:gd name="T81" fmla="*/ 52 h 132"/>
              <a:gd name="T82" fmla="*/ 293 w 474"/>
              <a:gd name="T83" fmla="*/ 40 h 132"/>
              <a:gd name="T84" fmla="*/ 325 w 474"/>
              <a:gd name="T85" fmla="*/ 41 h 132"/>
              <a:gd name="T86" fmla="*/ 310 w 474"/>
              <a:gd name="T87" fmla="*/ 66 h 132"/>
              <a:gd name="T88" fmla="*/ 123 w 474"/>
              <a:gd name="T89" fmla="*/ 40 h 132"/>
              <a:gd name="T90" fmla="*/ 140 w 474"/>
              <a:gd name="T91" fmla="*/ 66 h 132"/>
              <a:gd name="T92" fmla="*/ 95 w 474"/>
              <a:gd name="T93" fmla="*/ 45 h 132"/>
              <a:gd name="T94" fmla="*/ 98 w 474"/>
              <a:gd name="T95" fmla="*/ 40 h 132"/>
              <a:gd name="T96" fmla="*/ 164 w 474"/>
              <a:gd name="T97" fmla="*/ 40 h 132"/>
              <a:gd name="T98" fmla="*/ 181 w 474"/>
              <a:gd name="T99" fmla="*/ 66 h 132"/>
              <a:gd name="T100" fmla="*/ 130 w 474"/>
              <a:gd name="T101" fmla="*/ 40 h 132"/>
              <a:gd name="T102" fmla="*/ 204 w 474"/>
              <a:gd name="T103" fmla="*/ 40 h 132"/>
              <a:gd name="T104" fmla="*/ 221 w 474"/>
              <a:gd name="T105" fmla="*/ 66 h 132"/>
              <a:gd name="T106" fmla="*/ 171 w 474"/>
              <a:gd name="T107" fmla="*/ 40 h 132"/>
              <a:gd name="T108" fmla="*/ 245 w 474"/>
              <a:gd name="T109" fmla="*/ 40 h 132"/>
              <a:gd name="T110" fmla="*/ 262 w 474"/>
              <a:gd name="T111" fmla="*/ 66 h 132"/>
              <a:gd name="T112" fmla="*/ 211 w 474"/>
              <a:gd name="T113" fmla="*/ 40 h 132"/>
              <a:gd name="T114" fmla="*/ 286 w 474"/>
              <a:gd name="T115" fmla="*/ 40 h 132"/>
              <a:gd name="T116" fmla="*/ 269 w 474"/>
              <a:gd name="T117" fmla="*/ 66 h 132"/>
              <a:gd name="T118" fmla="*/ 286 w 474"/>
              <a:gd name="T119" fmla="*/ 40 h 13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474" h="132">
                <a:moveTo>
                  <a:pt x="371" y="38"/>
                </a:moveTo>
                <a:cubicBezTo>
                  <a:pt x="340" y="30"/>
                  <a:pt x="325" y="16"/>
                  <a:pt x="273" y="10"/>
                </a:cubicBezTo>
                <a:cubicBezTo>
                  <a:pt x="221" y="4"/>
                  <a:pt x="217" y="0"/>
                  <a:pt x="150" y="5"/>
                </a:cubicBezTo>
                <a:cubicBezTo>
                  <a:pt x="82" y="9"/>
                  <a:pt x="91" y="16"/>
                  <a:pt x="59" y="29"/>
                </a:cubicBezTo>
                <a:cubicBezTo>
                  <a:pt x="43" y="35"/>
                  <a:pt x="29" y="40"/>
                  <a:pt x="18" y="46"/>
                </a:cubicBezTo>
                <a:cubicBezTo>
                  <a:pt x="7" y="52"/>
                  <a:pt x="0" y="60"/>
                  <a:pt x="0" y="70"/>
                </a:cubicBezTo>
                <a:cubicBezTo>
                  <a:pt x="0" y="78"/>
                  <a:pt x="5" y="88"/>
                  <a:pt x="14" y="96"/>
                </a:cubicBezTo>
                <a:cubicBezTo>
                  <a:pt x="27" y="110"/>
                  <a:pt x="47" y="121"/>
                  <a:pt x="68" y="121"/>
                </a:cubicBezTo>
                <a:cubicBezTo>
                  <a:pt x="102" y="122"/>
                  <a:pt x="155" y="116"/>
                  <a:pt x="183" y="121"/>
                </a:cubicBezTo>
                <a:cubicBezTo>
                  <a:pt x="208" y="126"/>
                  <a:pt x="296" y="132"/>
                  <a:pt x="337" y="126"/>
                </a:cubicBezTo>
                <a:cubicBezTo>
                  <a:pt x="379" y="120"/>
                  <a:pt x="412" y="114"/>
                  <a:pt x="438" y="105"/>
                </a:cubicBezTo>
                <a:cubicBezTo>
                  <a:pt x="457" y="98"/>
                  <a:pt x="466" y="89"/>
                  <a:pt x="469" y="80"/>
                </a:cubicBezTo>
                <a:cubicBezTo>
                  <a:pt x="474" y="66"/>
                  <a:pt x="465" y="53"/>
                  <a:pt x="454" y="49"/>
                </a:cubicBezTo>
                <a:cubicBezTo>
                  <a:pt x="442" y="45"/>
                  <a:pt x="428" y="44"/>
                  <a:pt x="414" y="43"/>
                </a:cubicBezTo>
                <a:cubicBezTo>
                  <a:pt x="400" y="43"/>
                  <a:pt x="385" y="42"/>
                  <a:pt x="371" y="38"/>
                </a:cubicBezTo>
                <a:close/>
                <a:moveTo>
                  <a:pt x="330" y="35"/>
                </a:moveTo>
                <a:cubicBezTo>
                  <a:pt x="329" y="33"/>
                  <a:pt x="328" y="32"/>
                  <a:pt x="326" y="32"/>
                </a:cubicBezTo>
                <a:cubicBezTo>
                  <a:pt x="246" y="32"/>
                  <a:pt x="166" y="32"/>
                  <a:pt x="86" y="32"/>
                </a:cubicBezTo>
                <a:cubicBezTo>
                  <a:pt x="84" y="32"/>
                  <a:pt x="82" y="33"/>
                  <a:pt x="81" y="35"/>
                </a:cubicBezTo>
                <a:cubicBezTo>
                  <a:pt x="81" y="36"/>
                  <a:pt x="81" y="38"/>
                  <a:pt x="82" y="40"/>
                </a:cubicBezTo>
                <a:cubicBezTo>
                  <a:pt x="123" y="104"/>
                  <a:pt x="123" y="104"/>
                  <a:pt x="123" y="104"/>
                </a:cubicBezTo>
                <a:cubicBezTo>
                  <a:pt x="124" y="105"/>
                  <a:pt x="125" y="106"/>
                  <a:pt x="127" y="106"/>
                </a:cubicBezTo>
                <a:cubicBezTo>
                  <a:pt x="367" y="106"/>
                  <a:pt x="367" y="106"/>
                  <a:pt x="367" y="106"/>
                </a:cubicBezTo>
                <a:cubicBezTo>
                  <a:pt x="369" y="106"/>
                  <a:pt x="370" y="105"/>
                  <a:pt x="371" y="104"/>
                </a:cubicBezTo>
                <a:cubicBezTo>
                  <a:pt x="372" y="102"/>
                  <a:pt x="372" y="100"/>
                  <a:pt x="371" y="99"/>
                </a:cubicBezTo>
                <a:cubicBezTo>
                  <a:pt x="330" y="35"/>
                  <a:pt x="330" y="35"/>
                  <a:pt x="330" y="35"/>
                </a:cubicBezTo>
                <a:close/>
                <a:moveTo>
                  <a:pt x="404" y="99"/>
                </a:moveTo>
                <a:cubicBezTo>
                  <a:pt x="414" y="98"/>
                  <a:pt x="427" y="93"/>
                  <a:pt x="434" y="85"/>
                </a:cubicBezTo>
                <a:cubicBezTo>
                  <a:pt x="438" y="82"/>
                  <a:pt x="441" y="77"/>
                  <a:pt x="441" y="73"/>
                </a:cubicBezTo>
                <a:cubicBezTo>
                  <a:pt x="441" y="68"/>
                  <a:pt x="439" y="63"/>
                  <a:pt x="433" y="58"/>
                </a:cubicBezTo>
                <a:cubicBezTo>
                  <a:pt x="433" y="58"/>
                  <a:pt x="433" y="57"/>
                  <a:pt x="433" y="57"/>
                </a:cubicBezTo>
                <a:cubicBezTo>
                  <a:pt x="433" y="57"/>
                  <a:pt x="434" y="56"/>
                  <a:pt x="434" y="57"/>
                </a:cubicBezTo>
                <a:cubicBezTo>
                  <a:pt x="441" y="59"/>
                  <a:pt x="448" y="63"/>
                  <a:pt x="449" y="70"/>
                </a:cubicBezTo>
                <a:cubicBezTo>
                  <a:pt x="450" y="73"/>
                  <a:pt x="449" y="76"/>
                  <a:pt x="448" y="80"/>
                </a:cubicBezTo>
                <a:cubicBezTo>
                  <a:pt x="444" y="88"/>
                  <a:pt x="437" y="98"/>
                  <a:pt x="405" y="101"/>
                </a:cubicBezTo>
                <a:cubicBezTo>
                  <a:pt x="405" y="101"/>
                  <a:pt x="405" y="101"/>
                  <a:pt x="405" y="101"/>
                </a:cubicBezTo>
                <a:cubicBezTo>
                  <a:pt x="404" y="101"/>
                  <a:pt x="404" y="101"/>
                  <a:pt x="404" y="101"/>
                </a:cubicBezTo>
                <a:cubicBezTo>
                  <a:pt x="404" y="100"/>
                  <a:pt x="404" y="99"/>
                  <a:pt x="404" y="99"/>
                </a:cubicBezTo>
                <a:cubicBezTo>
                  <a:pt x="404" y="99"/>
                  <a:pt x="404" y="99"/>
                  <a:pt x="404" y="99"/>
                </a:cubicBezTo>
                <a:close/>
                <a:moveTo>
                  <a:pt x="144" y="72"/>
                </a:moveTo>
                <a:cubicBezTo>
                  <a:pt x="161" y="99"/>
                  <a:pt x="161" y="99"/>
                  <a:pt x="161" y="99"/>
                </a:cubicBezTo>
                <a:cubicBezTo>
                  <a:pt x="131" y="99"/>
                  <a:pt x="131" y="99"/>
                  <a:pt x="131" y="99"/>
                </a:cubicBezTo>
                <a:cubicBezTo>
                  <a:pt x="130" y="99"/>
                  <a:pt x="129" y="98"/>
                  <a:pt x="128" y="97"/>
                </a:cubicBezTo>
                <a:cubicBezTo>
                  <a:pt x="112" y="72"/>
                  <a:pt x="112" y="72"/>
                  <a:pt x="112" y="72"/>
                </a:cubicBezTo>
                <a:cubicBezTo>
                  <a:pt x="144" y="72"/>
                  <a:pt x="144" y="72"/>
                  <a:pt x="144" y="72"/>
                </a:cubicBezTo>
                <a:close/>
                <a:moveTo>
                  <a:pt x="202" y="99"/>
                </a:moveTo>
                <a:cubicBezTo>
                  <a:pt x="168" y="99"/>
                  <a:pt x="168" y="99"/>
                  <a:pt x="168" y="99"/>
                </a:cubicBezTo>
                <a:cubicBezTo>
                  <a:pt x="151" y="72"/>
                  <a:pt x="151" y="72"/>
                  <a:pt x="151" y="72"/>
                </a:cubicBezTo>
                <a:cubicBezTo>
                  <a:pt x="185" y="72"/>
                  <a:pt x="185" y="72"/>
                  <a:pt x="185" y="72"/>
                </a:cubicBezTo>
                <a:cubicBezTo>
                  <a:pt x="202" y="99"/>
                  <a:pt x="202" y="99"/>
                  <a:pt x="202" y="99"/>
                </a:cubicBezTo>
                <a:close/>
                <a:moveTo>
                  <a:pt x="242" y="99"/>
                </a:moveTo>
                <a:cubicBezTo>
                  <a:pt x="209" y="99"/>
                  <a:pt x="209" y="99"/>
                  <a:pt x="209" y="99"/>
                </a:cubicBezTo>
                <a:cubicBezTo>
                  <a:pt x="192" y="72"/>
                  <a:pt x="192" y="72"/>
                  <a:pt x="192" y="72"/>
                </a:cubicBezTo>
                <a:cubicBezTo>
                  <a:pt x="225" y="72"/>
                  <a:pt x="225" y="72"/>
                  <a:pt x="225" y="72"/>
                </a:cubicBezTo>
                <a:cubicBezTo>
                  <a:pt x="242" y="99"/>
                  <a:pt x="242" y="99"/>
                  <a:pt x="242" y="99"/>
                </a:cubicBezTo>
                <a:close/>
                <a:moveTo>
                  <a:pt x="282" y="99"/>
                </a:moveTo>
                <a:cubicBezTo>
                  <a:pt x="249" y="99"/>
                  <a:pt x="249" y="99"/>
                  <a:pt x="249" y="99"/>
                </a:cubicBezTo>
                <a:cubicBezTo>
                  <a:pt x="232" y="72"/>
                  <a:pt x="232" y="72"/>
                  <a:pt x="232" y="72"/>
                </a:cubicBezTo>
                <a:cubicBezTo>
                  <a:pt x="265" y="72"/>
                  <a:pt x="265" y="72"/>
                  <a:pt x="265" y="72"/>
                </a:cubicBezTo>
                <a:cubicBezTo>
                  <a:pt x="282" y="99"/>
                  <a:pt x="282" y="99"/>
                  <a:pt x="282" y="99"/>
                </a:cubicBezTo>
                <a:close/>
                <a:moveTo>
                  <a:pt x="323" y="99"/>
                </a:moveTo>
                <a:cubicBezTo>
                  <a:pt x="290" y="99"/>
                  <a:pt x="290" y="99"/>
                  <a:pt x="290" y="99"/>
                </a:cubicBezTo>
                <a:cubicBezTo>
                  <a:pt x="273" y="72"/>
                  <a:pt x="273" y="72"/>
                  <a:pt x="273" y="72"/>
                </a:cubicBezTo>
                <a:cubicBezTo>
                  <a:pt x="306" y="72"/>
                  <a:pt x="306" y="72"/>
                  <a:pt x="306" y="72"/>
                </a:cubicBezTo>
                <a:cubicBezTo>
                  <a:pt x="323" y="99"/>
                  <a:pt x="323" y="99"/>
                  <a:pt x="323" y="99"/>
                </a:cubicBezTo>
                <a:close/>
                <a:moveTo>
                  <a:pt x="344" y="72"/>
                </a:moveTo>
                <a:cubicBezTo>
                  <a:pt x="358" y="93"/>
                  <a:pt x="358" y="93"/>
                  <a:pt x="358" y="93"/>
                </a:cubicBezTo>
                <a:cubicBezTo>
                  <a:pt x="358" y="94"/>
                  <a:pt x="358" y="96"/>
                  <a:pt x="358" y="97"/>
                </a:cubicBezTo>
                <a:cubicBezTo>
                  <a:pt x="357" y="98"/>
                  <a:pt x="356" y="99"/>
                  <a:pt x="355" y="99"/>
                </a:cubicBezTo>
                <a:cubicBezTo>
                  <a:pt x="331" y="99"/>
                  <a:pt x="331" y="99"/>
                  <a:pt x="331" y="99"/>
                </a:cubicBezTo>
                <a:cubicBezTo>
                  <a:pt x="313" y="72"/>
                  <a:pt x="313" y="72"/>
                  <a:pt x="313" y="72"/>
                </a:cubicBezTo>
                <a:cubicBezTo>
                  <a:pt x="344" y="72"/>
                  <a:pt x="344" y="72"/>
                  <a:pt x="344" y="72"/>
                </a:cubicBezTo>
                <a:close/>
                <a:moveTo>
                  <a:pt x="65" y="48"/>
                </a:moveTo>
                <a:cubicBezTo>
                  <a:pt x="66" y="48"/>
                  <a:pt x="66" y="47"/>
                  <a:pt x="66" y="47"/>
                </a:cubicBezTo>
                <a:cubicBezTo>
                  <a:pt x="66" y="46"/>
                  <a:pt x="65" y="46"/>
                  <a:pt x="65" y="46"/>
                </a:cubicBezTo>
                <a:cubicBezTo>
                  <a:pt x="65" y="46"/>
                  <a:pt x="57" y="45"/>
                  <a:pt x="49" y="48"/>
                </a:cubicBezTo>
                <a:cubicBezTo>
                  <a:pt x="43" y="50"/>
                  <a:pt x="37" y="53"/>
                  <a:pt x="33" y="59"/>
                </a:cubicBezTo>
                <a:cubicBezTo>
                  <a:pt x="25" y="72"/>
                  <a:pt x="32" y="85"/>
                  <a:pt x="39" y="92"/>
                </a:cubicBezTo>
                <a:cubicBezTo>
                  <a:pt x="40" y="93"/>
                  <a:pt x="40" y="93"/>
                  <a:pt x="41" y="93"/>
                </a:cubicBezTo>
                <a:cubicBezTo>
                  <a:pt x="41" y="92"/>
                  <a:pt x="41" y="92"/>
                  <a:pt x="41" y="91"/>
                </a:cubicBezTo>
                <a:cubicBezTo>
                  <a:pt x="37" y="76"/>
                  <a:pt x="38" y="67"/>
                  <a:pt x="41" y="61"/>
                </a:cubicBezTo>
                <a:cubicBezTo>
                  <a:pt x="43" y="57"/>
                  <a:pt x="47" y="54"/>
                  <a:pt x="51" y="52"/>
                </a:cubicBezTo>
                <a:cubicBezTo>
                  <a:pt x="56" y="51"/>
                  <a:pt x="61" y="50"/>
                  <a:pt x="65" y="48"/>
                </a:cubicBezTo>
                <a:close/>
                <a:moveTo>
                  <a:pt x="293" y="40"/>
                </a:moveTo>
                <a:cubicBezTo>
                  <a:pt x="321" y="40"/>
                  <a:pt x="321" y="40"/>
                  <a:pt x="321" y="40"/>
                </a:cubicBezTo>
                <a:cubicBezTo>
                  <a:pt x="323" y="40"/>
                  <a:pt x="324" y="40"/>
                  <a:pt x="325" y="41"/>
                </a:cubicBezTo>
                <a:cubicBezTo>
                  <a:pt x="341" y="66"/>
                  <a:pt x="341" y="66"/>
                  <a:pt x="341" y="66"/>
                </a:cubicBezTo>
                <a:cubicBezTo>
                  <a:pt x="310" y="66"/>
                  <a:pt x="310" y="66"/>
                  <a:pt x="310" y="66"/>
                </a:cubicBezTo>
                <a:cubicBezTo>
                  <a:pt x="293" y="40"/>
                  <a:pt x="293" y="40"/>
                  <a:pt x="293" y="40"/>
                </a:cubicBezTo>
                <a:close/>
                <a:moveTo>
                  <a:pt x="123" y="40"/>
                </a:moveTo>
                <a:cubicBezTo>
                  <a:pt x="123" y="40"/>
                  <a:pt x="123" y="40"/>
                  <a:pt x="124" y="41"/>
                </a:cubicBezTo>
                <a:cubicBezTo>
                  <a:pt x="140" y="66"/>
                  <a:pt x="140" y="66"/>
                  <a:pt x="140" y="66"/>
                </a:cubicBezTo>
                <a:cubicBezTo>
                  <a:pt x="108" y="66"/>
                  <a:pt x="108" y="66"/>
                  <a:pt x="108" y="66"/>
                </a:cubicBezTo>
                <a:cubicBezTo>
                  <a:pt x="95" y="45"/>
                  <a:pt x="95" y="45"/>
                  <a:pt x="95" y="45"/>
                </a:cubicBezTo>
                <a:cubicBezTo>
                  <a:pt x="94" y="44"/>
                  <a:pt x="94" y="43"/>
                  <a:pt x="95" y="42"/>
                </a:cubicBezTo>
                <a:cubicBezTo>
                  <a:pt x="96" y="40"/>
                  <a:pt x="97" y="40"/>
                  <a:pt x="98" y="40"/>
                </a:cubicBezTo>
                <a:cubicBezTo>
                  <a:pt x="123" y="40"/>
                  <a:pt x="123" y="40"/>
                  <a:pt x="123" y="40"/>
                </a:cubicBezTo>
                <a:close/>
                <a:moveTo>
                  <a:pt x="164" y="40"/>
                </a:moveTo>
                <a:cubicBezTo>
                  <a:pt x="164" y="40"/>
                  <a:pt x="164" y="40"/>
                  <a:pt x="164" y="40"/>
                </a:cubicBezTo>
                <a:cubicBezTo>
                  <a:pt x="181" y="66"/>
                  <a:pt x="181" y="66"/>
                  <a:pt x="181" y="66"/>
                </a:cubicBezTo>
                <a:cubicBezTo>
                  <a:pt x="147" y="66"/>
                  <a:pt x="147" y="66"/>
                  <a:pt x="147" y="66"/>
                </a:cubicBezTo>
                <a:cubicBezTo>
                  <a:pt x="130" y="40"/>
                  <a:pt x="130" y="40"/>
                  <a:pt x="130" y="40"/>
                </a:cubicBezTo>
                <a:cubicBezTo>
                  <a:pt x="164" y="40"/>
                  <a:pt x="164" y="40"/>
                  <a:pt x="164" y="40"/>
                </a:cubicBezTo>
                <a:close/>
                <a:moveTo>
                  <a:pt x="204" y="40"/>
                </a:moveTo>
                <a:cubicBezTo>
                  <a:pt x="204" y="40"/>
                  <a:pt x="204" y="40"/>
                  <a:pt x="204" y="40"/>
                </a:cubicBezTo>
                <a:cubicBezTo>
                  <a:pt x="221" y="66"/>
                  <a:pt x="221" y="66"/>
                  <a:pt x="221" y="66"/>
                </a:cubicBezTo>
                <a:cubicBezTo>
                  <a:pt x="188" y="66"/>
                  <a:pt x="188" y="66"/>
                  <a:pt x="188" y="66"/>
                </a:cubicBezTo>
                <a:cubicBezTo>
                  <a:pt x="171" y="40"/>
                  <a:pt x="171" y="40"/>
                  <a:pt x="171" y="40"/>
                </a:cubicBezTo>
                <a:cubicBezTo>
                  <a:pt x="204" y="40"/>
                  <a:pt x="204" y="40"/>
                  <a:pt x="204" y="40"/>
                </a:cubicBezTo>
                <a:close/>
                <a:moveTo>
                  <a:pt x="245" y="40"/>
                </a:moveTo>
                <a:cubicBezTo>
                  <a:pt x="245" y="40"/>
                  <a:pt x="245" y="40"/>
                  <a:pt x="245" y="40"/>
                </a:cubicBezTo>
                <a:cubicBezTo>
                  <a:pt x="262" y="66"/>
                  <a:pt x="262" y="66"/>
                  <a:pt x="262" y="66"/>
                </a:cubicBezTo>
                <a:cubicBezTo>
                  <a:pt x="228" y="66"/>
                  <a:pt x="228" y="66"/>
                  <a:pt x="228" y="66"/>
                </a:cubicBezTo>
                <a:cubicBezTo>
                  <a:pt x="211" y="40"/>
                  <a:pt x="211" y="40"/>
                  <a:pt x="211" y="40"/>
                </a:cubicBezTo>
                <a:cubicBezTo>
                  <a:pt x="245" y="40"/>
                  <a:pt x="245" y="40"/>
                  <a:pt x="245" y="40"/>
                </a:cubicBezTo>
                <a:close/>
                <a:moveTo>
                  <a:pt x="286" y="40"/>
                </a:moveTo>
                <a:cubicBezTo>
                  <a:pt x="303" y="66"/>
                  <a:pt x="303" y="66"/>
                  <a:pt x="303" y="66"/>
                </a:cubicBezTo>
                <a:cubicBezTo>
                  <a:pt x="269" y="66"/>
                  <a:pt x="269" y="66"/>
                  <a:pt x="269" y="66"/>
                </a:cubicBezTo>
                <a:cubicBezTo>
                  <a:pt x="252" y="40"/>
                  <a:pt x="252" y="40"/>
                  <a:pt x="252" y="40"/>
                </a:cubicBezTo>
                <a:cubicBezTo>
                  <a:pt x="286" y="40"/>
                  <a:pt x="286" y="40"/>
                  <a:pt x="286" y="40"/>
                </a:cubicBez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nvGrpSpPr>
          <xdr:cNvPr id="63" name="グループ化 62">
            <a:extLst>
              <a:ext uri="{FF2B5EF4-FFF2-40B4-BE49-F238E27FC236}">
                <a16:creationId xmlns:a16="http://schemas.microsoft.com/office/drawing/2014/main" id="{AF1001BB-227C-90AC-CD2D-32B7A8A9DE42}"/>
              </a:ext>
            </a:extLst>
          </xdr:cNvPr>
          <xdr:cNvGrpSpPr/>
        </xdr:nvGrpSpPr>
        <xdr:grpSpPr>
          <a:xfrm>
            <a:off x="348410" y="36216"/>
            <a:ext cx="837012" cy="478636"/>
            <a:chOff x="348410" y="36216"/>
            <a:chExt cx="552450" cy="315913"/>
          </a:xfrm>
          <a:grpFill/>
        </xdr:grpSpPr>
        <xdr:sp macro="" textlink="">
          <xdr:nvSpPr>
            <xdr:cNvPr id="65" name="Freeform 5">
              <a:extLst>
                <a:ext uri="{FF2B5EF4-FFF2-40B4-BE49-F238E27FC236}">
                  <a16:creationId xmlns:a16="http://schemas.microsoft.com/office/drawing/2014/main" id="{FD87B954-0620-C0B9-64B6-78BCBAF33AD0}"/>
                </a:ext>
              </a:extLst>
            </xdr:cNvPr>
            <xdr:cNvSpPr>
              <a:spLocks noEditPoints="1"/>
            </xdr:cNvSpPr>
          </xdr:nvSpPr>
          <xdr:spPr bwMode="auto">
            <a:xfrm>
              <a:off x="348410" y="82254"/>
              <a:ext cx="552450" cy="269875"/>
            </a:xfrm>
            <a:custGeom>
              <a:avLst/>
              <a:gdLst>
                <a:gd name="T0" fmla="*/ 286 w 298"/>
                <a:gd name="T1" fmla="*/ 123 h 146"/>
                <a:gd name="T2" fmla="*/ 286 w 298"/>
                <a:gd name="T3" fmla="*/ 26 h 146"/>
                <a:gd name="T4" fmla="*/ 285 w 298"/>
                <a:gd name="T5" fmla="*/ 0 h 146"/>
                <a:gd name="T6" fmla="*/ 230 w 298"/>
                <a:gd name="T7" fmla="*/ 23 h 146"/>
                <a:gd name="T8" fmla="*/ 229 w 298"/>
                <a:gd name="T9" fmla="*/ 0 h 146"/>
                <a:gd name="T10" fmla="*/ 174 w 298"/>
                <a:gd name="T11" fmla="*/ 23 h 146"/>
                <a:gd name="T12" fmla="*/ 173 w 298"/>
                <a:gd name="T13" fmla="*/ 0 h 146"/>
                <a:gd name="T14" fmla="*/ 118 w 298"/>
                <a:gd name="T15" fmla="*/ 23 h 146"/>
                <a:gd name="T16" fmla="*/ 118 w 298"/>
                <a:gd name="T17" fmla="*/ 0 h 146"/>
                <a:gd name="T18" fmla="*/ 61 w 298"/>
                <a:gd name="T19" fmla="*/ 24 h 146"/>
                <a:gd name="T20" fmla="*/ 58 w 298"/>
                <a:gd name="T21" fmla="*/ 2 h 146"/>
                <a:gd name="T22" fmla="*/ 14 w 298"/>
                <a:gd name="T23" fmla="*/ 0 h 146"/>
                <a:gd name="T24" fmla="*/ 12 w 298"/>
                <a:gd name="T25" fmla="*/ 26 h 146"/>
                <a:gd name="T26" fmla="*/ 12 w 298"/>
                <a:gd name="T27" fmla="*/ 123 h 146"/>
                <a:gd name="T28" fmla="*/ 0 w 298"/>
                <a:gd name="T29" fmla="*/ 125 h 146"/>
                <a:gd name="T30" fmla="*/ 2 w 298"/>
                <a:gd name="T31" fmla="*/ 146 h 146"/>
                <a:gd name="T32" fmla="*/ 284 w 298"/>
                <a:gd name="T33" fmla="*/ 146 h 146"/>
                <a:gd name="T34" fmla="*/ 298 w 298"/>
                <a:gd name="T35" fmla="*/ 144 h 146"/>
                <a:gd name="T36" fmla="*/ 296 w 298"/>
                <a:gd name="T37" fmla="*/ 123 h 146"/>
                <a:gd name="T38" fmla="*/ 39 w 298"/>
                <a:gd name="T39" fmla="*/ 73 h 146"/>
                <a:gd name="T40" fmla="*/ 55 w 298"/>
                <a:gd name="T41" fmla="*/ 57 h 146"/>
                <a:gd name="T42" fmla="*/ 84 w 298"/>
                <a:gd name="T43" fmla="*/ 73 h 146"/>
                <a:gd name="T44" fmla="*/ 68 w 298"/>
                <a:gd name="T45" fmla="*/ 57 h 146"/>
                <a:gd name="T46" fmla="*/ 84 w 298"/>
                <a:gd name="T47" fmla="*/ 73 h 146"/>
                <a:gd name="T48" fmla="*/ 97 w 298"/>
                <a:gd name="T49" fmla="*/ 73 h 146"/>
                <a:gd name="T50" fmla="*/ 113 w 298"/>
                <a:gd name="T51" fmla="*/ 57 h 146"/>
                <a:gd name="T52" fmla="*/ 142 w 298"/>
                <a:gd name="T53" fmla="*/ 73 h 146"/>
                <a:gd name="T54" fmla="*/ 126 w 298"/>
                <a:gd name="T55" fmla="*/ 57 h 146"/>
                <a:gd name="T56" fmla="*/ 142 w 298"/>
                <a:gd name="T57" fmla="*/ 73 h 146"/>
                <a:gd name="T58" fmla="*/ 156 w 298"/>
                <a:gd name="T59" fmla="*/ 73 h 146"/>
                <a:gd name="T60" fmla="*/ 172 w 298"/>
                <a:gd name="T61" fmla="*/ 57 h 146"/>
                <a:gd name="T62" fmla="*/ 201 w 298"/>
                <a:gd name="T63" fmla="*/ 73 h 146"/>
                <a:gd name="T64" fmla="*/ 185 w 298"/>
                <a:gd name="T65" fmla="*/ 57 h 146"/>
                <a:gd name="T66" fmla="*/ 201 w 298"/>
                <a:gd name="T67" fmla="*/ 73 h 146"/>
                <a:gd name="T68" fmla="*/ 214 w 298"/>
                <a:gd name="T69" fmla="*/ 73 h 146"/>
                <a:gd name="T70" fmla="*/ 230 w 298"/>
                <a:gd name="T71" fmla="*/ 57 h 146"/>
                <a:gd name="T72" fmla="*/ 259 w 298"/>
                <a:gd name="T73" fmla="*/ 73 h 146"/>
                <a:gd name="T74" fmla="*/ 243 w 298"/>
                <a:gd name="T75" fmla="*/ 57 h 146"/>
                <a:gd name="T76" fmla="*/ 259 w 298"/>
                <a:gd name="T77" fmla="*/ 73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298" h="146">
                  <a:moveTo>
                    <a:pt x="296" y="123"/>
                  </a:moveTo>
                  <a:cubicBezTo>
                    <a:pt x="286" y="123"/>
                    <a:pt x="286" y="123"/>
                    <a:pt x="286" y="123"/>
                  </a:cubicBezTo>
                  <a:cubicBezTo>
                    <a:pt x="286" y="30"/>
                    <a:pt x="286" y="30"/>
                    <a:pt x="286" y="30"/>
                  </a:cubicBezTo>
                  <a:cubicBezTo>
                    <a:pt x="286" y="26"/>
                    <a:pt x="286" y="26"/>
                    <a:pt x="286" y="26"/>
                  </a:cubicBezTo>
                  <a:cubicBezTo>
                    <a:pt x="286" y="2"/>
                    <a:pt x="286" y="2"/>
                    <a:pt x="286" y="2"/>
                  </a:cubicBezTo>
                  <a:cubicBezTo>
                    <a:pt x="286" y="1"/>
                    <a:pt x="285" y="0"/>
                    <a:pt x="285" y="0"/>
                  </a:cubicBezTo>
                  <a:cubicBezTo>
                    <a:pt x="284" y="0"/>
                    <a:pt x="283" y="0"/>
                    <a:pt x="283" y="0"/>
                  </a:cubicBezTo>
                  <a:cubicBezTo>
                    <a:pt x="230" y="23"/>
                    <a:pt x="230" y="23"/>
                    <a:pt x="230" y="23"/>
                  </a:cubicBezTo>
                  <a:cubicBezTo>
                    <a:pt x="230" y="2"/>
                    <a:pt x="230" y="2"/>
                    <a:pt x="230" y="2"/>
                  </a:cubicBezTo>
                  <a:cubicBezTo>
                    <a:pt x="230" y="1"/>
                    <a:pt x="230" y="0"/>
                    <a:pt x="229" y="0"/>
                  </a:cubicBezTo>
                  <a:cubicBezTo>
                    <a:pt x="228" y="0"/>
                    <a:pt x="228" y="0"/>
                    <a:pt x="227" y="0"/>
                  </a:cubicBezTo>
                  <a:cubicBezTo>
                    <a:pt x="174" y="23"/>
                    <a:pt x="174" y="23"/>
                    <a:pt x="174" y="23"/>
                  </a:cubicBezTo>
                  <a:cubicBezTo>
                    <a:pt x="174" y="2"/>
                    <a:pt x="174" y="2"/>
                    <a:pt x="174" y="2"/>
                  </a:cubicBezTo>
                  <a:cubicBezTo>
                    <a:pt x="174" y="1"/>
                    <a:pt x="174" y="0"/>
                    <a:pt x="173" y="0"/>
                  </a:cubicBezTo>
                  <a:cubicBezTo>
                    <a:pt x="173" y="0"/>
                    <a:pt x="172" y="0"/>
                    <a:pt x="171" y="0"/>
                  </a:cubicBezTo>
                  <a:cubicBezTo>
                    <a:pt x="118" y="23"/>
                    <a:pt x="118" y="23"/>
                    <a:pt x="118" y="23"/>
                  </a:cubicBezTo>
                  <a:cubicBezTo>
                    <a:pt x="118" y="2"/>
                    <a:pt x="118" y="2"/>
                    <a:pt x="118" y="2"/>
                  </a:cubicBezTo>
                  <a:cubicBezTo>
                    <a:pt x="118" y="1"/>
                    <a:pt x="118" y="0"/>
                    <a:pt x="118" y="0"/>
                  </a:cubicBezTo>
                  <a:cubicBezTo>
                    <a:pt x="117" y="0"/>
                    <a:pt x="116" y="0"/>
                    <a:pt x="116" y="0"/>
                  </a:cubicBezTo>
                  <a:cubicBezTo>
                    <a:pt x="61" y="24"/>
                    <a:pt x="61" y="24"/>
                    <a:pt x="61" y="24"/>
                  </a:cubicBezTo>
                  <a:cubicBezTo>
                    <a:pt x="58" y="24"/>
                    <a:pt x="58" y="24"/>
                    <a:pt x="58" y="24"/>
                  </a:cubicBezTo>
                  <a:cubicBezTo>
                    <a:pt x="58" y="2"/>
                    <a:pt x="58" y="2"/>
                    <a:pt x="58" y="2"/>
                  </a:cubicBezTo>
                  <a:cubicBezTo>
                    <a:pt x="58" y="1"/>
                    <a:pt x="57" y="0"/>
                    <a:pt x="56" y="0"/>
                  </a:cubicBezTo>
                  <a:cubicBezTo>
                    <a:pt x="14" y="0"/>
                    <a:pt x="14" y="0"/>
                    <a:pt x="14" y="0"/>
                  </a:cubicBezTo>
                  <a:cubicBezTo>
                    <a:pt x="13" y="0"/>
                    <a:pt x="12" y="1"/>
                    <a:pt x="12" y="2"/>
                  </a:cubicBezTo>
                  <a:cubicBezTo>
                    <a:pt x="12" y="26"/>
                    <a:pt x="12" y="26"/>
                    <a:pt x="12" y="26"/>
                  </a:cubicBezTo>
                  <a:cubicBezTo>
                    <a:pt x="12" y="100"/>
                    <a:pt x="12" y="100"/>
                    <a:pt x="12" y="100"/>
                  </a:cubicBezTo>
                  <a:cubicBezTo>
                    <a:pt x="12" y="123"/>
                    <a:pt x="12" y="123"/>
                    <a:pt x="12" y="123"/>
                  </a:cubicBezTo>
                  <a:cubicBezTo>
                    <a:pt x="2" y="123"/>
                    <a:pt x="2" y="123"/>
                    <a:pt x="2" y="123"/>
                  </a:cubicBezTo>
                  <a:cubicBezTo>
                    <a:pt x="1" y="123"/>
                    <a:pt x="0" y="124"/>
                    <a:pt x="0" y="125"/>
                  </a:cubicBezTo>
                  <a:cubicBezTo>
                    <a:pt x="0" y="144"/>
                    <a:pt x="0" y="144"/>
                    <a:pt x="0" y="144"/>
                  </a:cubicBezTo>
                  <a:cubicBezTo>
                    <a:pt x="0" y="145"/>
                    <a:pt x="1" y="146"/>
                    <a:pt x="2" y="146"/>
                  </a:cubicBezTo>
                  <a:cubicBezTo>
                    <a:pt x="14" y="146"/>
                    <a:pt x="14" y="146"/>
                    <a:pt x="14" y="146"/>
                  </a:cubicBezTo>
                  <a:cubicBezTo>
                    <a:pt x="284" y="146"/>
                    <a:pt x="284" y="146"/>
                    <a:pt x="284" y="146"/>
                  </a:cubicBezTo>
                  <a:cubicBezTo>
                    <a:pt x="296" y="146"/>
                    <a:pt x="296" y="146"/>
                    <a:pt x="296" y="146"/>
                  </a:cubicBezTo>
                  <a:cubicBezTo>
                    <a:pt x="297" y="146"/>
                    <a:pt x="298" y="145"/>
                    <a:pt x="298" y="144"/>
                  </a:cubicBezTo>
                  <a:cubicBezTo>
                    <a:pt x="298" y="125"/>
                    <a:pt x="298" y="125"/>
                    <a:pt x="298" y="125"/>
                  </a:cubicBezTo>
                  <a:cubicBezTo>
                    <a:pt x="298" y="124"/>
                    <a:pt x="297" y="123"/>
                    <a:pt x="296" y="123"/>
                  </a:cubicBezTo>
                  <a:close/>
                  <a:moveTo>
                    <a:pt x="55" y="73"/>
                  </a:moveTo>
                  <a:cubicBezTo>
                    <a:pt x="39" y="73"/>
                    <a:pt x="39" y="73"/>
                    <a:pt x="39" y="73"/>
                  </a:cubicBezTo>
                  <a:cubicBezTo>
                    <a:pt x="39" y="57"/>
                    <a:pt x="39" y="57"/>
                    <a:pt x="39" y="57"/>
                  </a:cubicBezTo>
                  <a:cubicBezTo>
                    <a:pt x="55" y="57"/>
                    <a:pt x="55" y="57"/>
                    <a:pt x="55" y="57"/>
                  </a:cubicBezTo>
                  <a:lnTo>
                    <a:pt x="55" y="73"/>
                  </a:lnTo>
                  <a:close/>
                  <a:moveTo>
                    <a:pt x="84" y="73"/>
                  </a:moveTo>
                  <a:cubicBezTo>
                    <a:pt x="68" y="73"/>
                    <a:pt x="68" y="73"/>
                    <a:pt x="68" y="73"/>
                  </a:cubicBezTo>
                  <a:cubicBezTo>
                    <a:pt x="68" y="57"/>
                    <a:pt x="68" y="57"/>
                    <a:pt x="68" y="57"/>
                  </a:cubicBezTo>
                  <a:cubicBezTo>
                    <a:pt x="84" y="57"/>
                    <a:pt x="84" y="57"/>
                    <a:pt x="84" y="57"/>
                  </a:cubicBezTo>
                  <a:lnTo>
                    <a:pt x="84" y="73"/>
                  </a:lnTo>
                  <a:close/>
                  <a:moveTo>
                    <a:pt x="113" y="73"/>
                  </a:moveTo>
                  <a:cubicBezTo>
                    <a:pt x="97" y="73"/>
                    <a:pt x="97" y="73"/>
                    <a:pt x="97" y="73"/>
                  </a:cubicBezTo>
                  <a:cubicBezTo>
                    <a:pt x="97" y="57"/>
                    <a:pt x="97" y="57"/>
                    <a:pt x="97" y="57"/>
                  </a:cubicBezTo>
                  <a:cubicBezTo>
                    <a:pt x="113" y="57"/>
                    <a:pt x="113" y="57"/>
                    <a:pt x="113" y="57"/>
                  </a:cubicBezTo>
                  <a:lnTo>
                    <a:pt x="113" y="73"/>
                  </a:lnTo>
                  <a:close/>
                  <a:moveTo>
                    <a:pt x="142" y="73"/>
                  </a:moveTo>
                  <a:cubicBezTo>
                    <a:pt x="126" y="73"/>
                    <a:pt x="126" y="73"/>
                    <a:pt x="126" y="73"/>
                  </a:cubicBezTo>
                  <a:cubicBezTo>
                    <a:pt x="126" y="57"/>
                    <a:pt x="126" y="57"/>
                    <a:pt x="126" y="57"/>
                  </a:cubicBezTo>
                  <a:cubicBezTo>
                    <a:pt x="142" y="57"/>
                    <a:pt x="142" y="57"/>
                    <a:pt x="142" y="57"/>
                  </a:cubicBezTo>
                  <a:lnTo>
                    <a:pt x="142" y="73"/>
                  </a:lnTo>
                  <a:close/>
                  <a:moveTo>
                    <a:pt x="172" y="73"/>
                  </a:moveTo>
                  <a:cubicBezTo>
                    <a:pt x="156" y="73"/>
                    <a:pt x="156" y="73"/>
                    <a:pt x="156" y="73"/>
                  </a:cubicBezTo>
                  <a:cubicBezTo>
                    <a:pt x="156" y="57"/>
                    <a:pt x="156" y="57"/>
                    <a:pt x="156" y="57"/>
                  </a:cubicBezTo>
                  <a:cubicBezTo>
                    <a:pt x="172" y="57"/>
                    <a:pt x="172" y="57"/>
                    <a:pt x="172" y="57"/>
                  </a:cubicBezTo>
                  <a:lnTo>
                    <a:pt x="172" y="73"/>
                  </a:lnTo>
                  <a:close/>
                  <a:moveTo>
                    <a:pt x="201" y="73"/>
                  </a:moveTo>
                  <a:cubicBezTo>
                    <a:pt x="185" y="73"/>
                    <a:pt x="185" y="73"/>
                    <a:pt x="185" y="73"/>
                  </a:cubicBezTo>
                  <a:cubicBezTo>
                    <a:pt x="185" y="57"/>
                    <a:pt x="185" y="57"/>
                    <a:pt x="185" y="57"/>
                  </a:cubicBezTo>
                  <a:cubicBezTo>
                    <a:pt x="201" y="57"/>
                    <a:pt x="201" y="57"/>
                    <a:pt x="201" y="57"/>
                  </a:cubicBezTo>
                  <a:lnTo>
                    <a:pt x="201" y="73"/>
                  </a:lnTo>
                  <a:close/>
                  <a:moveTo>
                    <a:pt x="230" y="73"/>
                  </a:moveTo>
                  <a:cubicBezTo>
                    <a:pt x="214" y="73"/>
                    <a:pt x="214" y="73"/>
                    <a:pt x="214" y="73"/>
                  </a:cubicBezTo>
                  <a:cubicBezTo>
                    <a:pt x="214" y="57"/>
                    <a:pt x="214" y="57"/>
                    <a:pt x="214" y="57"/>
                  </a:cubicBezTo>
                  <a:cubicBezTo>
                    <a:pt x="230" y="57"/>
                    <a:pt x="230" y="57"/>
                    <a:pt x="230" y="57"/>
                  </a:cubicBezTo>
                  <a:lnTo>
                    <a:pt x="230" y="73"/>
                  </a:lnTo>
                  <a:close/>
                  <a:moveTo>
                    <a:pt x="259" y="73"/>
                  </a:moveTo>
                  <a:cubicBezTo>
                    <a:pt x="243" y="73"/>
                    <a:pt x="243" y="73"/>
                    <a:pt x="243" y="73"/>
                  </a:cubicBezTo>
                  <a:cubicBezTo>
                    <a:pt x="243" y="57"/>
                    <a:pt x="243" y="57"/>
                    <a:pt x="243" y="57"/>
                  </a:cubicBezTo>
                  <a:cubicBezTo>
                    <a:pt x="259" y="57"/>
                    <a:pt x="259" y="57"/>
                    <a:pt x="259" y="57"/>
                  </a:cubicBezTo>
                  <a:lnTo>
                    <a:pt x="259" y="7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sp macro="" textlink="">
          <xdr:nvSpPr>
            <xdr:cNvPr id="66" name="Freeform 6">
              <a:extLst>
                <a:ext uri="{FF2B5EF4-FFF2-40B4-BE49-F238E27FC236}">
                  <a16:creationId xmlns:a16="http://schemas.microsoft.com/office/drawing/2014/main" id="{86AA26AB-174E-F269-5CC5-4146358472F3}"/>
                </a:ext>
              </a:extLst>
            </xdr:cNvPr>
            <xdr:cNvSpPr>
              <a:spLocks/>
            </xdr:cNvSpPr>
          </xdr:nvSpPr>
          <xdr:spPr bwMode="auto">
            <a:xfrm>
              <a:off x="370635" y="36216"/>
              <a:ext cx="85725" cy="30162"/>
            </a:xfrm>
            <a:custGeom>
              <a:avLst/>
              <a:gdLst>
                <a:gd name="T0" fmla="*/ 2 w 46"/>
                <a:gd name="T1" fmla="*/ 17 h 17"/>
                <a:gd name="T2" fmla="*/ 44 w 46"/>
                <a:gd name="T3" fmla="*/ 17 h 17"/>
                <a:gd name="T4" fmla="*/ 46 w 46"/>
                <a:gd name="T5" fmla="*/ 15 h 17"/>
                <a:gd name="T6" fmla="*/ 46 w 46"/>
                <a:gd name="T7" fmla="*/ 2 h 17"/>
                <a:gd name="T8" fmla="*/ 44 w 46"/>
                <a:gd name="T9" fmla="*/ 0 h 17"/>
                <a:gd name="T10" fmla="*/ 2 w 46"/>
                <a:gd name="T11" fmla="*/ 0 h 17"/>
                <a:gd name="T12" fmla="*/ 0 w 46"/>
                <a:gd name="T13" fmla="*/ 2 h 17"/>
                <a:gd name="T14" fmla="*/ 0 w 46"/>
                <a:gd name="T15" fmla="*/ 15 h 17"/>
                <a:gd name="T16" fmla="*/ 2 w 46"/>
                <a:gd name="T17" fmla="*/ 17 h 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6" h="17">
                  <a:moveTo>
                    <a:pt x="2" y="17"/>
                  </a:moveTo>
                  <a:cubicBezTo>
                    <a:pt x="44" y="17"/>
                    <a:pt x="44" y="17"/>
                    <a:pt x="44" y="17"/>
                  </a:cubicBezTo>
                  <a:cubicBezTo>
                    <a:pt x="45" y="17"/>
                    <a:pt x="46" y="16"/>
                    <a:pt x="46" y="15"/>
                  </a:cubicBezTo>
                  <a:cubicBezTo>
                    <a:pt x="46" y="2"/>
                    <a:pt x="46" y="2"/>
                    <a:pt x="46" y="2"/>
                  </a:cubicBezTo>
                  <a:cubicBezTo>
                    <a:pt x="46" y="1"/>
                    <a:pt x="45" y="0"/>
                    <a:pt x="44" y="0"/>
                  </a:cubicBezTo>
                  <a:cubicBezTo>
                    <a:pt x="2" y="0"/>
                    <a:pt x="2" y="0"/>
                    <a:pt x="2" y="0"/>
                  </a:cubicBezTo>
                  <a:cubicBezTo>
                    <a:pt x="1" y="0"/>
                    <a:pt x="0" y="1"/>
                    <a:pt x="0" y="2"/>
                  </a:cubicBezTo>
                  <a:cubicBezTo>
                    <a:pt x="0" y="15"/>
                    <a:pt x="0" y="15"/>
                    <a:pt x="0" y="15"/>
                  </a:cubicBezTo>
                  <a:cubicBezTo>
                    <a:pt x="0" y="16"/>
                    <a:pt x="1" y="17"/>
                    <a:pt x="2" y="1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sp macro="" textlink="">
        <xdr:nvSpPr>
          <xdr:cNvPr id="64" name="Freeform 7">
            <a:extLst>
              <a:ext uri="{FF2B5EF4-FFF2-40B4-BE49-F238E27FC236}">
                <a16:creationId xmlns:a16="http://schemas.microsoft.com/office/drawing/2014/main" id="{3F2B5D74-F3FE-006B-E756-426E2A036E68}"/>
              </a:ext>
            </a:extLst>
          </xdr:cNvPr>
          <xdr:cNvSpPr>
            <a:spLocks/>
          </xdr:cNvSpPr>
        </xdr:nvSpPr>
        <xdr:spPr bwMode="auto">
          <a:xfrm>
            <a:off x="168393" y="290569"/>
            <a:ext cx="160598" cy="224283"/>
          </a:xfrm>
          <a:custGeom>
            <a:avLst/>
            <a:gdLst>
              <a:gd name="T0" fmla="*/ 43 w 50"/>
              <a:gd name="T1" fmla="*/ 25 h 69"/>
              <a:gd name="T2" fmla="*/ 43 w 50"/>
              <a:gd name="T3" fmla="*/ 24 h 69"/>
              <a:gd name="T4" fmla="*/ 37 w 50"/>
              <a:gd name="T5" fmla="*/ 12 h 69"/>
              <a:gd name="T6" fmla="*/ 25 w 50"/>
              <a:gd name="T7" fmla="*/ 0 h 69"/>
              <a:gd name="T8" fmla="*/ 14 w 50"/>
              <a:gd name="T9" fmla="*/ 12 h 69"/>
              <a:gd name="T10" fmla="*/ 7 w 50"/>
              <a:gd name="T11" fmla="*/ 24 h 69"/>
              <a:gd name="T12" fmla="*/ 7 w 50"/>
              <a:gd name="T13" fmla="*/ 25 h 69"/>
              <a:gd name="T14" fmla="*/ 0 w 50"/>
              <a:gd name="T15" fmla="*/ 36 h 69"/>
              <a:gd name="T16" fmla="*/ 11 w 50"/>
              <a:gd name="T17" fmla="*/ 49 h 69"/>
              <a:gd name="T18" fmla="*/ 18 w 50"/>
              <a:gd name="T19" fmla="*/ 47 h 69"/>
              <a:gd name="T20" fmla="*/ 21 w 50"/>
              <a:gd name="T21" fmla="*/ 48 h 69"/>
              <a:gd name="T22" fmla="*/ 19 w 50"/>
              <a:gd name="T23" fmla="*/ 69 h 69"/>
              <a:gd name="T24" fmla="*/ 31 w 50"/>
              <a:gd name="T25" fmla="*/ 69 h 69"/>
              <a:gd name="T26" fmla="*/ 28 w 50"/>
              <a:gd name="T27" fmla="*/ 48 h 69"/>
              <a:gd name="T28" fmla="*/ 31 w 50"/>
              <a:gd name="T29" fmla="*/ 47 h 69"/>
              <a:gd name="T30" fmla="*/ 38 w 50"/>
              <a:gd name="T31" fmla="*/ 49 h 69"/>
              <a:gd name="T32" fmla="*/ 50 w 50"/>
              <a:gd name="T33" fmla="*/ 36 h 69"/>
              <a:gd name="T34" fmla="*/ 43 w 50"/>
              <a:gd name="T35" fmla="*/ 25 h 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50" h="69">
                <a:moveTo>
                  <a:pt x="43" y="25"/>
                </a:moveTo>
                <a:cubicBezTo>
                  <a:pt x="43" y="25"/>
                  <a:pt x="43" y="24"/>
                  <a:pt x="43" y="24"/>
                </a:cubicBezTo>
                <a:cubicBezTo>
                  <a:pt x="43" y="18"/>
                  <a:pt x="40" y="14"/>
                  <a:pt x="37" y="12"/>
                </a:cubicBezTo>
                <a:cubicBezTo>
                  <a:pt x="36" y="6"/>
                  <a:pt x="31" y="0"/>
                  <a:pt x="25" y="0"/>
                </a:cubicBezTo>
                <a:cubicBezTo>
                  <a:pt x="19" y="0"/>
                  <a:pt x="14" y="6"/>
                  <a:pt x="14" y="12"/>
                </a:cubicBezTo>
                <a:cubicBezTo>
                  <a:pt x="10" y="14"/>
                  <a:pt x="7" y="18"/>
                  <a:pt x="7" y="24"/>
                </a:cubicBezTo>
                <a:cubicBezTo>
                  <a:pt x="7" y="25"/>
                  <a:pt x="7" y="25"/>
                  <a:pt x="7" y="25"/>
                </a:cubicBezTo>
                <a:cubicBezTo>
                  <a:pt x="3" y="27"/>
                  <a:pt x="0" y="31"/>
                  <a:pt x="0" y="36"/>
                </a:cubicBezTo>
                <a:cubicBezTo>
                  <a:pt x="0" y="43"/>
                  <a:pt x="5" y="49"/>
                  <a:pt x="11" y="49"/>
                </a:cubicBezTo>
                <a:cubicBezTo>
                  <a:pt x="14" y="49"/>
                  <a:pt x="16" y="48"/>
                  <a:pt x="18" y="47"/>
                </a:cubicBezTo>
                <a:cubicBezTo>
                  <a:pt x="19" y="47"/>
                  <a:pt x="20" y="48"/>
                  <a:pt x="21" y="48"/>
                </a:cubicBezTo>
                <a:cubicBezTo>
                  <a:pt x="19" y="69"/>
                  <a:pt x="19" y="69"/>
                  <a:pt x="19" y="69"/>
                </a:cubicBezTo>
                <a:cubicBezTo>
                  <a:pt x="31" y="69"/>
                  <a:pt x="31" y="69"/>
                  <a:pt x="31" y="69"/>
                </a:cubicBezTo>
                <a:cubicBezTo>
                  <a:pt x="28" y="48"/>
                  <a:pt x="28" y="48"/>
                  <a:pt x="28" y="48"/>
                </a:cubicBezTo>
                <a:cubicBezTo>
                  <a:pt x="30" y="48"/>
                  <a:pt x="30" y="47"/>
                  <a:pt x="31" y="47"/>
                </a:cubicBezTo>
                <a:cubicBezTo>
                  <a:pt x="33" y="48"/>
                  <a:pt x="36" y="49"/>
                  <a:pt x="38" y="49"/>
                </a:cubicBezTo>
                <a:cubicBezTo>
                  <a:pt x="45" y="49"/>
                  <a:pt x="50" y="43"/>
                  <a:pt x="50" y="36"/>
                </a:cubicBezTo>
                <a:cubicBezTo>
                  <a:pt x="50" y="31"/>
                  <a:pt x="47" y="27"/>
                  <a:pt x="43" y="25"/>
                </a:cubicBezTo>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a:ln>
                <a:noFill/>
              </a:ln>
              <a:solidFill>
                <a:prstClr val="black"/>
              </a:solidFill>
              <a:effectLst/>
              <a:uLnTx/>
              <a:uFillTx/>
              <a:latin typeface="Meiryo UI"/>
              <a:ea typeface="Meiryo UI"/>
              <a:cs typeface="+mn-cs"/>
            </a:endParaRPr>
          </a:p>
        </xdr:txBody>
      </xdr:sp>
    </xdr:grpSp>
    <xdr:clientData/>
  </xdr:twoCellAnchor>
  <xdr:twoCellAnchor>
    <xdr:from>
      <xdr:col>1</xdr:col>
      <xdr:colOff>219465</xdr:colOff>
      <xdr:row>103</xdr:row>
      <xdr:rowOff>122752</xdr:rowOff>
    </xdr:from>
    <xdr:to>
      <xdr:col>3</xdr:col>
      <xdr:colOff>1180401</xdr:colOff>
      <xdr:row>105</xdr:row>
      <xdr:rowOff>185951</xdr:rowOff>
    </xdr:to>
    <xdr:sp macro="" textlink="">
      <xdr:nvSpPr>
        <xdr:cNvPr id="76" name="テキスト ボックス 41">
          <a:extLst>
            <a:ext uri="{FF2B5EF4-FFF2-40B4-BE49-F238E27FC236}">
              <a16:creationId xmlns:a16="http://schemas.microsoft.com/office/drawing/2014/main" id="{688EDA6B-6B94-4637-B3F1-854FB82E9749}"/>
            </a:ext>
          </a:extLst>
        </xdr:cNvPr>
        <xdr:cNvSpPr txBox="1">
          <a:spLocks noChangeArrowheads="1"/>
        </xdr:cNvSpPr>
      </xdr:nvSpPr>
      <xdr:spPr bwMode="auto">
        <a:xfrm>
          <a:off x="505215" y="23687602"/>
          <a:ext cx="1818186" cy="539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メガソーラー</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GWh</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endPar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4</xdr:col>
      <xdr:colOff>612999</xdr:colOff>
      <xdr:row>88</xdr:row>
      <xdr:rowOff>207474</xdr:rowOff>
    </xdr:from>
    <xdr:to>
      <xdr:col>6</xdr:col>
      <xdr:colOff>306974</xdr:colOff>
      <xdr:row>93</xdr:row>
      <xdr:rowOff>116597</xdr:rowOff>
    </xdr:to>
    <xdr:grpSp>
      <xdr:nvGrpSpPr>
        <xdr:cNvPr id="77" name="グループ化 76">
          <a:extLst>
            <a:ext uri="{FF2B5EF4-FFF2-40B4-BE49-F238E27FC236}">
              <a16:creationId xmlns:a16="http://schemas.microsoft.com/office/drawing/2014/main" id="{54991FDC-C863-4AF4-9A36-8A9FC39B9609}"/>
            </a:ext>
          </a:extLst>
        </xdr:cNvPr>
        <xdr:cNvGrpSpPr/>
      </xdr:nvGrpSpPr>
      <xdr:grpSpPr>
        <a:xfrm>
          <a:off x="4397599" y="20019474"/>
          <a:ext cx="1614850" cy="1052123"/>
          <a:chOff x="4250071" y="2735603"/>
          <a:chExt cx="1614809" cy="981873"/>
        </a:xfrm>
      </xdr:grpSpPr>
      <xdr:grpSp>
        <xdr:nvGrpSpPr>
          <xdr:cNvPr id="78" name="グループ化 77">
            <a:extLst>
              <a:ext uri="{FF2B5EF4-FFF2-40B4-BE49-F238E27FC236}">
                <a16:creationId xmlns:a16="http://schemas.microsoft.com/office/drawing/2014/main" id="{10FC9374-4535-8536-338F-85F894DADE5D}"/>
              </a:ext>
            </a:extLst>
          </xdr:cNvPr>
          <xdr:cNvGrpSpPr>
            <a:grpSpLocks noChangeAspect="1"/>
          </xdr:cNvGrpSpPr>
        </xdr:nvGrpSpPr>
        <xdr:grpSpPr>
          <a:xfrm>
            <a:off x="4730475" y="2735603"/>
            <a:ext cx="653999" cy="663155"/>
            <a:chOff x="0" y="0"/>
            <a:chExt cx="777600" cy="716702"/>
          </a:xfrm>
          <a:solidFill>
            <a:schemeClr val="tx2"/>
          </a:solidFill>
        </xdr:grpSpPr>
        <xdr:grpSp>
          <xdr:nvGrpSpPr>
            <xdr:cNvPr id="80" name="グループ化 79">
              <a:extLst>
                <a:ext uri="{FF2B5EF4-FFF2-40B4-BE49-F238E27FC236}">
                  <a16:creationId xmlns:a16="http://schemas.microsoft.com/office/drawing/2014/main" id="{DB3305E7-8650-423E-8533-2BA11FDC886F}"/>
                </a:ext>
              </a:extLst>
            </xdr:cNvPr>
            <xdr:cNvGrpSpPr/>
          </xdr:nvGrpSpPr>
          <xdr:grpSpPr>
            <a:xfrm>
              <a:off x="237850" y="275377"/>
              <a:ext cx="539750" cy="441325"/>
              <a:chOff x="237850" y="275377"/>
              <a:chExt cx="539750" cy="441325"/>
            </a:xfrm>
            <a:grpFill/>
          </xdr:grpSpPr>
          <xdr:sp macro="" textlink="">
            <xdr:nvSpPr>
              <xdr:cNvPr id="82" name="Freeform 5">
                <a:extLst>
                  <a:ext uri="{FF2B5EF4-FFF2-40B4-BE49-F238E27FC236}">
                    <a16:creationId xmlns:a16="http://schemas.microsoft.com/office/drawing/2014/main" id="{772CA388-8444-71D1-D04E-403F913DB47F}"/>
                  </a:ext>
                </a:extLst>
              </xdr:cNvPr>
              <xdr:cNvSpPr>
                <a:spLocks noEditPoints="1"/>
              </xdr:cNvSpPr>
            </xdr:nvSpPr>
            <xdr:spPr bwMode="auto">
              <a:xfrm>
                <a:off x="237850" y="275377"/>
                <a:ext cx="539750" cy="441325"/>
              </a:xfrm>
              <a:custGeom>
                <a:avLst/>
                <a:gdLst>
                  <a:gd name="T0" fmla="*/ 861 w 923"/>
                  <a:gd name="T1" fmla="*/ 682 h 757"/>
                  <a:gd name="T2" fmla="*/ 838 w 923"/>
                  <a:gd name="T3" fmla="*/ 660 h 757"/>
                  <a:gd name="T4" fmla="*/ 838 w 923"/>
                  <a:gd name="T5" fmla="*/ 23 h 757"/>
                  <a:gd name="T6" fmla="*/ 815 w 923"/>
                  <a:gd name="T7" fmla="*/ 0 h 757"/>
                  <a:gd name="T8" fmla="*/ 347 w 923"/>
                  <a:gd name="T9" fmla="*/ 0 h 757"/>
                  <a:gd name="T10" fmla="*/ 324 w 923"/>
                  <a:gd name="T11" fmla="*/ 23 h 757"/>
                  <a:gd name="T12" fmla="*/ 324 w 923"/>
                  <a:gd name="T13" fmla="*/ 217 h 757"/>
                  <a:gd name="T14" fmla="*/ 301 w 923"/>
                  <a:gd name="T15" fmla="*/ 240 h 757"/>
                  <a:gd name="T16" fmla="*/ 106 w 923"/>
                  <a:gd name="T17" fmla="*/ 240 h 757"/>
                  <a:gd name="T18" fmla="*/ 83 w 923"/>
                  <a:gd name="T19" fmla="*/ 263 h 757"/>
                  <a:gd name="T20" fmla="*/ 83 w 923"/>
                  <a:gd name="T21" fmla="*/ 660 h 757"/>
                  <a:gd name="T22" fmla="*/ 60 w 923"/>
                  <a:gd name="T23" fmla="*/ 682 h 757"/>
                  <a:gd name="T24" fmla="*/ 23 w 923"/>
                  <a:gd name="T25" fmla="*/ 682 h 757"/>
                  <a:gd name="T26" fmla="*/ 0 w 923"/>
                  <a:gd name="T27" fmla="*/ 705 h 757"/>
                  <a:gd name="T28" fmla="*/ 0 w 923"/>
                  <a:gd name="T29" fmla="*/ 734 h 757"/>
                  <a:gd name="T30" fmla="*/ 23 w 923"/>
                  <a:gd name="T31" fmla="*/ 757 h 757"/>
                  <a:gd name="T32" fmla="*/ 900 w 923"/>
                  <a:gd name="T33" fmla="*/ 757 h 757"/>
                  <a:gd name="T34" fmla="*/ 923 w 923"/>
                  <a:gd name="T35" fmla="*/ 734 h 757"/>
                  <a:gd name="T36" fmla="*/ 923 w 923"/>
                  <a:gd name="T37" fmla="*/ 705 h 757"/>
                  <a:gd name="T38" fmla="*/ 900 w 923"/>
                  <a:gd name="T39" fmla="*/ 682 h 757"/>
                  <a:gd name="T40" fmla="*/ 861 w 923"/>
                  <a:gd name="T41" fmla="*/ 682 h 757"/>
                  <a:gd name="T42" fmla="*/ 247 w 923"/>
                  <a:gd name="T43" fmla="*/ 537 h 757"/>
                  <a:gd name="T44" fmla="*/ 225 w 923"/>
                  <a:gd name="T45" fmla="*/ 560 h 757"/>
                  <a:gd name="T46" fmla="*/ 184 w 923"/>
                  <a:gd name="T47" fmla="*/ 560 h 757"/>
                  <a:gd name="T48" fmla="*/ 162 w 923"/>
                  <a:gd name="T49" fmla="*/ 537 h 757"/>
                  <a:gd name="T50" fmla="*/ 162 w 923"/>
                  <a:gd name="T51" fmla="*/ 498 h 757"/>
                  <a:gd name="T52" fmla="*/ 184 w 923"/>
                  <a:gd name="T53" fmla="*/ 475 h 757"/>
                  <a:gd name="T54" fmla="*/ 225 w 923"/>
                  <a:gd name="T55" fmla="*/ 475 h 757"/>
                  <a:gd name="T56" fmla="*/ 247 w 923"/>
                  <a:gd name="T57" fmla="*/ 498 h 757"/>
                  <a:gd name="T58" fmla="*/ 247 w 923"/>
                  <a:gd name="T59" fmla="*/ 537 h 757"/>
                  <a:gd name="T60" fmla="*/ 247 w 923"/>
                  <a:gd name="T61" fmla="*/ 369 h 757"/>
                  <a:gd name="T62" fmla="*/ 225 w 923"/>
                  <a:gd name="T63" fmla="*/ 392 h 757"/>
                  <a:gd name="T64" fmla="*/ 184 w 923"/>
                  <a:gd name="T65" fmla="*/ 392 h 757"/>
                  <a:gd name="T66" fmla="*/ 162 w 923"/>
                  <a:gd name="T67" fmla="*/ 369 h 757"/>
                  <a:gd name="T68" fmla="*/ 162 w 923"/>
                  <a:gd name="T69" fmla="*/ 331 h 757"/>
                  <a:gd name="T70" fmla="*/ 184 w 923"/>
                  <a:gd name="T71" fmla="*/ 308 h 757"/>
                  <a:gd name="T72" fmla="*/ 225 w 923"/>
                  <a:gd name="T73" fmla="*/ 308 h 757"/>
                  <a:gd name="T74" fmla="*/ 247 w 923"/>
                  <a:gd name="T75" fmla="*/ 331 h 757"/>
                  <a:gd name="T76" fmla="*/ 247 w 923"/>
                  <a:gd name="T77" fmla="*/ 369 h 757"/>
                  <a:gd name="T78" fmla="*/ 785 w 923"/>
                  <a:gd name="T79" fmla="*/ 632 h 757"/>
                  <a:gd name="T80" fmla="*/ 763 w 923"/>
                  <a:gd name="T81" fmla="*/ 654 h 757"/>
                  <a:gd name="T82" fmla="*/ 399 w 923"/>
                  <a:gd name="T83" fmla="*/ 654 h 757"/>
                  <a:gd name="T84" fmla="*/ 377 w 923"/>
                  <a:gd name="T85" fmla="*/ 632 h 757"/>
                  <a:gd name="T86" fmla="*/ 377 w 923"/>
                  <a:gd name="T87" fmla="*/ 75 h 757"/>
                  <a:gd name="T88" fmla="*/ 399 w 923"/>
                  <a:gd name="T89" fmla="*/ 52 h 757"/>
                  <a:gd name="T90" fmla="*/ 763 w 923"/>
                  <a:gd name="T91" fmla="*/ 52 h 757"/>
                  <a:gd name="T92" fmla="*/ 785 w 923"/>
                  <a:gd name="T93" fmla="*/ 75 h 757"/>
                  <a:gd name="T94" fmla="*/ 785 w 923"/>
                  <a:gd name="T95" fmla="*/ 632 h 7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923" h="757">
                    <a:moveTo>
                      <a:pt x="861" y="682"/>
                    </a:moveTo>
                    <a:cubicBezTo>
                      <a:pt x="848" y="682"/>
                      <a:pt x="838" y="672"/>
                      <a:pt x="838" y="660"/>
                    </a:cubicBezTo>
                    <a:cubicBezTo>
                      <a:pt x="838" y="23"/>
                      <a:pt x="838" y="23"/>
                      <a:pt x="838" y="23"/>
                    </a:cubicBezTo>
                    <a:cubicBezTo>
                      <a:pt x="838" y="10"/>
                      <a:pt x="828" y="0"/>
                      <a:pt x="815" y="0"/>
                    </a:cubicBezTo>
                    <a:cubicBezTo>
                      <a:pt x="347" y="0"/>
                      <a:pt x="347" y="0"/>
                      <a:pt x="347" y="0"/>
                    </a:cubicBezTo>
                    <a:cubicBezTo>
                      <a:pt x="334" y="0"/>
                      <a:pt x="324" y="10"/>
                      <a:pt x="324" y="23"/>
                    </a:cubicBezTo>
                    <a:cubicBezTo>
                      <a:pt x="324" y="217"/>
                      <a:pt x="324" y="217"/>
                      <a:pt x="324" y="217"/>
                    </a:cubicBezTo>
                    <a:cubicBezTo>
                      <a:pt x="324" y="230"/>
                      <a:pt x="314" y="240"/>
                      <a:pt x="301" y="240"/>
                    </a:cubicBezTo>
                    <a:cubicBezTo>
                      <a:pt x="106" y="240"/>
                      <a:pt x="106" y="240"/>
                      <a:pt x="106" y="240"/>
                    </a:cubicBezTo>
                    <a:cubicBezTo>
                      <a:pt x="93" y="240"/>
                      <a:pt x="83" y="250"/>
                      <a:pt x="83" y="263"/>
                    </a:cubicBezTo>
                    <a:cubicBezTo>
                      <a:pt x="83" y="660"/>
                      <a:pt x="83" y="660"/>
                      <a:pt x="83" y="660"/>
                    </a:cubicBezTo>
                    <a:cubicBezTo>
                      <a:pt x="83" y="672"/>
                      <a:pt x="73" y="682"/>
                      <a:pt x="60" y="682"/>
                    </a:cubicBezTo>
                    <a:cubicBezTo>
                      <a:pt x="23" y="682"/>
                      <a:pt x="23" y="682"/>
                      <a:pt x="23" y="682"/>
                    </a:cubicBezTo>
                    <a:cubicBezTo>
                      <a:pt x="10" y="682"/>
                      <a:pt x="0" y="693"/>
                      <a:pt x="0" y="705"/>
                    </a:cubicBezTo>
                    <a:cubicBezTo>
                      <a:pt x="0" y="734"/>
                      <a:pt x="0" y="734"/>
                      <a:pt x="0" y="734"/>
                    </a:cubicBezTo>
                    <a:cubicBezTo>
                      <a:pt x="0" y="747"/>
                      <a:pt x="10" y="757"/>
                      <a:pt x="23" y="757"/>
                    </a:cubicBezTo>
                    <a:cubicBezTo>
                      <a:pt x="900" y="757"/>
                      <a:pt x="900" y="757"/>
                      <a:pt x="900" y="757"/>
                    </a:cubicBezTo>
                    <a:cubicBezTo>
                      <a:pt x="913" y="757"/>
                      <a:pt x="923" y="747"/>
                      <a:pt x="923" y="734"/>
                    </a:cubicBezTo>
                    <a:cubicBezTo>
                      <a:pt x="923" y="705"/>
                      <a:pt x="923" y="705"/>
                      <a:pt x="923" y="705"/>
                    </a:cubicBezTo>
                    <a:cubicBezTo>
                      <a:pt x="923" y="693"/>
                      <a:pt x="913" y="682"/>
                      <a:pt x="900" y="682"/>
                    </a:cubicBezTo>
                    <a:lnTo>
                      <a:pt x="861" y="682"/>
                    </a:lnTo>
                    <a:close/>
                    <a:moveTo>
                      <a:pt x="247" y="537"/>
                    </a:moveTo>
                    <a:cubicBezTo>
                      <a:pt x="247" y="549"/>
                      <a:pt x="237" y="560"/>
                      <a:pt x="225" y="560"/>
                    </a:cubicBezTo>
                    <a:cubicBezTo>
                      <a:pt x="184" y="560"/>
                      <a:pt x="184" y="560"/>
                      <a:pt x="184" y="560"/>
                    </a:cubicBezTo>
                    <a:cubicBezTo>
                      <a:pt x="172" y="560"/>
                      <a:pt x="162" y="549"/>
                      <a:pt x="162" y="537"/>
                    </a:cubicBezTo>
                    <a:cubicBezTo>
                      <a:pt x="162" y="498"/>
                      <a:pt x="162" y="498"/>
                      <a:pt x="162" y="498"/>
                    </a:cubicBezTo>
                    <a:cubicBezTo>
                      <a:pt x="162" y="485"/>
                      <a:pt x="172" y="475"/>
                      <a:pt x="184" y="475"/>
                    </a:cubicBezTo>
                    <a:cubicBezTo>
                      <a:pt x="225" y="475"/>
                      <a:pt x="225" y="475"/>
                      <a:pt x="225" y="475"/>
                    </a:cubicBezTo>
                    <a:cubicBezTo>
                      <a:pt x="237" y="475"/>
                      <a:pt x="247" y="485"/>
                      <a:pt x="247" y="498"/>
                    </a:cubicBezTo>
                    <a:lnTo>
                      <a:pt x="247" y="537"/>
                    </a:lnTo>
                    <a:close/>
                    <a:moveTo>
                      <a:pt x="247" y="369"/>
                    </a:moveTo>
                    <a:cubicBezTo>
                      <a:pt x="247" y="382"/>
                      <a:pt x="237" y="392"/>
                      <a:pt x="225" y="392"/>
                    </a:cubicBezTo>
                    <a:cubicBezTo>
                      <a:pt x="184" y="392"/>
                      <a:pt x="184" y="392"/>
                      <a:pt x="184" y="392"/>
                    </a:cubicBezTo>
                    <a:cubicBezTo>
                      <a:pt x="172" y="392"/>
                      <a:pt x="162" y="382"/>
                      <a:pt x="162" y="369"/>
                    </a:cubicBezTo>
                    <a:cubicBezTo>
                      <a:pt x="162" y="331"/>
                      <a:pt x="162" y="331"/>
                      <a:pt x="162" y="331"/>
                    </a:cubicBezTo>
                    <a:cubicBezTo>
                      <a:pt x="162" y="319"/>
                      <a:pt x="172" y="308"/>
                      <a:pt x="184" y="308"/>
                    </a:cubicBezTo>
                    <a:cubicBezTo>
                      <a:pt x="225" y="308"/>
                      <a:pt x="225" y="308"/>
                      <a:pt x="225" y="308"/>
                    </a:cubicBezTo>
                    <a:cubicBezTo>
                      <a:pt x="237" y="308"/>
                      <a:pt x="247" y="319"/>
                      <a:pt x="247" y="331"/>
                    </a:cubicBezTo>
                    <a:lnTo>
                      <a:pt x="247" y="369"/>
                    </a:lnTo>
                    <a:close/>
                    <a:moveTo>
                      <a:pt x="785" y="632"/>
                    </a:moveTo>
                    <a:cubicBezTo>
                      <a:pt x="785" y="644"/>
                      <a:pt x="775" y="654"/>
                      <a:pt x="763" y="654"/>
                    </a:cubicBezTo>
                    <a:cubicBezTo>
                      <a:pt x="399" y="654"/>
                      <a:pt x="399" y="654"/>
                      <a:pt x="399" y="654"/>
                    </a:cubicBezTo>
                    <a:cubicBezTo>
                      <a:pt x="387" y="654"/>
                      <a:pt x="377" y="644"/>
                      <a:pt x="377" y="632"/>
                    </a:cubicBezTo>
                    <a:cubicBezTo>
                      <a:pt x="377" y="75"/>
                      <a:pt x="377" y="75"/>
                      <a:pt x="377" y="75"/>
                    </a:cubicBezTo>
                    <a:cubicBezTo>
                      <a:pt x="377" y="63"/>
                      <a:pt x="387" y="52"/>
                      <a:pt x="399" y="52"/>
                    </a:cubicBezTo>
                    <a:cubicBezTo>
                      <a:pt x="763" y="52"/>
                      <a:pt x="763" y="52"/>
                      <a:pt x="763" y="52"/>
                    </a:cubicBezTo>
                    <a:cubicBezTo>
                      <a:pt x="775" y="52"/>
                      <a:pt x="785" y="63"/>
                      <a:pt x="785" y="75"/>
                    </a:cubicBezTo>
                    <a:lnTo>
                      <a:pt x="785" y="63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3" name="Freeform 6">
                <a:extLst>
                  <a:ext uri="{FF2B5EF4-FFF2-40B4-BE49-F238E27FC236}">
                    <a16:creationId xmlns:a16="http://schemas.microsoft.com/office/drawing/2014/main" id="{5E31D888-DBB4-6985-34D7-9E741BAC3B52}"/>
                  </a:ext>
                </a:extLst>
              </xdr:cNvPr>
              <xdr:cNvSpPr>
                <a:spLocks/>
              </xdr:cNvSpPr>
            </xdr:nvSpPr>
            <xdr:spPr bwMode="auto">
              <a:xfrm>
                <a:off x="498200" y="342052"/>
                <a:ext cx="57150" cy="57150"/>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9"/>
                      <a:pt x="89" y="99"/>
                      <a:pt x="76" y="99"/>
                    </a:cubicBezTo>
                    <a:cubicBezTo>
                      <a:pt x="23" y="99"/>
                      <a:pt x="23" y="99"/>
                      <a:pt x="23"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4" name="Freeform 7">
                <a:extLst>
                  <a:ext uri="{FF2B5EF4-FFF2-40B4-BE49-F238E27FC236}">
                    <a16:creationId xmlns:a16="http://schemas.microsoft.com/office/drawing/2014/main" id="{C629149C-CEC7-1591-24C8-B613B92D50DC}"/>
                  </a:ext>
                </a:extLst>
              </xdr:cNvPr>
              <xdr:cNvSpPr>
                <a:spLocks/>
              </xdr:cNvSpPr>
            </xdr:nvSpPr>
            <xdr:spPr bwMode="auto">
              <a:xfrm>
                <a:off x="498200" y="432540"/>
                <a:ext cx="57150" cy="58738"/>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8"/>
                      <a:pt x="89" y="99"/>
                      <a:pt x="76" y="99"/>
                    </a:cubicBezTo>
                    <a:cubicBezTo>
                      <a:pt x="23" y="99"/>
                      <a:pt x="23" y="99"/>
                      <a:pt x="23"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5" name="Freeform 8">
                <a:extLst>
                  <a:ext uri="{FF2B5EF4-FFF2-40B4-BE49-F238E27FC236}">
                    <a16:creationId xmlns:a16="http://schemas.microsoft.com/office/drawing/2014/main" id="{33CF980D-DDD1-11CC-587F-2A838FBB154A}"/>
                  </a:ext>
                </a:extLst>
              </xdr:cNvPr>
              <xdr:cNvSpPr>
                <a:spLocks/>
              </xdr:cNvSpPr>
            </xdr:nvSpPr>
            <xdr:spPr bwMode="auto">
              <a:xfrm>
                <a:off x="498200" y="524615"/>
                <a:ext cx="57150" cy="57150"/>
              </a:xfrm>
              <a:custGeom>
                <a:avLst/>
                <a:gdLst>
                  <a:gd name="T0" fmla="*/ 0 w 99"/>
                  <a:gd name="T1" fmla="*/ 22 h 98"/>
                  <a:gd name="T2" fmla="*/ 23 w 99"/>
                  <a:gd name="T3" fmla="*/ 0 h 98"/>
                  <a:gd name="T4" fmla="*/ 76 w 99"/>
                  <a:gd name="T5" fmla="*/ 0 h 98"/>
                  <a:gd name="T6" fmla="*/ 99 w 99"/>
                  <a:gd name="T7" fmla="*/ 22 h 98"/>
                  <a:gd name="T8" fmla="*/ 99 w 99"/>
                  <a:gd name="T9" fmla="*/ 76 h 98"/>
                  <a:gd name="T10" fmla="*/ 76 w 99"/>
                  <a:gd name="T11" fmla="*/ 98 h 98"/>
                  <a:gd name="T12" fmla="*/ 23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3" y="0"/>
                    </a:cubicBezTo>
                    <a:cubicBezTo>
                      <a:pt x="76" y="0"/>
                      <a:pt x="76" y="0"/>
                      <a:pt x="76" y="0"/>
                    </a:cubicBezTo>
                    <a:cubicBezTo>
                      <a:pt x="89" y="0"/>
                      <a:pt x="99" y="10"/>
                      <a:pt x="99" y="22"/>
                    </a:cubicBezTo>
                    <a:cubicBezTo>
                      <a:pt x="99" y="76"/>
                      <a:pt x="99" y="76"/>
                      <a:pt x="99" y="76"/>
                    </a:cubicBezTo>
                    <a:cubicBezTo>
                      <a:pt x="99" y="88"/>
                      <a:pt x="89" y="98"/>
                      <a:pt x="76" y="98"/>
                    </a:cubicBezTo>
                    <a:cubicBezTo>
                      <a:pt x="23" y="98"/>
                      <a:pt x="23" y="98"/>
                      <a:pt x="23"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6" name="Freeform 9">
                <a:extLst>
                  <a:ext uri="{FF2B5EF4-FFF2-40B4-BE49-F238E27FC236}">
                    <a16:creationId xmlns:a16="http://schemas.microsoft.com/office/drawing/2014/main" id="{27CB20DA-996E-679D-F666-CBE9ADF4D656}"/>
                  </a:ext>
                </a:extLst>
              </xdr:cNvPr>
              <xdr:cNvSpPr>
                <a:spLocks/>
              </xdr:cNvSpPr>
            </xdr:nvSpPr>
            <xdr:spPr bwMode="auto">
              <a:xfrm>
                <a:off x="598213" y="342052"/>
                <a:ext cx="57150" cy="57150"/>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9"/>
                      <a:pt x="88" y="99"/>
                      <a:pt x="76" y="99"/>
                    </a:cubicBezTo>
                    <a:cubicBezTo>
                      <a:pt x="22" y="99"/>
                      <a:pt x="22" y="99"/>
                      <a:pt x="22"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7" name="Freeform 10">
                <a:extLst>
                  <a:ext uri="{FF2B5EF4-FFF2-40B4-BE49-F238E27FC236}">
                    <a16:creationId xmlns:a16="http://schemas.microsoft.com/office/drawing/2014/main" id="{6A56C2FB-9E01-770D-8016-F5F7FC7F02DE}"/>
                  </a:ext>
                </a:extLst>
              </xdr:cNvPr>
              <xdr:cNvSpPr>
                <a:spLocks/>
              </xdr:cNvSpPr>
            </xdr:nvSpPr>
            <xdr:spPr bwMode="auto">
              <a:xfrm>
                <a:off x="598213" y="432540"/>
                <a:ext cx="57150" cy="58738"/>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8"/>
                      <a:pt x="88" y="99"/>
                      <a:pt x="76" y="99"/>
                    </a:cubicBezTo>
                    <a:cubicBezTo>
                      <a:pt x="22" y="99"/>
                      <a:pt x="22" y="99"/>
                      <a:pt x="22"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88" name="Freeform 11">
                <a:extLst>
                  <a:ext uri="{FF2B5EF4-FFF2-40B4-BE49-F238E27FC236}">
                    <a16:creationId xmlns:a16="http://schemas.microsoft.com/office/drawing/2014/main" id="{D73AAD33-84D3-B17A-EA58-213D361898A8}"/>
                  </a:ext>
                </a:extLst>
              </xdr:cNvPr>
              <xdr:cNvSpPr>
                <a:spLocks/>
              </xdr:cNvSpPr>
            </xdr:nvSpPr>
            <xdr:spPr bwMode="auto">
              <a:xfrm>
                <a:off x="598213" y="524615"/>
                <a:ext cx="57150" cy="57150"/>
              </a:xfrm>
              <a:custGeom>
                <a:avLst/>
                <a:gdLst>
                  <a:gd name="T0" fmla="*/ 0 w 99"/>
                  <a:gd name="T1" fmla="*/ 22 h 98"/>
                  <a:gd name="T2" fmla="*/ 22 w 99"/>
                  <a:gd name="T3" fmla="*/ 0 h 98"/>
                  <a:gd name="T4" fmla="*/ 76 w 99"/>
                  <a:gd name="T5" fmla="*/ 0 h 98"/>
                  <a:gd name="T6" fmla="*/ 99 w 99"/>
                  <a:gd name="T7" fmla="*/ 22 h 98"/>
                  <a:gd name="T8" fmla="*/ 99 w 99"/>
                  <a:gd name="T9" fmla="*/ 76 h 98"/>
                  <a:gd name="T10" fmla="*/ 76 w 99"/>
                  <a:gd name="T11" fmla="*/ 98 h 98"/>
                  <a:gd name="T12" fmla="*/ 22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2" y="0"/>
                    </a:cubicBezTo>
                    <a:cubicBezTo>
                      <a:pt x="76" y="0"/>
                      <a:pt x="76" y="0"/>
                      <a:pt x="76" y="0"/>
                    </a:cubicBezTo>
                    <a:cubicBezTo>
                      <a:pt x="88" y="0"/>
                      <a:pt x="99" y="10"/>
                      <a:pt x="99" y="22"/>
                    </a:cubicBezTo>
                    <a:cubicBezTo>
                      <a:pt x="99" y="76"/>
                      <a:pt x="99" y="76"/>
                      <a:pt x="99" y="76"/>
                    </a:cubicBezTo>
                    <a:cubicBezTo>
                      <a:pt x="99" y="88"/>
                      <a:pt x="88" y="98"/>
                      <a:pt x="76" y="98"/>
                    </a:cubicBezTo>
                    <a:cubicBezTo>
                      <a:pt x="22" y="98"/>
                      <a:pt x="22" y="98"/>
                      <a:pt x="22"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81" name="Freeform 7">
              <a:extLst>
                <a:ext uri="{FF2B5EF4-FFF2-40B4-BE49-F238E27FC236}">
                  <a16:creationId xmlns:a16="http://schemas.microsoft.com/office/drawing/2014/main" id="{276A94CA-76DC-C3A7-884A-5B0920564086}"/>
                </a:ext>
              </a:extLst>
            </xdr:cNvPr>
            <xdr:cNvSpPr>
              <a:spLocks/>
            </xdr:cNvSpPr>
          </xdr:nvSpPr>
          <xdr:spPr bwMode="auto">
            <a:xfrm>
              <a:off x="0" y="0"/>
              <a:ext cx="298450" cy="704850"/>
            </a:xfrm>
            <a:custGeom>
              <a:avLst/>
              <a:gdLst>
                <a:gd name="T0" fmla="*/ 120 w 188"/>
                <a:gd name="T1" fmla="*/ 63 h 444"/>
                <a:gd name="T2" fmla="*/ 188 w 188"/>
                <a:gd name="T3" fmla="*/ 63 h 444"/>
                <a:gd name="T4" fmla="*/ 188 w 188"/>
                <a:gd name="T5" fmla="*/ 48 h 444"/>
                <a:gd name="T6" fmla="*/ 176 w 188"/>
                <a:gd name="T7" fmla="*/ 48 h 444"/>
                <a:gd name="T8" fmla="*/ 176 w 188"/>
                <a:gd name="T9" fmla="*/ 23 h 444"/>
                <a:gd name="T10" fmla="*/ 165 w 188"/>
                <a:gd name="T11" fmla="*/ 23 h 444"/>
                <a:gd name="T12" fmla="*/ 165 w 188"/>
                <a:gd name="T13" fmla="*/ 48 h 444"/>
                <a:gd name="T14" fmla="*/ 146 w 188"/>
                <a:gd name="T15" fmla="*/ 48 h 444"/>
                <a:gd name="T16" fmla="*/ 146 w 188"/>
                <a:gd name="T17" fmla="*/ 23 h 444"/>
                <a:gd name="T18" fmla="*/ 136 w 188"/>
                <a:gd name="T19" fmla="*/ 23 h 444"/>
                <a:gd name="T20" fmla="*/ 136 w 188"/>
                <a:gd name="T21" fmla="*/ 48 h 444"/>
                <a:gd name="T22" fmla="*/ 120 w 188"/>
                <a:gd name="T23" fmla="*/ 48 h 444"/>
                <a:gd name="T24" fmla="*/ 120 w 188"/>
                <a:gd name="T25" fmla="*/ 0 h 444"/>
                <a:gd name="T26" fmla="*/ 66 w 188"/>
                <a:gd name="T27" fmla="*/ 0 h 444"/>
                <a:gd name="T28" fmla="*/ 66 w 188"/>
                <a:gd name="T29" fmla="*/ 48 h 444"/>
                <a:gd name="T30" fmla="*/ 52 w 188"/>
                <a:gd name="T31" fmla="*/ 48 h 444"/>
                <a:gd name="T32" fmla="*/ 52 w 188"/>
                <a:gd name="T33" fmla="*/ 23 h 444"/>
                <a:gd name="T34" fmla="*/ 40 w 188"/>
                <a:gd name="T35" fmla="*/ 23 h 444"/>
                <a:gd name="T36" fmla="*/ 40 w 188"/>
                <a:gd name="T37" fmla="*/ 48 h 444"/>
                <a:gd name="T38" fmla="*/ 22 w 188"/>
                <a:gd name="T39" fmla="*/ 48 h 444"/>
                <a:gd name="T40" fmla="*/ 22 w 188"/>
                <a:gd name="T41" fmla="*/ 23 h 444"/>
                <a:gd name="T42" fmla="*/ 10 w 188"/>
                <a:gd name="T43" fmla="*/ 23 h 444"/>
                <a:gd name="T44" fmla="*/ 10 w 188"/>
                <a:gd name="T45" fmla="*/ 48 h 444"/>
                <a:gd name="T46" fmla="*/ 0 w 188"/>
                <a:gd name="T47" fmla="*/ 48 h 444"/>
                <a:gd name="T48" fmla="*/ 0 w 188"/>
                <a:gd name="T49" fmla="*/ 63 h 444"/>
                <a:gd name="T50" fmla="*/ 66 w 188"/>
                <a:gd name="T51" fmla="*/ 63 h 444"/>
                <a:gd name="T52" fmla="*/ 66 w 188"/>
                <a:gd name="T53" fmla="*/ 120 h 444"/>
                <a:gd name="T54" fmla="*/ 52 w 188"/>
                <a:gd name="T55" fmla="*/ 120 h 444"/>
                <a:gd name="T56" fmla="*/ 52 w 188"/>
                <a:gd name="T57" fmla="*/ 95 h 444"/>
                <a:gd name="T58" fmla="*/ 40 w 188"/>
                <a:gd name="T59" fmla="*/ 95 h 444"/>
                <a:gd name="T60" fmla="*/ 40 w 188"/>
                <a:gd name="T61" fmla="*/ 120 h 444"/>
                <a:gd name="T62" fmla="*/ 22 w 188"/>
                <a:gd name="T63" fmla="*/ 120 h 444"/>
                <a:gd name="T64" fmla="*/ 22 w 188"/>
                <a:gd name="T65" fmla="*/ 95 h 444"/>
                <a:gd name="T66" fmla="*/ 10 w 188"/>
                <a:gd name="T67" fmla="*/ 95 h 444"/>
                <a:gd name="T68" fmla="*/ 10 w 188"/>
                <a:gd name="T69" fmla="*/ 120 h 444"/>
                <a:gd name="T70" fmla="*/ 0 w 188"/>
                <a:gd name="T71" fmla="*/ 120 h 444"/>
                <a:gd name="T72" fmla="*/ 0 w 188"/>
                <a:gd name="T73" fmla="*/ 135 h 444"/>
                <a:gd name="T74" fmla="*/ 66 w 188"/>
                <a:gd name="T75" fmla="*/ 135 h 444"/>
                <a:gd name="T76" fmla="*/ 66 w 188"/>
                <a:gd name="T77" fmla="*/ 444 h 444"/>
                <a:gd name="T78" fmla="*/ 120 w 188"/>
                <a:gd name="T79" fmla="*/ 444 h 444"/>
                <a:gd name="T80" fmla="*/ 120 w 188"/>
                <a:gd name="T81" fmla="*/ 135 h 444"/>
                <a:gd name="T82" fmla="*/ 188 w 188"/>
                <a:gd name="T83" fmla="*/ 135 h 444"/>
                <a:gd name="T84" fmla="*/ 188 w 188"/>
                <a:gd name="T85" fmla="*/ 120 h 444"/>
                <a:gd name="T86" fmla="*/ 176 w 188"/>
                <a:gd name="T87" fmla="*/ 120 h 444"/>
                <a:gd name="T88" fmla="*/ 176 w 188"/>
                <a:gd name="T89" fmla="*/ 95 h 444"/>
                <a:gd name="T90" fmla="*/ 165 w 188"/>
                <a:gd name="T91" fmla="*/ 95 h 444"/>
                <a:gd name="T92" fmla="*/ 165 w 188"/>
                <a:gd name="T93" fmla="*/ 120 h 444"/>
                <a:gd name="T94" fmla="*/ 146 w 188"/>
                <a:gd name="T95" fmla="*/ 120 h 444"/>
                <a:gd name="T96" fmla="*/ 146 w 188"/>
                <a:gd name="T97" fmla="*/ 95 h 444"/>
                <a:gd name="T98" fmla="*/ 136 w 188"/>
                <a:gd name="T99" fmla="*/ 95 h 444"/>
                <a:gd name="T100" fmla="*/ 136 w 188"/>
                <a:gd name="T101" fmla="*/ 120 h 444"/>
                <a:gd name="T102" fmla="*/ 120 w 188"/>
                <a:gd name="T103" fmla="*/ 120 h 444"/>
                <a:gd name="T104" fmla="*/ 120 w 188"/>
                <a:gd name="T105" fmla="*/ 63 h 4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Lst>
              <a:rect l="0" t="0" r="r" b="b"/>
              <a:pathLst>
                <a:path w="188" h="444">
                  <a:moveTo>
                    <a:pt x="120" y="63"/>
                  </a:moveTo>
                  <a:lnTo>
                    <a:pt x="188" y="63"/>
                  </a:lnTo>
                  <a:lnTo>
                    <a:pt x="188" y="48"/>
                  </a:lnTo>
                  <a:lnTo>
                    <a:pt x="176" y="48"/>
                  </a:lnTo>
                  <a:lnTo>
                    <a:pt x="176" y="23"/>
                  </a:lnTo>
                  <a:lnTo>
                    <a:pt x="165" y="23"/>
                  </a:lnTo>
                  <a:lnTo>
                    <a:pt x="165" y="48"/>
                  </a:lnTo>
                  <a:lnTo>
                    <a:pt x="146" y="48"/>
                  </a:lnTo>
                  <a:lnTo>
                    <a:pt x="146" y="23"/>
                  </a:lnTo>
                  <a:lnTo>
                    <a:pt x="136" y="23"/>
                  </a:lnTo>
                  <a:lnTo>
                    <a:pt x="136" y="48"/>
                  </a:lnTo>
                  <a:lnTo>
                    <a:pt x="120" y="48"/>
                  </a:lnTo>
                  <a:lnTo>
                    <a:pt x="120" y="0"/>
                  </a:lnTo>
                  <a:lnTo>
                    <a:pt x="66" y="0"/>
                  </a:lnTo>
                  <a:lnTo>
                    <a:pt x="66" y="48"/>
                  </a:lnTo>
                  <a:lnTo>
                    <a:pt x="52" y="48"/>
                  </a:lnTo>
                  <a:lnTo>
                    <a:pt x="52" y="23"/>
                  </a:lnTo>
                  <a:lnTo>
                    <a:pt x="40" y="23"/>
                  </a:lnTo>
                  <a:lnTo>
                    <a:pt x="40" y="48"/>
                  </a:lnTo>
                  <a:lnTo>
                    <a:pt x="22" y="48"/>
                  </a:lnTo>
                  <a:lnTo>
                    <a:pt x="22" y="23"/>
                  </a:lnTo>
                  <a:lnTo>
                    <a:pt x="10" y="23"/>
                  </a:lnTo>
                  <a:lnTo>
                    <a:pt x="10" y="48"/>
                  </a:lnTo>
                  <a:lnTo>
                    <a:pt x="0" y="48"/>
                  </a:lnTo>
                  <a:lnTo>
                    <a:pt x="0" y="63"/>
                  </a:lnTo>
                  <a:lnTo>
                    <a:pt x="66" y="63"/>
                  </a:lnTo>
                  <a:lnTo>
                    <a:pt x="66" y="120"/>
                  </a:lnTo>
                  <a:lnTo>
                    <a:pt x="52" y="120"/>
                  </a:lnTo>
                  <a:lnTo>
                    <a:pt x="52" y="95"/>
                  </a:lnTo>
                  <a:lnTo>
                    <a:pt x="40" y="95"/>
                  </a:lnTo>
                  <a:lnTo>
                    <a:pt x="40" y="120"/>
                  </a:lnTo>
                  <a:lnTo>
                    <a:pt x="22" y="120"/>
                  </a:lnTo>
                  <a:lnTo>
                    <a:pt x="22" y="95"/>
                  </a:lnTo>
                  <a:lnTo>
                    <a:pt x="10" y="95"/>
                  </a:lnTo>
                  <a:lnTo>
                    <a:pt x="10" y="120"/>
                  </a:lnTo>
                  <a:lnTo>
                    <a:pt x="0" y="120"/>
                  </a:lnTo>
                  <a:lnTo>
                    <a:pt x="0" y="135"/>
                  </a:lnTo>
                  <a:lnTo>
                    <a:pt x="66" y="135"/>
                  </a:lnTo>
                  <a:lnTo>
                    <a:pt x="66" y="444"/>
                  </a:lnTo>
                  <a:lnTo>
                    <a:pt x="120" y="444"/>
                  </a:lnTo>
                  <a:lnTo>
                    <a:pt x="120" y="135"/>
                  </a:lnTo>
                  <a:lnTo>
                    <a:pt x="188" y="135"/>
                  </a:lnTo>
                  <a:lnTo>
                    <a:pt x="188" y="120"/>
                  </a:lnTo>
                  <a:lnTo>
                    <a:pt x="176" y="120"/>
                  </a:lnTo>
                  <a:lnTo>
                    <a:pt x="176" y="95"/>
                  </a:lnTo>
                  <a:lnTo>
                    <a:pt x="165" y="95"/>
                  </a:lnTo>
                  <a:lnTo>
                    <a:pt x="165" y="120"/>
                  </a:lnTo>
                  <a:lnTo>
                    <a:pt x="146" y="120"/>
                  </a:lnTo>
                  <a:lnTo>
                    <a:pt x="146" y="95"/>
                  </a:lnTo>
                  <a:lnTo>
                    <a:pt x="136" y="95"/>
                  </a:lnTo>
                  <a:lnTo>
                    <a:pt x="136" y="120"/>
                  </a:lnTo>
                  <a:lnTo>
                    <a:pt x="120" y="120"/>
                  </a:lnTo>
                  <a:lnTo>
                    <a:pt x="120" y="6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79" name="テキスト ボックス 41">
            <a:extLst>
              <a:ext uri="{FF2B5EF4-FFF2-40B4-BE49-F238E27FC236}">
                <a16:creationId xmlns:a16="http://schemas.microsoft.com/office/drawing/2014/main" id="{866BA34D-FA53-693F-A754-A4A85EDBC0AC}"/>
              </a:ext>
            </a:extLst>
          </xdr:cNvPr>
          <xdr:cNvSpPr txBox="1">
            <a:spLocks noChangeArrowheads="1"/>
          </xdr:cNvSpPr>
        </xdr:nvSpPr>
        <xdr:spPr bwMode="auto">
          <a:xfrm>
            <a:off x="4250071" y="3409699"/>
            <a:ext cx="1614809" cy="307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小売電気事業者</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a:t>
            </a:r>
          </a:p>
        </xdr:txBody>
      </xdr:sp>
    </xdr:grpSp>
    <xdr:clientData/>
  </xdr:twoCellAnchor>
  <xdr:twoCellAnchor>
    <xdr:from>
      <xdr:col>4</xdr:col>
      <xdr:colOff>602639</xdr:colOff>
      <xdr:row>95</xdr:row>
      <xdr:rowOff>63401</xdr:rowOff>
    </xdr:from>
    <xdr:to>
      <xdr:col>6</xdr:col>
      <xdr:colOff>299789</xdr:colOff>
      <xdr:row>99</xdr:row>
      <xdr:rowOff>191146</xdr:rowOff>
    </xdr:to>
    <xdr:grpSp>
      <xdr:nvGrpSpPr>
        <xdr:cNvPr id="89" name="グループ化 88">
          <a:extLst>
            <a:ext uri="{FF2B5EF4-FFF2-40B4-BE49-F238E27FC236}">
              <a16:creationId xmlns:a16="http://schemas.microsoft.com/office/drawing/2014/main" id="{D6DC5797-46DD-4823-BE10-1E673224A5E7}"/>
            </a:ext>
          </a:extLst>
        </xdr:cNvPr>
        <xdr:cNvGrpSpPr/>
      </xdr:nvGrpSpPr>
      <xdr:grpSpPr>
        <a:xfrm>
          <a:off x="4380889" y="21478776"/>
          <a:ext cx="1621200" cy="1038970"/>
          <a:chOff x="4250071" y="2735603"/>
          <a:chExt cx="1614809" cy="981873"/>
        </a:xfrm>
      </xdr:grpSpPr>
      <xdr:grpSp>
        <xdr:nvGrpSpPr>
          <xdr:cNvPr id="90" name="グループ化 89">
            <a:extLst>
              <a:ext uri="{FF2B5EF4-FFF2-40B4-BE49-F238E27FC236}">
                <a16:creationId xmlns:a16="http://schemas.microsoft.com/office/drawing/2014/main" id="{B0420950-B532-8517-0009-EFD20A5BEEB4}"/>
              </a:ext>
            </a:extLst>
          </xdr:cNvPr>
          <xdr:cNvGrpSpPr>
            <a:grpSpLocks noChangeAspect="1"/>
          </xdr:cNvGrpSpPr>
        </xdr:nvGrpSpPr>
        <xdr:grpSpPr>
          <a:xfrm>
            <a:off x="4730475" y="2735603"/>
            <a:ext cx="653999" cy="663155"/>
            <a:chOff x="0" y="0"/>
            <a:chExt cx="777600" cy="716702"/>
          </a:xfrm>
          <a:solidFill>
            <a:schemeClr val="tx2"/>
          </a:solidFill>
        </xdr:grpSpPr>
        <xdr:grpSp>
          <xdr:nvGrpSpPr>
            <xdr:cNvPr id="92" name="グループ化 91">
              <a:extLst>
                <a:ext uri="{FF2B5EF4-FFF2-40B4-BE49-F238E27FC236}">
                  <a16:creationId xmlns:a16="http://schemas.microsoft.com/office/drawing/2014/main" id="{E7D9ABA2-7DE6-D5E1-7F5E-5E0AE33BFB41}"/>
                </a:ext>
              </a:extLst>
            </xdr:cNvPr>
            <xdr:cNvGrpSpPr/>
          </xdr:nvGrpSpPr>
          <xdr:grpSpPr>
            <a:xfrm>
              <a:off x="237850" y="275377"/>
              <a:ext cx="539750" cy="441325"/>
              <a:chOff x="237850" y="275377"/>
              <a:chExt cx="539750" cy="441325"/>
            </a:xfrm>
            <a:grpFill/>
          </xdr:grpSpPr>
          <xdr:sp macro="" textlink="">
            <xdr:nvSpPr>
              <xdr:cNvPr id="94" name="Freeform 5">
                <a:extLst>
                  <a:ext uri="{FF2B5EF4-FFF2-40B4-BE49-F238E27FC236}">
                    <a16:creationId xmlns:a16="http://schemas.microsoft.com/office/drawing/2014/main" id="{7AC338C1-7AE4-2EC2-01DB-B1AF41D7FE66}"/>
                  </a:ext>
                </a:extLst>
              </xdr:cNvPr>
              <xdr:cNvSpPr>
                <a:spLocks noEditPoints="1"/>
              </xdr:cNvSpPr>
            </xdr:nvSpPr>
            <xdr:spPr bwMode="auto">
              <a:xfrm>
                <a:off x="237850" y="275377"/>
                <a:ext cx="539750" cy="441325"/>
              </a:xfrm>
              <a:custGeom>
                <a:avLst/>
                <a:gdLst>
                  <a:gd name="T0" fmla="*/ 861 w 923"/>
                  <a:gd name="T1" fmla="*/ 682 h 757"/>
                  <a:gd name="T2" fmla="*/ 838 w 923"/>
                  <a:gd name="T3" fmla="*/ 660 h 757"/>
                  <a:gd name="T4" fmla="*/ 838 w 923"/>
                  <a:gd name="T5" fmla="*/ 23 h 757"/>
                  <a:gd name="T6" fmla="*/ 815 w 923"/>
                  <a:gd name="T7" fmla="*/ 0 h 757"/>
                  <a:gd name="T8" fmla="*/ 347 w 923"/>
                  <a:gd name="T9" fmla="*/ 0 h 757"/>
                  <a:gd name="T10" fmla="*/ 324 w 923"/>
                  <a:gd name="T11" fmla="*/ 23 h 757"/>
                  <a:gd name="T12" fmla="*/ 324 w 923"/>
                  <a:gd name="T13" fmla="*/ 217 h 757"/>
                  <a:gd name="T14" fmla="*/ 301 w 923"/>
                  <a:gd name="T15" fmla="*/ 240 h 757"/>
                  <a:gd name="T16" fmla="*/ 106 w 923"/>
                  <a:gd name="T17" fmla="*/ 240 h 757"/>
                  <a:gd name="T18" fmla="*/ 83 w 923"/>
                  <a:gd name="T19" fmla="*/ 263 h 757"/>
                  <a:gd name="T20" fmla="*/ 83 w 923"/>
                  <a:gd name="T21" fmla="*/ 660 h 757"/>
                  <a:gd name="T22" fmla="*/ 60 w 923"/>
                  <a:gd name="T23" fmla="*/ 682 h 757"/>
                  <a:gd name="T24" fmla="*/ 23 w 923"/>
                  <a:gd name="T25" fmla="*/ 682 h 757"/>
                  <a:gd name="T26" fmla="*/ 0 w 923"/>
                  <a:gd name="T27" fmla="*/ 705 h 757"/>
                  <a:gd name="T28" fmla="*/ 0 w 923"/>
                  <a:gd name="T29" fmla="*/ 734 h 757"/>
                  <a:gd name="T30" fmla="*/ 23 w 923"/>
                  <a:gd name="T31" fmla="*/ 757 h 757"/>
                  <a:gd name="T32" fmla="*/ 900 w 923"/>
                  <a:gd name="T33" fmla="*/ 757 h 757"/>
                  <a:gd name="T34" fmla="*/ 923 w 923"/>
                  <a:gd name="T35" fmla="*/ 734 h 757"/>
                  <a:gd name="T36" fmla="*/ 923 w 923"/>
                  <a:gd name="T37" fmla="*/ 705 h 757"/>
                  <a:gd name="T38" fmla="*/ 900 w 923"/>
                  <a:gd name="T39" fmla="*/ 682 h 757"/>
                  <a:gd name="T40" fmla="*/ 861 w 923"/>
                  <a:gd name="T41" fmla="*/ 682 h 757"/>
                  <a:gd name="T42" fmla="*/ 247 w 923"/>
                  <a:gd name="T43" fmla="*/ 537 h 757"/>
                  <a:gd name="T44" fmla="*/ 225 w 923"/>
                  <a:gd name="T45" fmla="*/ 560 h 757"/>
                  <a:gd name="T46" fmla="*/ 184 w 923"/>
                  <a:gd name="T47" fmla="*/ 560 h 757"/>
                  <a:gd name="T48" fmla="*/ 162 w 923"/>
                  <a:gd name="T49" fmla="*/ 537 h 757"/>
                  <a:gd name="T50" fmla="*/ 162 w 923"/>
                  <a:gd name="T51" fmla="*/ 498 h 757"/>
                  <a:gd name="T52" fmla="*/ 184 w 923"/>
                  <a:gd name="T53" fmla="*/ 475 h 757"/>
                  <a:gd name="T54" fmla="*/ 225 w 923"/>
                  <a:gd name="T55" fmla="*/ 475 h 757"/>
                  <a:gd name="T56" fmla="*/ 247 w 923"/>
                  <a:gd name="T57" fmla="*/ 498 h 757"/>
                  <a:gd name="T58" fmla="*/ 247 w 923"/>
                  <a:gd name="T59" fmla="*/ 537 h 757"/>
                  <a:gd name="T60" fmla="*/ 247 w 923"/>
                  <a:gd name="T61" fmla="*/ 369 h 757"/>
                  <a:gd name="T62" fmla="*/ 225 w 923"/>
                  <a:gd name="T63" fmla="*/ 392 h 757"/>
                  <a:gd name="T64" fmla="*/ 184 w 923"/>
                  <a:gd name="T65" fmla="*/ 392 h 757"/>
                  <a:gd name="T66" fmla="*/ 162 w 923"/>
                  <a:gd name="T67" fmla="*/ 369 h 757"/>
                  <a:gd name="T68" fmla="*/ 162 w 923"/>
                  <a:gd name="T69" fmla="*/ 331 h 757"/>
                  <a:gd name="T70" fmla="*/ 184 w 923"/>
                  <a:gd name="T71" fmla="*/ 308 h 757"/>
                  <a:gd name="T72" fmla="*/ 225 w 923"/>
                  <a:gd name="T73" fmla="*/ 308 h 757"/>
                  <a:gd name="T74" fmla="*/ 247 w 923"/>
                  <a:gd name="T75" fmla="*/ 331 h 757"/>
                  <a:gd name="T76" fmla="*/ 247 w 923"/>
                  <a:gd name="T77" fmla="*/ 369 h 757"/>
                  <a:gd name="T78" fmla="*/ 785 w 923"/>
                  <a:gd name="T79" fmla="*/ 632 h 757"/>
                  <a:gd name="T80" fmla="*/ 763 w 923"/>
                  <a:gd name="T81" fmla="*/ 654 h 757"/>
                  <a:gd name="T82" fmla="*/ 399 w 923"/>
                  <a:gd name="T83" fmla="*/ 654 h 757"/>
                  <a:gd name="T84" fmla="*/ 377 w 923"/>
                  <a:gd name="T85" fmla="*/ 632 h 757"/>
                  <a:gd name="T86" fmla="*/ 377 w 923"/>
                  <a:gd name="T87" fmla="*/ 75 h 757"/>
                  <a:gd name="T88" fmla="*/ 399 w 923"/>
                  <a:gd name="T89" fmla="*/ 52 h 757"/>
                  <a:gd name="T90" fmla="*/ 763 w 923"/>
                  <a:gd name="T91" fmla="*/ 52 h 757"/>
                  <a:gd name="T92" fmla="*/ 785 w 923"/>
                  <a:gd name="T93" fmla="*/ 75 h 757"/>
                  <a:gd name="T94" fmla="*/ 785 w 923"/>
                  <a:gd name="T95" fmla="*/ 632 h 7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923" h="757">
                    <a:moveTo>
                      <a:pt x="861" y="682"/>
                    </a:moveTo>
                    <a:cubicBezTo>
                      <a:pt x="848" y="682"/>
                      <a:pt x="838" y="672"/>
                      <a:pt x="838" y="660"/>
                    </a:cubicBezTo>
                    <a:cubicBezTo>
                      <a:pt x="838" y="23"/>
                      <a:pt x="838" y="23"/>
                      <a:pt x="838" y="23"/>
                    </a:cubicBezTo>
                    <a:cubicBezTo>
                      <a:pt x="838" y="10"/>
                      <a:pt x="828" y="0"/>
                      <a:pt x="815" y="0"/>
                    </a:cubicBezTo>
                    <a:cubicBezTo>
                      <a:pt x="347" y="0"/>
                      <a:pt x="347" y="0"/>
                      <a:pt x="347" y="0"/>
                    </a:cubicBezTo>
                    <a:cubicBezTo>
                      <a:pt x="334" y="0"/>
                      <a:pt x="324" y="10"/>
                      <a:pt x="324" y="23"/>
                    </a:cubicBezTo>
                    <a:cubicBezTo>
                      <a:pt x="324" y="217"/>
                      <a:pt x="324" y="217"/>
                      <a:pt x="324" y="217"/>
                    </a:cubicBezTo>
                    <a:cubicBezTo>
                      <a:pt x="324" y="230"/>
                      <a:pt x="314" y="240"/>
                      <a:pt x="301" y="240"/>
                    </a:cubicBezTo>
                    <a:cubicBezTo>
                      <a:pt x="106" y="240"/>
                      <a:pt x="106" y="240"/>
                      <a:pt x="106" y="240"/>
                    </a:cubicBezTo>
                    <a:cubicBezTo>
                      <a:pt x="93" y="240"/>
                      <a:pt x="83" y="250"/>
                      <a:pt x="83" y="263"/>
                    </a:cubicBezTo>
                    <a:cubicBezTo>
                      <a:pt x="83" y="660"/>
                      <a:pt x="83" y="660"/>
                      <a:pt x="83" y="660"/>
                    </a:cubicBezTo>
                    <a:cubicBezTo>
                      <a:pt x="83" y="672"/>
                      <a:pt x="73" y="682"/>
                      <a:pt x="60" y="682"/>
                    </a:cubicBezTo>
                    <a:cubicBezTo>
                      <a:pt x="23" y="682"/>
                      <a:pt x="23" y="682"/>
                      <a:pt x="23" y="682"/>
                    </a:cubicBezTo>
                    <a:cubicBezTo>
                      <a:pt x="10" y="682"/>
                      <a:pt x="0" y="693"/>
                      <a:pt x="0" y="705"/>
                    </a:cubicBezTo>
                    <a:cubicBezTo>
                      <a:pt x="0" y="734"/>
                      <a:pt x="0" y="734"/>
                      <a:pt x="0" y="734"/>
                    </a:cubicBezTo>
                    <a:cubicBezTo>
                      <a:pt x="0" y="747"/>
                      <a:pt x="10" y="757"/>
                      <a:pt x="23" y="757"/>
                    </a:cubicBezTo>
                    <a:cubicBezTo>
                      <a:pt x="900" y="757"/>
                      <a:pt x="900" y="757"/>
                      <a:pt x="900" y="757"/>
                    </a:cubicBezTo>
                    <a:cubicBezTo>
                      <a:pt x="913" y="757"/>
                      <a:pt x="923" y="747"/>
                      <a:pt x="923" y="734"/>
                    </a:cubicBezTo>
                    <a:cubicBezTo>
                      <a:pt x="923" y="705"/>
                      <a:pt x="923" y="705"/>
                      <a:pt x="923" y="705"/>
                    </a:cubicBezTo>
                    <a:cubicBezTo>
                      <a:pt x="923" y="693"/>
                      <a:pt x="913" y="682"/>
                      <a:pt x="900" y="682"/>
                    </a:cubicBezTo>
                    <a:lnTo>
                      <a:pt x="861" y="682"/>
                    </a:lnTo>
                    <a:close/>
                    <a:moveTo>
                      <a:pt x="247" y="537"/>
                    </a:moveTo>
                    <a:cubicBezTo>
                      <a:pt x="247" y="549"/>
                      <a:pt x="237" y="560"/>
                      <a:pt x="225" y="560"/>
                    </a:cubicBezTo>
                    <a:cubicBezTo>
                      <a:pt x="184" y="560"/>
                      <a:pt x="184" y="560"/>
                      <a:pt x="184" y="560"/>
                    </a:cubicBezTo>
                    <a:cubicBezTo>
                      <a:pt x="172" y="560"/>
                      <a:pt x="162" y="549"/>
                      <a:pt x="162" y="537"/>
                    </a:cubicBezTo>
                    <a:cubicBezTo>
                      <a:pt x="162" y="498"/>
                      <a:pt x="162" y="498"/>
                      <a:pt x="162" y="498"/>
                    </a:cubicBezTo>
                    <a:cubicBezTo>
                      <a:pt x="162" y="485"/>
                      <a:pt x="172" y="475"/>
                      <a:pt x="184" y="475"/>
                    </a:cubicBezTo>
                    <a:cubicBezTo>
                      <a:pt x="225" y="475"/>
                      <a:pt x="225" y="475"/>
                      <a:pt x="225" y="475"/>
                    </a:cubicBezTo>
                    <a:cubicBezTo>
                      <a:pt x="237" y="475"/>
                      <a:pt x="247" y="485"/>
                      <a:pt x="247" y="498"/>
                    </a:cubicBezTo>
                    <a:lnTo>
                      <a:pt x="247" y="537"/>
                    </a:lnTo>
                    <a:close/>
                    <a:moveTo>
                      <a:pt x="247" y="369"/>
                    </a:moveTo>
                    <a:cubicBezTo>
                      <a:pt x="247" y="382"/>
                      <a:pt x="237" y="392"/>
                      <a:pt x="225" y="392"/>
                    </a:cubicBezTo>
                    <a:cubicBezTo>
                      <a:pt x="184" y="392"/>
                      <a:pt x="184" y="392"/>
                      <a:pt x="184" y="392"/>
                    </a:cubicBezTo>
                    <a:cubicBezTo>
                      <a:pt x="172" y="392"/>
                      <a:pt x="162" y="382"/>
                      <a:pt x="162" y="369"/>
                    </a:cubicBezTo>
                    <a:cubicBezTo>
                      <a:pt x="162" y="331"/>
                      <a:pt x="162" y="331"/>
                      <a:pt x="162" y="331"/>
                    </a:cubicBezTo>
                    <a:cubicBezTo>
                      <a:pt x="162" y="319"/>
                      <a:pt x="172" y="308"/>
                      <a:pt x="184" y="308"/>
                    </a:cubicBezTo>
                    <a:cubicBezTo>
                      <a:pt x="225" y="308"/>
                      <a:pt x="225" y="308"/>
                      <a:pt x="225" y="308"/>
                    </a:cubicBezTo>
                    <a:cubicBezTo>
                      <a:pt x="237" y="308"/>
                      <a:pt x="247" y="319"/>
                      <a:pt x="247" y="331"/>
                    </a:cubicBezTo>
                    <a:lnTo>
                      <a:pt x="247" y="369"/>
                    </a:lnTo>
                    <a:close/>
                    <a:moveTo>
                      <a:pt x="785" y="632"/>
                    </a:moveTo>
                    <a:cubicBezTo>
                      <a:pt x="785" y="644"/>
                      <a:pt x="775" y="654"/>
                      <a:pt x="763" y="654"/>
                    </a:cubicBezTo>
                    <a:cubicBezTo>
                      <a:pt x="399" y="654"/>
                      <a:pt x="399" y="654"/>
                      <a:pt x="399" y="654"/>
                    </a:cubicBezTo>
                    <a:cubicBezTo>
                      <a:pt x="387" y="654"/>
                      <a:pt x="377" y="644"/>
                      <a:pt x="377" y="632"/>
                    </a:cubicBezTo>
                    <a:cubicBezTo>
                      <a:pt x="377" y="75"/>
                      <a:pt x="377" y="75"/>
                      <a:pt x="377" y="75"/>
                    </a:cubicBezTo>
                    <a:cubicBezTo>
                      <a:pt x="377" y="63"/>
                      <a:pt x="387" y="52"/>
                      <a:pt x="399" y="52"/>
                    </a:cubicBezTo>
                    <a:cubicBezTo>
                      <a:pt x="763" y="52"/>
                      <a:pt x="763" y="52"/>
                      <a:pt x="763" y="52"/>
                    </a:cubicBezTo>
                    <a:cubicBezTo>
                      <a:pt x="775" y="52"/>
                      <a:pt x="785" y="63"/>
                      <a:pt x="785" y="75"/>
                    </a:cubicBezTo>
                    <a:lnTo>
                      <a:pt x="785" y="63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95" name="Freeform 6">
                <a:extLst>
                  <a:ext uri="{FF2B5EF4-FFF2-40B4-BE49-F238E27FC236}">
                    <a16:creationId xmlns:a16="http://schemas.microsoft.com/office/drawing/2014/main" id="{000360A1-8EAE-7A09-DB2E-65519F261616}"/>
                  </a:ext>
                </a:extLst>
              </xdr:cNvPr>
              <xdr:cNvSpPr>
                <a:spLocks/>
              </xdr:cNvSpPr>
            </xdr:nvSpPr>
            <xdr:spPr bwMode="auto">
              <a:xfrm>
                <a:off x="498200" y="342052"/>
                <a:ext cx="57150" cy="57150"/>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9"/>
                      <a:pt x="89" y="99"/>
                      <a:pt x="76" y="99"/>
                    </a:cubicBezTo>
                    <a:cubicBezTo>
                      <a:pt x="23" y="99"/>
                      <a:pt x="23" y="99"/>
                      <a:pt x="23"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96" name="Freeform 7">
                <a:extLst>
                  <a:ext uri="{FF2B5EF4-FFF2-40B4-BE49-F238E27FC236}">
                    <a16:creationId xmlns:a16="http://schemas.microsoft.com/office/drawing/2014/main" id="{C2933545-8C5F-D8CD-BDA0-0B0529ECED55}"/>
                  </a:ext>
                </a:extLst>
              </xdr:cNvPr>
              <xdr:cNvSpPr>
                <a:spLocks/>
              </xdr:cNvSpPr>
            </xdr:nvSpPr>
            <xdr:spPr bwMode="auto">
              <a:xfrm>
                <a:off x="498200" y="432540"/>
                <a:ext cx="57150" cy="58738"/>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8"/>
                      <a:pt x="89" y="99"/>
                      <a:pt x="76" y="99"/>
                    </a:cubicBezTo>
                    <a:cubicBezTo>
                      <a:pt x="23" y="99"/>
                      <a:pt x="23" y="99"/>
                      <a:pt x="23"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97" name="Freeform 8">
                <a:extLst>
                  <a:ext uri="{FF2B5EF4-FFF2-40B4-BE49-F238E27FC236}">
                    <a16:creationId xmlns:a16="http://schemas.microsoft.com/office/drawing/2014/main" id="{7F469BF4-7CDA-64EE-42B0-BC3D9720E11E}"/>
                  </a:ext>
                </a:extLst>
              </xdr:cNvPr>
              <xdr:cNvSpPr>
                <a:spLocks/>
              </xdr:cNvSpPr>
            </xdr:nvSpPr>
            <xdr:spPr bwMode="auto">
              <a:xfrm>
                <a:off x="498200" y="524615"/>
                <a:ext cx="57150" cy="57150"/>
              </a:xfrm>
              <a:custGeom>
                <a:avLst/>
                <a:gdLst>
                  <a:gd name="T0" fmla="*/ 0 w 99"/>
                  <a:gd name="T1" fmla="*/ 22 h 98"/>
                  <a:gd name="T2" fmla="*/ 23 w 99"/>
                  <a:gd name="T3" fmla="*/ 0 h 98"/>
                  <a:gd name="T4" fmla="*/ 76 w 99"/>
                  <a:gd name="T5" fmla="*/ 0 h 98"/>
                  <a:gd name="T6" fmla="*/ 99 w 99"/>
                  <a:gd name="T7" fmla="*/ 22 h 98"/>
                  <a:gd name="T8" fmla="*/ 99 w 99"/>
                  <a:gd name="T9" fmla="*/ 76 h 98"/>
                  <a:gd name="T10" fmla="*/ 76 w 99"/>
                  <a:gd name="T11" fmla="*/ 98 h 98"/>
                  <a:gd name="T12" fmla="*/ 23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3" y="0"/>
                    </a:cubicBezTo>
                    <a:cubicBezTo>
                      <a:pt x="76" y="0"/>
                      <a:pt x="76" y="0"/>
                      <a:pt x="76" y="0"/>
                    </a:cubicBezTo>
                    <a:cubicBezTo>
                      <a:pt x="89" y="0"/>
                      <a:pt x="99" y="10"/>
                      <a:pt x="99" y="22"/>
                    </a:cubicBezTo>
                    <a:cubicBezTo>
                      <a:pt x="99" y="76"/>
                      <a:pt x="99" y="76"/>
                      <a:pt x="99" y="76"/>
                    </a:cubicBezTo>
                    <a:cubicBezTo>
                      <a:pt x="99" y="88"/>
                      <a:pt x="89" y="98"/>
                      <a:pt x="76" y="98"/>
                    </a:cubicBezTo>
                    <a:cubicBezTo>
                      <a:pt x="23" y="98"/>
                      <a:pt x="23" y="98"/>
                      <a:pt x="23"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98" name="Freeform 9">
                <a:extLst>
                  <a:ext uri="{FF2B5EF4-FFF2-40B4-BE49-F238E27FC236}">
                    <a16:creationId xmlns:a16="http://schemas.microsoft.com/office/drawing/2014/main" id="{D0CDC9E5-1EFA-7612-1909-BEC49B49C6B7}"/>
                  </a:ext>
                </a:extLst>
              </xdr:cNvPr>
              <xdr:cNvSpPr>
                <a:spLocks/>
              </xdr:cNvSpPr>
            </xdr:nvSpPr>
            <xdr:spPr bwMode="auto">
              <a:xfrm>
                <a:off x="598213" y="342052"/>
                <a:ext cx="57150" cy="57150"/>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9"/>
                      <a:pt x="88" y="99"/>
                      <a:pt x="76" y="99"/>
                    </a:cubicBezTo>
                    <a:cubicBezTo>
                      <a:pt x="22" y="99"/>
                      <a:pt x="22" y="99"/>
                      <a:pt x="22"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99" name="Freeform 10">
                <a:extLst>
                  <a:ext uri="{FF2B5EF4-FFF2-40B4-BE49-F238E27FC236}">
                    <a16:creationId xmlns:a16="http://schemas.microsoft.com/office/drawing/2014/main" id="{DD8A1F5C-AF06-8EEE-8744-D81DD3342524}"/>
                  </a:ext>
                </a:extLst>
              </xdr:cNvPr>
              <xdr:cNvSpPr>
                <a:spLocks/>
              </xdr:cNvSpPr>
            </xdr:nvSpPr>
            <xdr:spPr bwMode="auto">
              <a:xfrm>
                <a:off x="598213" y="432540"/>
                <a:ext cx="57150" cy="58738"/>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8"/>
                      <a:pt x="88" y="99"/>
                      <a:pt x="76" y="99"/>
                    </a:cubicBezTo>
                    <a:cubicBezTo>
                      <a:pt x="22" y="99"/>
                      <a:pt x="22" y="99"/>
                      <a:pt x="22"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00" name="Freeform 11">
                <a:extLst>
                  <a:ext uri="{FF2B5EF4-FFF2-40B4-BE49-F238E27FC236}">
                    <a16:creationId xmlns:a16="http://schemas.microsoft.com/office/drawing/2014/main" id="{31B3265B-5787-923D-E12B-8CF2A749EFF9}"/>
                  </a:ext>
                </a:extLst>
              </xdr:cNvPr>
              <xdr:cNvSpPr>
                <a:spLocks/>
              </xdr:cNvSpPr>
            </xdr:nvSpPr>
            <xdr:spPr bwMode="auto">
              <a:xfrm>
                <a:off x="598213" y="524615"/>
                <a:ext cx="57150" cy="57150"/>
              </a:xfrm>
              <a:custGeom>
                <a:avLst/>
                <a:gdLst>
                  <a:gd name="T0" fmla="*/ 0 w 99"/>
                  <a:gd name="T1" fmla="*/ 22 h 98"/>
                  <a:gd name="T2" fmla="*/ 22 w 99"/>
                  <a:gd name="T3" fmla="*/ 0 h 98"/>
                  <a:gd name="T4" fmla="*/ 76 w 99"/>
                  <a:gd name="T5" fmla="*/ 0 h 98"/>
                  <a:gd name="T6" fmla="*/ 99 w 99"/>
                  <a:gd name="T7" fmla="*/ 22 h 98"/>
                  <a:gd name="T8" fmla="*/ 99 w 99"/>
                  <a:gd name="T9" fmla="*/ 76 h 98"/>
                  <a:gd name="T10" fmla="*/ 76 w 99"/>
                  <a:gd name="T11" fmla="*/ 98 h 98"/>
                  <a:gd name="T12" fmla="*/ 22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2" y="0"/>
                    </a:cubicBezTo>
                    <a:cubicBezTo>
                      <a:pt x="76" y="0"/>
                      <a:pt x="76" y="0"/>
                      <a:pt x="76" y="0"/>
                    </a:cubicBezTo>
                    <a:cubicBezTo>
                      <a:pt x="88" y="0"/>
                      <a:pt x="99" y="10"/>
                      <a:pt x="99" y="22"/>
                    </a:cubicBezTo>
                    <a:cubicBezTo>
                      <a:pt x="99" y="76"/>
                      <a:pt x="99" y="76"/>
                      <a:pt x="99" y="76"/>
                    </a:cubicBezTo>
                    <a:cubicBezTo>
                      <a:pt x="99" y="88"/>
                      <a:pt x="88" y="98"/>
                      <a:pt x="76" y="98"/>
                    </a:cubicBezTo>
                    <a:cubicBezTo>
                      <a:pt x="22" y="98"/>
                      <a:pt x="22" y="98"/>
                      <a:pt x="22"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93" name="Freeform 7">
              <a:extLst>
                <a:ext uri="{FF2B5EF4-FFF2-40B4-BE49-F238E27FC236}">
                  <a16:creationId xmlns:a16="http://schemas.microsoft.com/office/drawing/2014/main" id="{01E6217B-86A4-C3C9-912B-783C7F26AA67}"/>
                </a:ext>
              </a:extLst>
            </xdr:cNvPr>
            <xdr:cNvSpPr>
              <a:spLocks/>
            </xdr:cNvSpPr>
          </xdr:nvSpPr>
          <xdr:spPr bwMode="auto">
            <a:xfrm>
              <a:off x="0" y="0"/>
              <a:ext cx="298450" cy="704850"/>
            </a:xfrm>
            <a:custGeom>
              <a:avLst/>
              <a:gdLst>
                <a:gd name="T0" fmla="*/ 120 w 188"/>
                <a:gd name="T1" fmla="*/ 63 h 444"/>
                <a:gd name="T2" fmla="*/ 188 w 188"/>
                <a:gd name="T3" fmla="*/ 63 h 444"/>
                <a:gd name="T4" fmla="*/ 188 w 188"/>
                <a:gd name="T5" fmla="*/ 48 h 444"/>
                <a:gd name="T6" fmla="*/ 176 w 188"/>
                <a:gd name="T7" fmla="*/ 48 h 444"/>
                <a:gd name="T8" fmla="*/ 176 w 188"/>
                <a:gd name="T9" fmla="*/ 23 h 444"/>
                <a:gd name="T10" fmla="*/ 165 w 188"/>
                <a:gd name="T11" fmla="*/ 23 h 444"/>
                <a:gd name="T12" fmla="*/ 165 w 188"/>
                <a:gd name="T13" fmla="*/ 48 h 444"/>
                <a:gd name="T14" fmla="*/ 146 w 188"/>
                <a:gd name="T15" fmla="*/ 48 h 444"/>
                <a:gd name="T16" fmla="*/ 146 w 188"/>
                <a:gd name="T17" fmla="*/ 23 h 444"/>
                <a:gd name="T18" fmla="*/ 136 w 188"/>
                <a:gd name="T19" fmla="*/ 23 h 444"/>
                <a:gd name="T20" fmla="*/ 136 w 188"/>
                <a:gd name="T21" fmla="*/ 48 h 444"/>
                <a:gd name="T22" fmla="*/ 120 w 188"/>
                <a:gd name="T23" fmla="*/ 48 h 444"/>
                <a:gd name="T24" fmla="*/ 120 w 188"/>
                <a:gd name="T25" fmla="*/ 0 h 444"/>
                <a:gd name="T26" fmla="*/ 66 w 188"/>
                <a:gd name="T27" fmla="*/ 0 h 444"/>
                <a:gd name="T28" fmla="*/ 66 w 188"/>
                <a:gd name="T29" fmla="*/ 48 h 444"/>
                <a:gd name="T30" fmla="*/ 52 w 188"/>
                <a:gd name="T31" fmla="*/ 48 h 444"/>
                <a:gd name="T32" fmla="*/ 52 w 188"/>
                <a:gd name="T33" fmla="*/ 23 h 444"/>
                <a:gd name="T34" fmla="*/ 40 w 188"/>
                <a:gd name="T35" fmla="*/ 23 h 444"/>
                <a:gd name="T36" fmla="*/ 40 w 188"/>
                <a:gd name="T37" fmla="*/ 48 h 444"/>
                <a:gd name="T38" fmla="*/ 22 w 188"/>
                <a:gd name="T39" fmla="*/ 48 h 444"/>
                <a:gd name="T40" fmla="*/ 22 w 188"/>
                <a:gd name="T41" fmla="*/ 23 h 444"/>
                <a:gd name="T42" fmla="*/ 10 w 188"/>
                <a:gd name="T43" fmla="*/ 23 h 444"/>
                <a:gd name="T44" fmla="*/ 10 w 188"/>
                <a:gd name="T45" fmla="*/ 48 h 444"/>
                <a:gd name="T46" fmla="*/ 0 w 188"/>
                <a:gd name="T47" fmla="*/ 48 h 444"/>
                <a:gd name="T48" fmla="*/ 0 w 188"/>
                <a:gd name="T49" fmla="*/ 63 h 444"/>
                <a:gd name="T50" fmla="*/ 66 w 188"/>
                <a:gd name="T51" fmla="*/ 63 h 444"/>
                <a:gd name="T52" fmla="*/ 66 w 188"/>
                <a:gd name="T53" fmla="*/ 120 h 444"/>
                <a:gd name="T54" fmla="*/ 52 w 188"/>
                <a:gd name="T55" fmla="*/ 120 h 444"/>
                <a:gd name="T56" fmla="*/ 52 w 188"/>
                <a:gd name="T57" fmla="*/ 95 h 444"/>
                <a:gd name="T58" fmla="*/ 40 w 188"/>
                <a:gd name="T59" fmla="*/ 95 h 444"/>
                <a:gd name="T60" fmla="*/ 40 w 188"/>
                <a:gd name="T61" fmla="*/ 120 h 444"/>
                <a:gd name="T62" fmla="*/ 22 w 188"/>
                <a:gd name="T63" fmla="*/ 120 h 444"/>
                <a:gd name="T64" fmla="*/ 22 w 188"/>
                <a:gd name="T65" fmla="*/ 95 h 444"/>
                <a:gd name="T66" fmla="*/ 10 w 188"/>
                <a:gd name="T67" fmla="*/ 95 h 444"/>
                <a:gd name="T68" fmla="*/ 10 w 188"/>
                <a:gd name="T69" fmla="*/ 120 h 444"/>
                <a:gd name="T70" fmla="*/ 0 w 188"/>
                <a:gd name="T71" fmla="*/ 120 h 444"/>
                <a:gd name="T72" fmla="*/ 0 w 188"/>
                <a:gd name="T73" fmla="*/ 135 h 444"/>
                <a:gd name="T74" fmla="*/ 66 w 188"/>
                <a:gd name="T75" fmla="*/ 135 h 444"/>
                <a:gd name="T76" fmla="*/ 66 w 188"/>
                <a:gd name="T77" fmla="*/ 444 h 444"/>
                <a:gd name="T78" fmla="*/ 120 w 188"/>
                <a:gd name="T79" fmla="*/ 444 h 444"/>
                <a:gd name="T80" fmla="*/ 120 w 188"/>
                <a:gd name="T81" fmla="*/ 135 h 444"/>
                <a:gd name="T82" fmla="*/ 188 w 188"/>
                <a:gd name="T83" fmla="*/ 135 h 444"/>
                <a:gd name="T84" fmla="*/ 188 w 188"/>
                <a:gd name="T85" fmla="*/ 120 h 444"/>
                <a:gd name="T86" fmla="*/ 176 w 188"/>
                <a:gd name="T87" fmla="*/ 120 h 444"/>
                <a:gd name="T88" fmla="*/ 176 w 188"/>
                <a:gd name="T89" fmla="*/ 95 h 444"/>
                <a:gd name="T90" fmla="*/ 165 w 188"/>
                <a:gd name="T91" fmla="*/ 95 h 444"/>
                <a:gd name="T92" fmla="*/ 165 w 188"/>
                <a:gd name="T93" fmla="*/ 120 h 444"/>
                <a:gd name="T94" fmla="*/ 146 w 188"/>
                <a:gd name="T95" fmla="*/ 120 h 444"/>
                <a:gd name="T96" fmla="*/ 146 w 188"/>
                <a:gd name="T97" fmla="*/ 95 h 444"/>
                <a:gd name="T98" fmla="*/ 136 w 188"/>
                <a:gd name="T99" fmla="*/ 95 h 444"/>
                <a:gd name="T100" fmla="*/ 136 w 188"/>
                <a:gd name="T101" fmla="*/ 120 h 444"/>
                <a:gd name="T102" fmla="*/ 120 w 188"/>
                <a:gd name="T103" fmla="*/ 120 h 444"/>
                <a:gd name="T104" fmla="*/ 120 w 188"/>
                <a:gd name="T105" fmla="*/ 63 h 4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Lst>
              <a:rect l="0" t="0" r="r" b="b"/>
              <a:pathLst>
                <a:path w="188" h="444">
                  <a:moveTo>
                    <a:pt x="120" y="63"/>
                  </a:moveTo>
                  <a:lnTo>
                    <a:pt x="188" y="63"/>
                  </a:lnTo>
                  <a:lnTo>
                    <a:pt x="188" y="48"/>
                  </a:lnTo>
                  <a:lnTo>
                    <a:pt x="176" y="48"/>
                  </a:lnTo>
                  <a:lnTo>
                    <a:pt x="176" y="23"/>
                  </a:lnTo>
                  <a:lnTo>
                    <a:pt x="165" y="23"/>
                  </a:lnTo>
                  <a:lnTo>
                    <a:pt x="165" y="48"/>
                  </a:lnTo>
                  <a:lnTo>
                    <a:pt x="146" y="48"/>
                  </a:lnTo>
                  <a:lnTo>
                    <a:pt x="146" y="23"/>
                  </a:lnTo>
                  <a:lnTo>
                    <a:pt x="136" y="23"/>
                  </a:lnTo>
                  <a:lnTo>
                    <a:pt x="136" y="48"/>
                  </a:lnTo>
                  <a:lnTo>
                    <a:pt x="120" y="48"/>
                  </a:lnTo>
                  <a:lnTo>
                    <a:pt x="120" y="0"/>
                  </a:lnTo>
                  <a:lnTo>
                    <a:pt x="66" y="0"/>
                  </a:lnTo>
                  <a:lnTo>
                    <a:pt x="66" y="48"/>
                  </a:lnTo>
                  <a:lnTo>
                    <a:pt x="52" y="48"/>
                  </a:lnTo>
                  <a:lnTo>
                    <a:pt x="52" y="23"/>
                  </a:lnTo>
                  <a:lnTo>
                    <a:pt x="40" y="23"/>
                  </a:lnTo>
                  <a:lnTo>
                    <a:pt x="40" y="48"/>
                  </a:lnTo>
                  <a:lnTo>
                    <a:pt x="22" y="48"/>
                  </a:lnTo>
                  <a:lnTo>
                    <a:pt x="22" y="23"/>
                  </a:lnTo>
                  <a:lnTo>
                    <a:pt x="10" y="23"/>
                  </a:lnTo>
                  <a:lnTo>
                    <a:pt x="10" y="48"/>
                  </a:lnTo>
                  <a:lnTo>
                    <a:pt x="0" y="48"/>
                  </a:lnTo>
                  <a:lnTo>
                    <a:pt x="0" y="63"/>
                  </a:lnTo>
                  <a:lnTo>
                    <a:pt x="66" y="63"/>
                  </a:lnTo>
                  <a:lnTo>
                    <a:pt x="66" y="120"/>
                  </a:lnTo>
                  <a:lnTo>
                    <a:pt x="52" y="120"/>
                  </a:lnTo>
                  <a:lnTo>
                    <a:pt x="52" y="95"/>
                  </a:lnTo>
                  <a:lnTo>
                    <a:pt x="40" y="95"/>
                  </a:lnTo>
                  <a:lnTo>
                    <a:pt x="40" y="120"/>
                  </a:lnTo>
                  <a:lnTo>
                    <a:pt x="22" y="120"/>
                  </a:lnTo>
                  <a:lnTo>
                    <a:pt x="22" y="95"/>
                  </a:lnTo>
                  <a:lnTo>
                    <a:pt x="10" y="95"/>
                  </a:lnTo>
                  <a:lnTo>
                    <a:pt x="10" y="120"/>
                  </a:lnTo>
                  <a:lnTo>
                    <a:pt x="0" y="120"/>
                  </a:lnTo>
                  <a:lnTo>
                    <a:pt x="0" y="135"/>
                  </a:lnTo>
                  <a:lnTo>
                    <a:pt x="66" y="135"/>
                  </a:lnTo>
                  <a:lnTo>
                    <a:pt x="66" y="444"/>
                  </a:lnTo>
                  <a:lnTo>
                    <a:pt x="120" y="444"/>
                  </a:lnTo>
                  <a:lnTo>
                    <a:pt x="120" y="135"/>
                  </a:lnTo>
                  <a:lnTo>
                    <a:pt x="188" y="135"/>
                  </a:lnTo>
                  <a:lnTo>
                    <a:pt x="188" y="120"/>
                  </a:lnTo>
                  <a:lnTo>
                    <a:pt x="176" y="120"/>
                  </a:lnTo>
                  <a:lnTo>
                    <a:pt x="176" y="95"/>
                  </a:lnTo>
                  <a:lnTo>
                    <a:pt x="165" y="95"/>
                  </a:lnTo>
                  <a:lnTo>
                    <a:pt x="165" y="120"/>
                  </a:lnTo>
                  <a:lnTo>
                    <a:pt x="146" y="120"/>
                  </a:lnTo>
                  <a:lnTo>
                    <a:pt x="146" y="95"/>
                  </a:lnTo>
                  <a:lnTo>
                    <a:pt x="136" y="95"/>
                  </a:lnTo>
                  <a:lnTo>
                    <a:pt x="136" y="120"/>
                  </a:lnTo>
                  <a:lnTo>
                    <a:pt x="120" y="120"/>
                  </a:lnTo>
                  <a:lnTo>
                    <a:pt x="120" y="6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91" name="テキスト ボックス 41">
            <a:extLst>
              <a:ext uri="{FF2B5EF4-FFF2-40B4-BE49-F238E27FC236}">
                <a16:creationId xmlns:a16="http://schemas.microsoft.com/office/drawing/2014/main" id="{54BA1D4A-C887-FA19-0CBA-BBBE35B72A3D}"/>
              </a:ext>
            </a:extLst>
          </xdr:cNvPr>
          <xdr:cNvSpPr txBox="1">
            <a:spLocks noChangeArrowheads="1"/>
          </xdr:cNvSpPr>
        </xdr:nvSpPr>
        <xdr:spPr bwMode="auto">
          <a:xfrm>
            <a:off x="4250071" y="3409699"/>
            <a:ext cx="1614809" cy="307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小売電気事業者</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B</a:t>
            </a:r>
          </a:p>
        </xdr:txBody>
      </xdr:sp>
    </xdr:grpSp>
    <xdr:clientData/>
  </xdr:twoCellAnchor>
  <xdr:twoCellAnchor>
    <xdr:from>
      <xdr:col>4</xdr:col>
      <xdr:colOff>621937</xdr:colOff>
      <xdr:row>101</xdr:row>
      <xdr:rowOff>197405</xdr:rowOff>
    </xdr:from>
    <xdr:to>
      <xdr:col>6</xdr:col>
      <xdr:colOff>309562</xdr:colOff>
      <xdr:row>106</xdr:row>
      <xdr:rowOff>87398</xdr:rowOff>
    </xdr:to>
    <xdr:grpSp>
      <xdr:nvGrpSpPr>
        <xdr:cNvPr id="101" name="グループ化 100">
          <a:extLst>
            <a:ext uri="{FF2B5EF4-FFF2-40B4-BE49-F238E27FC236}">
              <a16:creationId xmlns:a16="http://schemas.microsoft.com/office/drawing/2014/main" id="{3A92D578-BC9B-40B6-9967-2E45B6998900}"/>
            </a:ext>
          </a:extLst>
        </xdr:cNvPr>
        <xdr:cNvGrpSpPr/>
      </xdr:nvGrpSpPr>
      <xdr:grpSpPr>
        <a:xfrm>
          <a:off x="4400187" y="22984380"/>
          <a:ext cx="1618025" cy="1026643"/>
          <a:chOff x="4250071" y="2735603"/>
          <a:chExt cx="1614809" cy="981873"/>
        </a:xfrm>
      </xdr:grpSpPr>
      <xdr:grpSp>
        <xdr:nvGrpSpPr>
          <xdr:cNvPr id="102" name="グループ化 101">
            <a:extLst>
              <a:ext uri="{FF2B5EF4-FFF2-40B4-BE49-F238E27FC236}">
                <a16:creationId xmlns:a16="http://schemas.microsoft.com/office/drawing/2014/main" id="{255BB294-669F-15B1-C5D4-98D7F4C1EB31}"/>
              </a:ext>
            </a:extLst>
          </xdr:cNvPr>
          <xdr:cNvGrpSpPr>
            <a:grpSpLocks noChangeAspect="1"/>
          </xdr:cNvGrpSpPr>
        </xdr:nvGrpSpPr>
        <xdr:grpSpPr>
          <a:xfrm>
            <a:off x="4730475" y="2735603"/>
            <a:ext cx="653999" cy="663155"/>
            <a:chOff x="0" y="0"/>
            <a:chExt cx="777600" cy="716702"/>
          </a:xfrm>
          <a:solidFill>
            <a:schemeClr val="tx2"/>
          </a:solidFill>
        </xdr:grpSpPr>
        <xdr:grpSp>
          <xdr:nvGrpSpPr>
            <xdr:cNvPr id="104" name="グループ化 103">
              <a:extLst>
                <a:ext uri="{FF2B5EF4-FFF2-40B4-BE49-F238E27FC236}">
                  <a16:creationId xmlns:a16="http://schemas.microsoft.com/office/drawing/2014/main" id="{D4B9CBE8-ADCE-3626-08AE-31F021FF558E}"/>
                </a:ext>
              </a:extLst>
            </xdr:cNvPr>
            <xdr:cNvGrpSpPr/>
          </xdr:nvGrpSpPr>
          <xdr:grpSpPr>
            <a:xfrm>
              <a:off x="237850" y="275377"/>
              <a:ext cx="539750" cy="441325"/>
              <a:chOff x="237850" y="275377"/>
              <a:chExt cx="539750" cy="441325"/>
            </a:xfrm>
            <a:grpFill/>
          </xdr:grpSpPr>
          <xdr:sp macro="" textlink="">
            <xdr:nvSpPr>
              <xdr:cNvPr id="106" name="Freeform 5">
                <a:extLst>
                  <a:ext uri="{FF2B5EF4-FFF2-40B4-BE49-F238E27FC236}">
                    <a16:creationId xmlns:a16="http://schemas.microsoft.com/office/drawing/2014/main" id="{E7324CED-6786-B647-8669-2568778E0B72}"/>
                  </a:ext>
                </a:extLst>
              </xdr:cNvPr>
              <xdr:cNvSpPr>
                <a:spLocks noEditPoints="1"/>
              </xdr:cNvSpPr>
            </xdr:nvSpPr>
            <xdr:spPr bwMode="auto">
              <a:xfrm>
                <a:off x="237850" y="275377"/>
                <a:ext cx="539750" cy="441325"/>
              </a:xfrm>
              <a:custGeom>
                <a:avLst/>
                <a:gdLst>
                  <a:gd name="T0" fmla="*/ 861 w 923"/>
                  <a:gd name="T1" fmla="*/ 682 h 757"/>
                  <a:gd name="T2" fmla="*/ 838 w 923"/>
                  <a:gd name="T3" fmla="*/ 660 h 757"/>
                  <a:gd name="T4" fmla="*/ 838 w 923"/>
                  <a:gd name="T5" fmla="*/ 23 h 757"/>
                  <a:gd name="T6" fmla="*/ 815 w 923"/>
                  <a:gd name="T7" fmla="*/ 0 h 757"/>
                  <a:gd name="T8" fmla="*/ 347 w 923"/>
                  <a:gd name="T9" fmla="*/ 0 h 757"/>
                  <a:gd name="T10" fmla="*/ 324 w 923"/>
                  <a:gd name="T11" fmla="*/ 23 h 757"/>
                  <a:gd name="T12" fmla="*/ 324 w 923"/>
                  <a:gd name="T13" fmla="*/ 217 h 757"/>
                  <a:gd name="T14" fmla="*/ 301 w 923"/>
                  <a:gd name="T15" fmla="*/ 240 h 757"/>
                  <a:gd name="T16" fmla="*/ 106 w 923"/>
                  <a:gd name="T17" fmla="*/ 240 h 757"/>
                  <a:gd name="T18" fmla="*/ 83 w 923"/>
                  <a:gd name="T19" fmla="*/ 263 h 757"/>
                  <a:gd name="T20" fmla="*/ 83 w 923"/>
                  <a:gd name="T21" fmla="*/ 660 h 757"/>
                  <a:gd name="T22" fmla="*/ 60 w 923"/>
                  <a:gd name="T23" fmla="*/ 682 h 757"/>
                  <a:gd name="T24" fmla="*/ 23 w 923"/>
                  <a:gd name="T25" fmla="*/ 682 h 757"/>
                  <a:gd name="T26" fmla="*/ 0 w 923"/>
                  <a:gd name="T27" fmla="*/ 705 h 757"/>
                  <a:gd name="T28" fmla="*/ 0 w 923"/>
                  <a:gd name="T29" fmla="*/ 734 h 757"/>
                  <a:gd name="T30" fmla="*/ 23 w 923"/>
                  <a:gd name="T31" fmla="*/ 757 h 757"/>
                  <a:gd name="T32" fmla="*/ 900 w 923"/>
                  <a:gd name="T33" fmla="*/ 757 h 757"/>
                  <a:gd name="T34" fmla="*/ 923 w 923"/>
                  <a:gd name="T35" fmla="*/ 734 h 757"/>
                  <a:gd name="T36" fmla="*/ 923 w 923"/>
                  <a:gd name="T37" fmla="*/ 705 h 757"/>
                  <a:gd name="T38" fmla="*/ 900 w 923"/>
                  <a:gd name="T39" fmla="*/ 682 h 757"/>
                  <a:gd name="T40" fmla="*/ 861 w 923"/>
                  <a:gd name="T41" fmla="*/ 682 h 757"/>
                  <a:gd name="T42" fmla="*/ 247 w 923"/>
                  <a:gd name="T43" fmla="*/ 537 h 757"/>
                  <a:gd name="T44" fmla="*/ 225 w 923"/>
                  <a:gd name="T45" fmla="*/ 560 h 757"/>
                  <a:gd name="T46" fmla="*/ 184 w 923"/>
                  <a:gd name="T47" fmla="*/ 560 h 757"/>
                  <a:gd name="T48" fmla="*/ 162 w 923"/>
                  <a:gd name="T49" fmla="*/ 537 h 757"/>
                  <a:gd name="T50" fmla="*/ 162 w 923"/>
                  <a:gd name="T51" fmla="*/ 498 h 757"/>
                  <a:gd name="T52" fmla="*/ 184 w 923"/>
                  <a:gd name="T53" fmla="*/ 475 h 757"/>
                  <a:gd name="T54" fmla="*/ 225 w 923"/>
                  <a:gd name="T55" fmla="*/ 475 h 757"/>
                  <a:gd name="T56" fmla="*/ 247 w 923"/>
                  <a:gd name="T57" fmla="*/ 498 h 757"/>
                  <a:gd name="T58" fmla="*/ 247 w 923"/>
                  <a:gd name="T59" fmla="*/ 537 h 757"/>
                  <a:gd name="T60" fmla="*/ 247 w 923"/>
                  <a:gd name="T61" fmla="*/ 369 h 757"/>
                  <a:gd name="T62" fmla="*/ 225 w 923"/>
                  <a:gd name="T63" fmla="*/ 392 h 757"/>
                  <a:gd name="T64" fmla="*/ 184 w 923"/>
                  <a:gd name="T65" fmla="*/ 392 h 757"/>
                  <a:gd name="T66" fmla="*/ 162 w 923"/>
                  <a:gd name="T67" fmla="*/ 369 h 757"/>
                  <a:gd name="T68" fmla="*/ 162 w 923"/>
                  <a:gd name="T69" fmla="*/ 331 h 757"/>
                  <a:gd name="T70" fmla="*/ 184 w 923"/>
                  <a:gd name="T71" fmla="*/ 308 h 757"/>
                  <a:gd name="T72" fmla="*/ 225 w 923"/>
                  <a:gd name="T73" fmla="*/ 308 h 757"/>
                  <a:gd name="T74" fmla="*/ 247 w 923"/>
                  <a:gd name="T75" fmla="*/ 331 h 757"/>
                  <a:gd name="T76" fmla="*/ 247 w 923"/>
                  <a:gd name="T77" fmla="*/ 369 h 757"/>
                  <a:gd name="T78" fmla="*/ 785 w 923"/>
                  <a:gd name="T79" fmla="*/ 632 h 757"/>
                  <a:gd name="T80" fmla="*/ 763 w 923"/>
                  <a:gd name="T81" fmla="*/ 654 h 757"/>
                  <a:gd name="T82" fmla="*/ 399 w 923"/>
                  <a:gd name="T83" fmla="*/ 654 h 757"/>
                  <a:gd name="T84" fmla="*/ 377 w 923"/>
                  <a:gd name="T85" fmla="*/ 632 h 757"/>
                  <a:gd name="T86" fmla="*/ 377 w 923"/>
                  <a:gd name="T87" fmla="*/ 75 h 757"/>
                  <a:gd name="T88" fmla="*/ 399 w 923"/>
                  <a:gd name="T89" fmla="*/ 52 h 757"/>
                  <a:gd name="T90" fmla="*/ 763 w 923"/>
                  <a:gd name="T91" fmla="*/ 52 h 757"/>
                  <a:gd name="T92" fmla="*/ 785 w 923"/>
                  <a:gd name="T93" fmla="*/ 75 h 757"/>
                  <a:gd name="T94" fmla="*/ 785 w 923"/>
                  <a:gd name="T95" fmla="*/ 632 h 75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923" h="757">
                    <a:moveTo>
                      <a:pt x="861" y="682"/>
                    </a:moveTo>
                    <a:cubicBezTo>
                      <a:pt x="848" y="682"/>
                      <a:pt x="838" y="672"/>
                      <a:pt x="838" y="660"/>
                    </a:cubicBezTo>
                    <a:cubicBezTo>
                      <a:pt x="838" y="23"/>
                      <a:pt x="838" y="23"/>
                      <a:pt x="838" y="23"/>
                    </a:cubicBezTo>
                    <a:cubicBezTo>
                      <a:pt x="838" y="10"/>
                      <a:pt x="828" y="0"/>
                      <a:pt x="815" y="0"/>
                    </a:cubicBezTo>
                    <a:cubicBezTo>
                      <a:pt x="347" y="0"/>
                      <a:pt x="347" y="0"/>
                      <a:pt x="347" y="0"/>
                    </a:cubicBezTo>
                    <a:cubicBezTo>
                      <a:pt x="334" y="0"/>
                      <a:pt x="324" y="10"/>
                      <a:pt x="324" y="23"/>
                    </a:cubicBezTo>
                    <a:cubicBezTo>
                      <a:pt x="324" y="217"/>
                      <a:pt x="324" y="217"/>
                      <a:pt x="324" y="217"/>
                    </a:cubicBezTo>
                    <a:cubicBezTo>
                      <a:pt x="324" y="230"/>
                      <a:pt x="314" y="240"/>
                      <a:pt x="301" y="240"/>
                    </a:cubicBezTo>
                    <a:cubicBezTo>
                      <a:pt x="106" y="240"/>
                      <a:pt x="106" y="240"/>
                      <a:pt x="106" y="240"/>
                    </a:cubicBezTo>
                    <a:cubicBezTo>
                      <a:pt x="93" y="240"/>
                      <a:pt x="83" y="250"/>
                      <a:pt x="83" y="263"/>
                    </a:cubicBezTo>
                    <a:cubicBezTo>
                      <a:pt x="83" y="660"/>
                      <a:pt x="83" y="660"/>
                      <a:pt x="83" y="660"/>
                    </a:cubicBezTo>
                    <a:cubicBezTo>
                      <a:pt x="83" y="672"/>
                      <a:pt x="73" y="682"/>
                      <a:pt x="60" y="682"/>
                    </a:cubicBezTo>
                    <a:cubicBezTo>
                      <a:pt x="23" y="682"/>
                      <a:pt x="23" y="682"/>
                      <a:pt x="23" y="682"/>
                    </a:cubicBezTo>
                    <a:cubicBezTo>
                      <a:pt x="10" y="682"/>
                      <a:pt x="0" y="693"/>
                      <a:pt x="0" y="705"/>
                    </a:cubicBezTo>
                    <a:cubicBezTo>
                      <a:pt x="0" y="734"/>
                      <a:pt x="0" y="734"/>
                      <a:pt x="0" y="734"/>
                    </a:cubicBezTo>
                    <a:cubicBezTo>
                      <a:pt x="0" y="747"/>
                      <a:pt x="10" y="757"/>
                      <a:pt x="23" y="757"/>
                    </a:cubicBezTo>
                    <a:cubicBezTo>
                      <a:pt x="900" y="757"/>
                      <a:pt x="900" y="757"/>
                      <a:pt x="900" y="757"/>
                    </a:cubicBezTo>
                    <a:cubicBezTo>
                      <a:pt x="913" y="757"/>
                      <a:pt x="923" y="747"/>
                      <a:pt x="923" y="734"/>
                    </a:cubicBezTo>
                    <a:cubicBezTo>
                      <a:pt x="923" y="705"/>
                      <a:pt x="923" y="705"/>
                      <a:pt x="923" y="705"/>
                    </a:cubicBezTo>
                    <a:cubicBezTo>
                      <a:pt x="923" y="693"/>
                      <a:pt x="913" y="682"/>
                      <a:pt x="900" y="682"/>
                    </a:cubicBezTo>
                    <a:lnTo>
                      <a:pt x="861" y="682"/>
                    </a:lnTo>
                    <a:close/>
                    <a:moveTo>
                      <a:pt x="247" y="537"/>
                    </a:moveTo>
                    <a:cubicBezTo>
                      <a:pt x="247" y="549"/>
                      <a:pt x="237" y="560"/>
                      <a:pt x="225" y="560"/>
                    </a:cubicBezTo>
                    <a:cubicBezTo>
                      <a:pt x="184" y="560"/>
                      <a:pt x="184" y="560"/>
                      <a:pt x="184" y="560"/>
                    </a:cubicBezTo>
                    <a:cubicBezTo>
                      <a:pt x="172" y="560"/>
                      <a:pt x="162" y="549"/>
                      <a:pt x="162" y="537"/>
                    </a:cubicBezTo>
                    <a:cubicBezTo>
                      <a:pt x="162" y="498"/>
                      <a:pt x="162" y="498"/>
                      <a:pt x="162" y="498"/>
                    </a:cubicBezTo>
                    <a:cubicBezTo>
                      <a:pt x="162" y="485"/>
                      <a:pt x="172" y="475"/>
                      <a:pt x="184" y="475"/>
                    </a:cubicBezTo>
                    <a:cubicBezTo>
                      <a:pt x="225" y="475"/>
                      <a:pt x="225" y="475"/>
                      <a:pt x="225" y="475"/>
                    </a:cubicBezTo>
                    <a:cubicBezTo>
                      <a:pt x="237" y="475"/>
                      <a:pt x="247" y="485"/>
                      <a:pt x="247" y="498"/>
                    </a:cubicBezTo>
                    <a:lnTo>
                      <a:pt x="247" y="537"/>
                    </a:lnTo>
                    <a:close/>
                    <a:moveTo>
                      <a:pt x="247" y="369"/>
                    </a:moveTo>
                    <a:cubicBezTo>
                      <a:pt x="247" y="382"/>
                      <a:pt x="237" y="392"/>
                      <a:pt x="225" y="392"/>
                    </a:cubicBezTo>
                    <a:cubicBezTo>
                      <a:pt x="184" y="392"/>
                      <a:pt x="184" y="392"/>
                      <a:pt x="184" y="392"/>
                    </a:cubicBezTo>
                    <a:cubicBezTo>
                      <a:pt x="172" y="392"/>
                      <a:pt x="162" y="382"/>
                      <a:pt x="162" y="369"/>
                    </a:cubicBezTo>
                    <a:cubicBezTo>
                      <a:pt x="162" y="331"/>
                      <a:pt x="162" y="331"/>
                      <a:pt x="162" y="331"/>
                    </a:cubicBezTo>
                    <a:cubicBezTo>
                      <a:pt x="162" y="319"/>
                      <a:pt x="172" y="308"/>
                      <a:pt x="184" y="308"/>
                    </a:cubicBezTo>
                    <a:cubicBezTo>
                      <a:pt x="225" y="308"/>
                      <a:pt x="225" y="308"/>
                      <a:pt x="225" y="308"/>
                    </a:cubicBezTo>
                    <a:cubicBezTo>
                      <a:pt x="237" y="308"/>
                      <a:pt x="247" y="319"/>
                      <a:pt x="247" y="331"/>
                    </a:cubicBezTo>
                    <a:lnTo>
                      <a:pt x="247" y="369"/>
                    </a:lnTo>
                    <a:close/>
                    <a:moveTo>
                      <a:pt x="785" y="632"/>
                    </a:moveTo>
                    <a:cubicBezTo>
                      <a:pt x="785" y="644"/>
                      <a:pt x="775" y="654"/>
                      <a:pt x="763" y="654"/>
                    </a:cubicBezTo>
                    <a:cubicBezTo>
                      <a:pt x="399" y="654"/>
                      <a:pt x="399" y="654"/>
                      <a:pt x="399" y="654"/>
                    </a:cubicBezTo>
                    <a:cubicBezTo>
                      <a:pt x="387" y="654"/>
                      <a:pt x="377" y="644"/>
                      <a:pt x="377" y="632"/>
                    </a:cubicBezTo>
                    <a:cubicBezTo>
                      <a:pt x="377" y="75"/>
                      <a:pt x="377" y="75"/>
                      <a:pt x="377" y="75"/>
                    </a:cubicBezTo>
                    <a:cubicBezTo>
                      <a:pt x="377" y="63"/>
                      <a:pt x="387" y="52"/>
                      <a:pt x="399" y="52"/>
                    </a:cubicBezTo>
                    <a:cubicBezTo>
                      <a:pt x="763" y="52"/>
                      <a:pt x="763" y="52"/>
                      <a:pt x="763" y="52"/>
                    </a:cubicBezTo>
                    <a:cubicBezTo>
                      <a:pt x="775" y="52"/>
                      <a:pt x="785" y="63"/>
                      <a:pt x="785" y="75"/>
                    </a:cubicBezTo>
                    <a:lnTo>
                      <a:pt x="785" y="63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07" name="Freeform 6">
                <a:extLst>
                  <a:ext uri="{FF2B5EF4-FFF2-40B4-BE49-F238E27FC236}">
                    <a16:creationId xmlns:a16="http://schemas.microsoft.com/office/drawing/2014/main" id="{2F94C809-42E7-DACD-4CC4-481E0230D261}"/>
                  </a:ext>
                </a:extLst>
              </xdr:cNvPr>
              <xdr:cNvSpPr>
                <a:spLocks/>
              </xdr:cNvSpPr>
            </xdr:nvSpPr>
            <xdr:spPr bwMode="auto">
              <a:xfrm>
                <a:off x="498200" y="342052"/>
                <a:ext cx="57150" cy="57150"/>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9"/>
                      <a:pt x="89" y="99"/>
                      <a:pt x="76" y="99"/>
                    </a:cubicBezTo>
                    <a:cubicBezTo>
                      <a:pt x="23" y="99"/>
                      <a:pt x="23" y="99"/>
                      <a:pt x="23"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08" name="Freeform 7">
                <a:extLst>
                  <a:ext uri="{FF2B5EF4-FFF2-40B4-BE49-F238E27FC236}">
                    <a16:creationId xmlns:a16="http://schemas.microsoft.com/office/drawing/2014/main" id="{1472DFE6-784A-57E8-DADD-D90A6D05A3D1}"/>
                  </a:ext>
                </a:extLst>
              </xdr:cNvPr>
              <xdr:cNvSpPr>
                <a:spLocks/>
              </xdr:cNvSpPr>
            </xdr:nvSpPr>
            <xdr:spPr bwMode="auto">
              <a:xfrm>
                <a:off x="498200" y="432540"/>
                <a:ext cx="57150" cy="58738"/>
              </a:xfrm>
              <a:custGeom>
                <a:avLst/>
                <a:gdLst>
                  <a:gd name="T0" fmla="*/ 0 w 99"/>
                  <a:gd name="T1" fmla="*/ 23 h 99"/>
                  <a:gd name="T2" fmla="*/ 23 w 99"/>
                  <a:gd name="T3" fmla="*/ 0 h 99"/>
                  <a:gd name="T4" fmla="*/ 76 w 99"/>
                  <a:gd name="T5" fmla="*/ 0 h 99"/>
                  <a:gd name="T6" fmla="*/ 99 w 99"/>
                  <a:gd name="T7" fmla="*/ 23 h 99"/>
                  <a:gd name="T8" fmla="*/ 99 w 99"/>
                  <a:gd name="T9" fmla="*/ 76 h 99"/>
                  <a:gd name="T10" fmla="*/ 76 w 99"/>
                  <a:gd name="T11" fmla="*/ 99 h 99"/>
                  <a:gd name="T12" fmla="*/ 23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3" y="0"/>
                    </a:cubicBezTo>
                    <a:cubicBezTo>
                      <a:pt x="76" y="0"/>
                      <a:pt x="76" y="0"/>
                      <a:pt x="76" y="0"/>
                    </a:cubicBezTo>
                    <a:cubicBezTo>
                      <a:pt x="89" y="0"/>
                      <a:pt x="99" y="10"/>
                      <a:pt x="99" y="23"/>
                    </a:cubicBezTo>
                    <a:cubicBezTo>
                      <a:pt x="99" y="76"/>
                      <a:pt x="99" y="76"/>
                      <a:pt x="99" y="76"/>
                    </a:cubicBezTo>
                    <a:cubicBezTo>
                      <a:pt x="99" y="88"/>
                      <a:pt x="89" y="99"/>
                      <a:pt x="76" y="99"/>
                    </a:cubicBezTo>
                    <a:cubicBezTo>
                      <a:pt x="23" y="99"/>
                      <a:pt x="23" y="99"/>
                      <a:pt x="23"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09" name="Freeform 8">
                <a:extLst>
                  <a:ext uri="{FF2B5EF4-FFF2-40B4-BE49-F238E27FC236}">
                    <a16:creationId xmlns:a16="http://schemas.microsoft.com/office/drawing/2014/main" id="{9DB10BC7-E198-6D82-9592-470245C91DF8}"/>
                  </a:ext>
                </a:extLst>
              </xdr:cNvPr>
              <xdr:cNvSpPr>
                <a:spLocks/>
              </xdr:cNvSpPr>
            </xdr:nvSpPr>
            <xdr:spPr bwMode="auto">
              <a:xfrm>
                <a:off x="498200" y="524615"/>
                <a:ext cx="57150" cy="57150"/>
              </a:xfrm>
              <a:custGeom>
                <a:avLst/>
                <a:gdLst>
                  <a:gd name="T0" fmla="*/ 0 w 99"/>
                  <a:gd name="T1" fmla="*/ 22 h 98"/>
                  <a:gd name="T2" fmla="*/ 23 w 99"/>
                  <a:gd name="T3" fmla="*/ 0 h 98"/>
                  <a:gd name="T4" fmla="*/ 76 w 99"/>
                  <a:gd name="T5" fmla="*/ 0 h 98"/>
                  <a:gd name="T6" fmla="*/ 99 w 99"/>
                  <a:gd name="T7" fmla="*/ 22 h 98"/>
                  <a:gd name="T8" fmla="*/ 99 w 99"/>
                  <a:gd name="T9" fmla="*/ 76 h 98"/>
                  <a:gd name="T10" fmla="*/ 76 w 99"/>
                  <a:gd name="T11" fmla="*/ 98 h 98"/>
                  <a:gd name="T12" fmla="*/ 23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3" y="0"/>
                    </a:cubicBezTo>
                    <a:cubicBezTo>
                      <a:pt x="76" y="0"/>
                      <a:pt x="76" y="0"/>
                      <a:pt x="76" y="0"/>
                    </a:cubicBezTo>
                    <a:cubicBezTo>
                      <a:pt x="89" y="0"/>
                      <a:pt x="99" y="10"/>
                      <a:pt x="99" y="22"/>
                    </a:cubicBezTo>
                    <a:cubicBezTo>
                      <a:pt x="99" y="76"/>
                      <a:pt x="99" y="76"/>
                      <a:pt x="99" y="76"/>
                    </a:cubicBezTo>
                    <a:cubicBezTo>
                      <a:pt x="99" y="88"/>
                      <a:pt x="89" y="98"/>
                      <a:pt x="76" y="98"/>
                    </a:cubicBezTo>
                    <a:cubicBezTo>
                      <a:pt x="23" y="98"/>
                      <a:pt x="23" y="98"/>
                      <a:pt x="23"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10" name="Freeform 9">
                <a:extLst>
                  <a:ext uri="{FF2B5EF4-FFF2-40B4-BE49-F238E27FC236}">
                    <a16:creationId xmlns:a16="http://schemas.microsoft.com/office/drawing/2014/main" id="{B306CA21-D906-AFBA-133A-356C7C2021F7}"/>
                  </a:ext>
                </a:extLst>
              </xdr:cNvPr>
              <xdr:cNvSpPr>
                <a:spLocks/>
              </xdr:cNvSpPr>
            </xdr:nvSpPr>
            <xdr:spPr bwMode="auto">
              <a:xfrm>
                <a:off x="598213" y="342052"/>
                <a:ext cx="57150" cy="57150"/>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9"/>
                      <a:pt x="88" y="99"/>
                      <a:pt x="76" y="99"/>
                    </a:cubicBezTo>
                    <a:cubicBezTo>
                      <a:pt x="22" y="99"/>
                      <a:pt x="22" y="99"/>
                      <a:pt x="22" y="99"/>
                    </a:cubicBezTo>
                    <a:cubicBezTo>
                      <a:pt x="10" y="99"/>
                      <a:pt x="0" y="89"/>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11" name="Freeform 10">
                <a:extLst>
                  <a:ext uri="{FF2B5EF4-FFF2-40B4-BE49-F238E27FC236}">
                    <a16:creationId xmlns:a16="http://schemas.microsoft.com/office/drawing/2014/main" id="{A3D9DB60-232C-AD9B-258D-542E83556DA9}"/>
                  </a:ext>
                </a:extLst>
              </xdr:cNvPr>
              <xdr:cNvSpPr>
                <a:spLocks/>
              </xdr:cNvSpPr>
            </xdr:nvSpPr>
            <xdr:spPr bwMode="auto">
              <a:xfrm>
                <a:off x="598213" y="432540"/>
                <a:ext cx="57150" cy="58738"/>
              </a:xfrm>
              <a:custGeom>
                <a:avLst/>
                <a:gdLst>
                  <a:gd name="T0" fmla="*/ 0 w 99"/>
                  <a:gd name="T1" fmla="*/ 23 h 99"/>
                  <a:gd name="T2" fmla="*/ 22 w 99"/>
                  <a:gd name="T3" fmla="*/ 0 h 99"/>
                  <a:gd name="T4" fmla="*/ 76 w 99"/>
                  <a:gd name="T5" fmla="*/ 0 h 99"/>
                  <a:gd name="T6" fmla="*/ 99 w 99"/>
                  <a:gd name="T7" fmla="*/ 23 h 99"/>
                  <a:gd name="T8" fmla="*/ 99 w 99"/>
                  <a:gd name="T9" fmla="*/ 76 h 99"/>
                  <a:gd name="T10" fmla="*/ 76 w 99"/>
                  <a:gd name="T11" fmla="*/ 99 h 99"/>
                  <a:gd name="T12" fmla="*/ 22 w 99"/>
                  <a:gd name="T13" fmla="*/ 99 h 99"/>
                  <a:gd name="T14" fmla="*/ 0 w 99"/>
                  <a:gd name="T15" fmla="*/ 76 h 99"/>
                  <a:gd name="T16" fmla="*/ 0 w 99"/>
                  <a:gd name="T17" fmla="*/ 23 h 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9">
                    <a:moveTo>
                      <a:pt x="0" y="23"/>
                    </a:moveTo>
                    <a:cubicBezTo>
                      <a:pt x="0" y="10"/>
                      <a:pt x="10" y="0"/>
                      <a:pt x="22" y="0"/>
                    </a:cubicBezTo>
                    <a:cubicBezTo>
                      <a:pt x="76" y="0"/>
                      <a:pt x="76" y="0"/>
                      <a:pt x="76" y="0"/>
                    </a:cubicBezTo>
                    <a:cubicBezTo>
                      <a:pt x="88" y="0"/>
                      <a:pt x="99" y="10"/>
                      <a:pt x="99" y="23"/>
                    </a:cubicBezTo>
                    <a:cubicBezTo>
                      <a:pt x="99" y="76"/>
                      <a:pt x="99" y="76"/>
                      <a:pt x="99" y="76"/>
                    </a:cubicBezTo>
                    <a:cubicBezTo>
                      <a:pt x="99" y="88"/>
                      <a:pt x="88" y="99"/>
                      <a:pt x="76" y="99"/>
                    </a:cubicBezTo>
                    <a:cubicBezTo>
                      <a:pt x="22" y="99"/>
                      <a:pt x="22" y="99"/>
                      <a:pt x="22" y="99"/>
                    </a:cubicBezTo>
                    <a:cubicBezTo>
                      <a:pt x="10" y="99"/>
                      <a:pt x="0" y="88"/>
                      <a:pt x="0" y="76"/>
                    </a:cubicBezTo>
                    <a:lnTo>
                      <a:pt x="0" y="2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sp macro="" textlink="">
            <xdr:nvSpPr>
              <xdr:cNvPr id="112" name="Freeform 11">
                <a:extLst>
                  <a:ext uri="{FF2B5EF4-FFF2-40B4-BE49-F238E27FC236}">
                    <a16:creationId xmlns:a16="http://schemas.microsoft.com/office/drawing/2014/main" id="{316BBB66-2286-4B0E-FCF1-23B28626F0AA}"/>
                  </a:ext>
                </a:extLst>
              </xdr:cNvPr>
              <xdr:cNvSpPr>
                <a:spLocks/>
              </xdr:cNvSpPr>
            </xdr:nvSpPr>
            <xdr:spPr bwMode="auto">
              <a:xfrm>
                <a:off x="598213" y="524615"/>
                <a:ext cx="57150" cy="57150"/>
              </a:xfrm>
              <a:custGeom>
                <a:avLst/>
                <a:gdLst>
                  <a:gd name="T0" fmla="*/ 0 w 99"/>
                  <a:gd name="T1" fmla="*/ 22 h 98"/>
                  <a:gd name="T2" fmla="*/ 22 w 99"/>
                  <a:gd name="T3" fmla="*/ 0 h 98"/>
                  <a:gd name="T4" fmla="*/ 76 w 99"/>
                  <a:gd name="T5" fmla="*/ 0 h 98"/>
                  <a:gd name="T6" fmla="*/ 99 w 99"/>
                  <a:gd name="T7" fmla="*/ 22 h 98"/>
                  <a:gd name="T8" fmla="*/ 99 w 99"/>
                  <a:gd name="T9" fmla="*/ 76 h 98"/>
                  <a:gd name="T10" fmla="*/ 76 w 99"/>
                  <a:gd name="T11" fmla="*/ 98 h 98"/>
                  <a:gd name="T12" fmla="*/ 22 w 99"/>
                  <a:gd name="T13" fmla="*/ 98 h 98"/>
                  <a:gd name="T14" fmla="*/ 0 w 99"/>
                  <a:gd name="T15" fmla="*/ 76 h 98"/>
                  <a:gd name="T16" fmla="*/ 0 w 99"/>
                  <a:gd name="T17" fmla="*/ 22 h 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99" h="98">
                    <a:moveTo>
                      <a:pt x="0" y="22"/>
                    </a:moveTo>
                    <a:cubicBezTo>
                      <a:pt x="0" y="10"/>
                      <a:pt x="10" y="0"/>
                      <a:pt x="22" y="0"/>
                    </a:cubicBezTo>
                    <a:cubicBezTo>
                      <a:pt x="76" y="0"/>
                      <a:pt x="76" y="0"/>
                      <a:pt x="76" y="0"/>
                    </a:cubicBezTo>
                    <a:cubicBezTo>
                      <a:pt x="88" y="0"/>
                      <a:pt x="99" y="10"/>
                      <a:pt x="99" y="22"/>
                    </a:cubicBezTo>
                    <a:cubicBezTo>
                      <a:pt x="99" y="76"/>
                      <a:pt x="99" y="76"/>
                      <a:pt x="99" y="76"/>
                    </a:cubicBezTo>
                    <a:cubicBezTo>
                      <a:pt x="99" y="88"/>
                      <a:pt x="88" y="98"/>
                      <a:pt x="76" y="98"/>
                    </a:cubicBezTo>
                    <a:cubicBezTo>
                      <a:pt x="22" y="98"/>
                      <a:pt x="22" y="98"/>
                      <a:pt x="22" y="98"/>
                    </a:cubicBezTo>
                    <a:cubicBezTo>
                      <a:pt x="10" y="98"/>
                      <a:pt x="0" y="88"/>
                      <a:pt x="0" y="76"/>
                    </a:cubicBezTo>
                    <a:lnTo>
                      <a:pt x="0" y="22"/>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105" name="Freeform 7">
              <a:extLst>
                <a:ext uri="{FF2B5EF4-FFF2-40B4-BE49-F238E27FC236}">
                  <a16:creationId xmlns:a16="http://schemas.microsoft.com/office/drawing/2014/main" id="{845FCA3F-B9B5-E72A-804C-AB400081BEA5}"/>
                </a:ext>
              </a:extLst>
            </xdr:cNvPr>
            <xdr:cNvSpPr>
              <a:spLocks/>
            </xdr:cNvSpPr>
          </xdr:nvSpPr>
          <xdr:spPr bwMode="auto">
            <a:xfrm>
              <a:off x="0" y="0"/>
              <a:ext cx="298450" cy="704850"/>
            </a:xfrm>
            <a:custGeom>
              <a:avLst/>
              <a:gdLst>
                <a:gd name="T0" fmla="*/ 120 w 188"/>
                <a:gd name="T1" fmla="*/ 63 h 444"/>
                <a:gd name="T2" fmla="*/ 188 w 188"/>
                <a:gd name="T3" fmla="*/ 63 h 444"/>
                <a:gd name="T4" fmla="*/ 188 w 188"/>
                <a:gd name="T5" fmla="*/ 48 h 444"/>
                <a:gd name="T6" fmla="*/ 176 w 188"/>
                <a:gd name="T7" fmla="*/ 48 h 444"/>
                <a:gd name="T8" fmla="*/ 176 w 188"/>
                <a:gd name="T9" fmla="*/ 23 h 444"/>
                <a:gd name="T10" fmla="*/ 165 w 188"/>
                <a:gd name="T11" fmla="*/ 23 h 444"/>
                <a:gd name="T12" fmla="*/ 165 w 188"/>
                <a:gd name="T13" fmla="*/ 48 h 444"/>
                <a:gd name="T14" fmla="*/ 146 w 188"/>
                <a:gd name="T15" fmla="*/ 48 h 444"/>
                <a:gd name="T16" fmla="*/ 146 w 188"/>
                <a:gd name="T17" fmla="*/ 23 h 444"/>
                <a:gd name="T18" fmla="*/ 136 w 188"/>
                <a:gd name="T19" fmla="*/ 23 h 444"/>
                <a:gd name="T20" fmla="*/ 136 w 188"/>
                <a:gd name="T21" fmla="*/ 48 h 444"/>
                <a:gd name="T22" fmla="*/ 120 w 188"/>
                <a:gd name="T23" fmla="*/ 48 h 444"/>
                <a:gd name="T24" fmla="*/ 120 w 188"/>
                <a:gd name="T25" fmla="*/ 0 h 444"/>
                <a:gd name="T26" fmla="*/ 66 w 188"/>
                <a:gd name="T27" fmla="*/ 0 h 444"/>
                <a:gd name="T28" fmla="*/ 66 w 188"/>
                <a:gd name="T29" fmla="*/ 48 h 444"/>
                <a:gd name="T30" fmla="*/ 52 w 188"/>
                <a:gd name="T31" fmla="*/ 48 h 444"/>
                <a:gd name="T32" fmla="*/ 52 w 188"/>
                <a:gd name="T33" fmla="*/ 23 h 444"/>
                <a:gd name="T34" fmla="*/ 40 w 188"/>
                <a:gd name="T35" fmla="*/ 23 h 444"/>
                <a:gd name="T36" fmla="*/ 40 w 188"/>
                <a:gd name="T37" fmla="*/ 48 h 444"/>
                <a:gd name="T38" fmla="*/ 22 w 188"/>
                <a:gd name="T39" fmla="*/ 48 h 444"/>
                <a:gd name="T40" fmla="*/ 22 w 188"/>
                <a:gd name="T41" fmla="*/ 23 h 444"/>
                <a:gd name="T42" fmla="*/ 10 w 188"/>
                <a:gd name="T43" fmla="*/ 23 h 444"/>
                <a:gd name="T44" fmla="*/ 10 w 188"/>
                <a:gd name="T45" fmla="*/ 48 h 444"/>
                <a:gd name="T46" fmla="*/ 0 w 188"/>
                <a:gd name="T47" fmla="*/ 48 h 444"/>
                <a:gd name="T48" fmla="*/ 0 w 188"/>
                <a:gd name="T49" fmla="*/ 63 h 444"/>
                <a:gd name="T50" fmla="*/ 66 w 188"/>
                <a:gd name="T51" fmla="*/ 63 h 444"/>
                <a:gd name="T52" fmla="*/ 66 w 188"/>
                <a:gd name="T53" fmla="*/ 120 h 444"/>
                <a:gd name="T54" fmla="*/ 52 w 188"/>
                <a:gd name="T55" fmla="*/ 120 h 444"/>
                <a:gd name="T56" fmla="*/ 52 w 188"/>
                <a:gd name="T57" fmla="*/ 95 h 444"/>
                <a:gd name="T58" fmla="*/ 40 w 188"/>
                <a:gd name="T59" fmla="*/ 95 h 444"/>
                <a:gd name="T60" fmla="*/ 40 w 188"/>
                <a:gd name="T61" fmla="*/ 120 h 444"/>
                <a:gd name="T62" fmla="*/ 22 w 188"/>
                <a:gd name="T63" fmla="*/ 120 h 444"/>
                <a:gd name="T64" fmla="*/ 22 w 188"/>
                <a:gd name="T65" fmla="*/ 95 h 444"/>
                <a:gd name="T66" fmla="*/ 10 w 188"/>
                <a:gd name="T67" fmla="*/ 95 h 444"/>
                <a:gd name="T68" fmla="*/ 10 w 188"/>
                <a:gd name="T69" fmla="*/ 120 h 444"/>
                <a:gd name="T70" fmla="*/ 0 w 188"/>
                <a:gd name="T71" fmla="*/ 120 h 444"/>
                <a:gd name="T72" fmla="*/ 0 w 188"/>
                <a:gd name="T73" fmla="*/ 135 h 444"/>
                <a:gd name="T74" fmla="*/ 66 w 188"/>
                <a:gd name="T75" fmla="*/ 135 h 444"/>
                <a:gd name="T76" fmla="*/ 66 w 188"/>
                <a:gd name="T77" fmla="*/ 444 h 444"/>
                <a:gd name="T78" fmla="*/ 120 w 188"/>
                <a:gd name="T79" fmla="*/ 444 h 444"/>
                <a:gd name="T80" fmla="*/ 120 w 188"/>
                <a:gd name="T81" fmla="*/ 135 h 444"/>
                <a:gd name="T82" fmla="*/ 188 w 188"/>
                <a:gd name="T83" fmla="*/ 135 h 444"/>
                <a:gd name="T84" fmla="*/ 188 w 188"/>
                <a:gd name="T85" fmla="*/ 120 h 444"/>
                <a:gd name="T86" fmla="*/ 176 w 188"/>
                <a:gd name="T87" fmla="*/ 120 h 444"/>
                <a:gd name="T88" fmla="*/ 176 w 188"/>
                <a:gd name="T89" fmla="*/ 95 h 444"/>
                <a:gd name="T90" fmla="*/ 165 w 188"/>
                <a:gd name="T91" fmla="*/ 95 h 444"/>
                <a:gd name="T92" fmla="*/ 165 w 188"/>
                <a:gd name="T93" fmla="*/ 120 h 444"/>
                <a:gd name="T94" fmla="*/ 146 w 188"/>
                <a:gd name="T95" fmla="*/ 120 h 444"/>
                <a:gd name="T96" fmla="*/ 146 w 188"/>
                <a:gd name="T97" fmla="*/ 95 h 444"/>
                <a:gd name="T98" fmla="*/ 136 w 188"/>
                <a:gd name="T99" fmla="*/ 95 h 444"/>
                <a:gd name="T100" fmla="*/ 136 w 188"/>
                <a:gd name="T101" fmla="*/ 120 h 444"/>
                <a:gd name="T102" fmla="*/ 120 w 188"/>
                <a:gd name="T103" fmla="*/ 120 h 444"/>
                <a:gd name="T104" fmla="*/ 120 w 188"/>
                <a:gd name="T105" fmla="*/ 63 h 4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Lst>
              <a:rect l="0" t="0" r="r" b="b"/>
              <a:pathLst>
                <a:path w="188" h="444">
                  <a:moveTo>
                    <a:pt x="120" y="63"/>
                  </a:moveTo>
                  <a:lnTo>
                    <a:pt x="188" y="63"/>
                  </a:lnTo>
                  <a:lnTo>
                    <a:pt x="188" y="48"/>
                  </a:lnTo>
                  <a:lnTo>
                    <a:pt x="176" y="48"/>
                  </a:lnTo>
                  <a:lnTo>
                    <a:pt x="176" y="23"/>
                  </a:lnTo>
                  <a:lnTo>
                    <a:pt x="165" y="23"/>
                  </a:lnTo>
                  <a:lnTo>
                    <a:pt x="165" y="48"/>
                  </a:lnTo>
                  <a:lnTo>
                    <a:pt x="146" y="48"/>
                  </a:lnTo>
                  <a:lnTo>
                    <a:pt x="146" y="23"/>
                  </a:lnTo>
                  <a:lnTo>
                    <a:pt x="136" y="23"/>
                  </a:lnTo>
                  <a:lnTo>
                    <a:pt x="136" y="48"/>
                  </a:lnTo>
                  <a:lnTo>
                    <a:pt x="120" y="48"/>
                  </a:lnTo>
                  <a:lnTo>
                    <a:pt x="120" y="0"/>
                  </a:lnTo>
                  <a:lnTo>
                    <a:pt x="66" y="0"/>
                  </a:lnTo>
                  <a:lnTo>
                    <a:pt x="66" y="48"/>
                  </a:lnTo>
                  <a:lnTo>
                    <a:pt x="52" y="48"/>
                  </a:lnTo>
                  <a:lnTo>
                    <a:pt x="52" y="23"/>
                  </a:lnTo>
                  <a:lnTo>
                    <a:pt x="40" y="23"/>
                  </a:lnTo>
                  <a:lnTo>
                    <a:pt x="40" y="48"/>
                  </a:lnTo>
                  <a:lnTo>
                    <a:pt x="22" y="48"/>
                  </a:lnTo>
                  <a:lnTo>
                    <a:pt x="22" y="23"/>
                  </a:lnTo>
                  <a:lnTo>
                    <a:pt x="10" y="23"/>
                  </a:lnTo>
                  <a:lnTo>
                    <a:pt x="10" y="48"/>
                  </a:lnTo>
                  <a:lnTo>
                    <a:pt x="0" y="48"/>
                  </a:lnTo>
                  <a:lnTo>
                    <a:pt x="0" y="63"/>
                  </a:lnTo>
                  <a:lnTo>
                    <a:pt x="66" y="63"/>
                  </a:lnTo>
                  <a:lnTo>
                    <a:pt x="66" y="120"/>
                  </a:lnTo>
                  <a:lnTo>
                    <a:pt x="52" y="120"/>
                  </a:lnTo>
                  <a:lnTo>
                    <a:pt x="52" y="95"/>
                  </a:lnTo>
                  <a:lnTo>
                    <a:pt x="40" y="95"/>
                  </a:lnTo>
                  <a:lnTo>
                    <a:pt x="40" y="120"/>
                  </a:lnTo>
                  <a:lnTo>
                    <a:pt x="22" y="120"/>
                  </a:lnTo>
                  <a:lnTo>
                    <a:pt x="22" y="95"/>
                  </a:lnTo>
                  <a:lnTo>
                    <a:pt x="10" y="95"/>
                  </a:lnTo>
                  <a:lnTo>
                    <a:pt x="10" y="120"/>
                  </a:lnTo>
                  <a:lnTo>
                    <a:pt x="0" y="120"/>
                  </a:lnTo>
                  <a:lnTo>
                    <a:pt x="0" y="135"/>
                  </a:lnTo>
                  <a:lnTo>
                    <a:pt x="66" y="135"/>
                  </a:lnTo>
                  <a:lnTo>
                    <a:pt x="66" y="444"/>
                  </a:lnTo>
                  <a:lnTo>
                    <a:pt x="120" y="444"/>
                  </a:lnTo>
                  <a:lnTo>
                    <a:pt x="120" y="135"/>
                  </a:lnTo>
                  <a:lnTo>
                    <a:pt x="188" y="135"/>
                  </a:lnTo>
                  <a:lnTo>
                    <a:pt x="188" y="120"/>
                  </a:lnTo>
                  <a:lnTo>
                    <a:pt x="176" y="120"/>
                  </a:lnTo>
                  <a:lnTo>
                    <a:pt x="176" y="95"/>
                  </a:lnTo>
                  <a:lnTo>
                    <a:pt x="165" y="95"/>
                  </a:lnTo>
                  <a:lnTo>
                    <a:pt x="165" y="120"/>
                  </a:lnTo>
                  <a:lnTo>
                    <a:pt x="146" y="120"/>
                  </a:lnTo>
                  <a:lnTo>
                    <a:pt x="146" y="95"/>
                  </a:lnTo>
                  <a:lnTo>
                    <a:pt x="136" y="95"/>
                  </a:lnTo>
                  <a:lnTo>
                    <a:pt x="136" y="120"/>
                  </a:lnTo>
                  <a:lnTo>
                    <a:pt x="120" y="120"/>
                  </a:lnTo>
                  <a:lnTo>
                    <a:pt x="120" y="63"/>
                  </a:lnTo>
                  <a:close/>
                </a:path>
              </a:pathLst>
            </a:custGeom>
            <a:grp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grpSp>
      <xdr:sp macro="" textlink="">
        <xdr:nvSpPr>
          <xdr:cNvPr id="103" name="テキスト ボックス 41">
            <a:extLst>
              <a:ext uri="{FF2B5EF4-FFF2-40B4-BE49-F238E27FC236}">
                <a16:creationId xmlns:a16="http://schemas.microsoft.com/office/drawing/2014/main" id="{618541E5-697C-08EC-EAF7-6AAE2B87685B}"/>
              </a:ext>
            </a:extLst>
          </xdr:cNvPr>
          <xdr:cNvSpPr txBox="1">
            <a:spLocks noChangeArrowheads="1"/>
          </xdr:cNvSpPr>
        </xdr:nvSpPr>
        <xdr:spPr bwMode="auto">
          <a:xfrm>
            <a:off x="4250071" y="3409699"/>
            <a:ext cx="1614809" cy="307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小売電気事業者</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C</a:t>
            </a:r>
          </a:p>
        </xdr:txBody>
      </xdr:sp>
    </xdr:grpSp>
    <xdr:clientData/>
  </xdr:twoCellAnchor>
  <xdr:twoCellAnchor>
    <xdr:from>
      <xdr:col>3</xdr:col>
      <xdr:colOff>1017983</xdr:colOff>
      <xdr:row>102</xdr:row>
      <xdr:rowOff>80472</xdr:rowOff>
    </xdr:from>
    <xdr:to>
      <xdr:col>5</xdr:col>
      <xdr:colOff>81728</xdr:colOff>
      <xdr:row>104</xdr:row>
      <xdr:rowOff>175915</xdr:rowOff>
    </xdr:to>
    <xdr:sp macro="" textlink="">
      <xdr:nvSpPr>
        <xdr:cNvPr id="113" name="矢印: 右 112">
          <a:extLst>
            <a:ext uri="{FF2B5EF4-FFF2-40B4-BE49-F238E27FC236}">
              <a16:creationId xmlns:a16="http://schemas.microsoft.com/office/drawing/2014/main" id="{1E22F0A8-5F34-4CFB-A33C-9BE8BC6C077D}"/>
            </a:ext>
          </a:extLst>
        </xdr:cNvPr>
        <xdr:cNvSpPr/>
      </xdr:nvSpPr>
      <xdr:spPr>
        <a:xfrm>
          <a:off x="2160983" y="23407197"/>
          <a:ext cx="2597520" cy="571693"/>
        </a:xfrm>
        <a:prstGeom prst="righ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1600">
              <a:solidFill>
                <a:schemeClr val="tx1"/>
              </a:solidFill>
              <a:latin typeface="Meiryo UI" panose="020B0604030504040204" pitchFamily="50" charset="-128"/>
              <a:ea typeface="Meiryo UI" panose="020B0604030504040204" pitchFamily="50" charset="-128"/>
            </a:rPr>
            <a:t>コーポレート</a:t>
          </a:r>
          <a:r>
            <a:rPr lang="en-US" altLang="ja-JP" sz="1600">
              <a:solidFill>
                <a:schemeClr val="tx1"/>
              </a:solidFill>
              <a:latin typeface="Meiryo UI" panose="020B0604030504040204" pitchFamily="50" charset="-128"/>
              <a:ea typeface="Meiryo UI" panose="020B0604030504040204" pitchFamily="50" charset="-128"/>
            </a:rPr>
            <a:t>PPA</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408817</xdr:colOff>
      <xdr:row>77</xdr:row>
      <xdr:rowOff>154498</xdr:rowOff>
    </xdr:from>
    <xdr:to>
      <xdr:col>12</xdr:col>
      <xdr:colOff>224404</xdr:colOff>
      <xdr:row>94</xdr:row>
      <xdr:rowOff>143951</xdr:rowOff>
    </xdr:to>
    <xdr:sp macro="" textlink="">
      <xdr:nvSpPr>
        <xdr:cNvPr id="114" name="正方形/長方形 113">
          <a:extLst>
            <a:ext uri="{FF2B5EF4-FFF2-40B4-BE49-F238E27FC236}">
              <a16:creationId xmlns:a16="http://schemas.microsoft.com/office/drawing/2014/main" id="{5F1B4214-CE0F-45FF-B601-0826E0328F9E}"/>
            </a:ext>
          </a:extLst>
        </xdr:cNvPr>
        <xdr:cNvSpPr/>
      </xdr:nvSpPr>
      <xdr:spPr>
        <a:xfrm>
          <a:off x="7142992" y="17528098"/>
          <a:ext cx="4959087" cy="4037578"/>
        </a:xfrm>
        <a:prstGeom prst="rect">
          <a:avLst/>
        </a:prstGeom>
        <a:solidFill>
          <a:schemeClr val="bg1"/>
        </a:solidFill>
        <a:ln w="28575">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600" b="0" i="0" u="sng" strike="noStrike" kern="1200" cap="none" spc="0" normalizeH="0" baseline="0">
              <a:ln>
                <a:noFill/>
              </a:ln>
              <a:solidFill>
                <a:srgbClr val="FF0000"/>
              </a:solidFill>
              <a:effectLst/>
              <a:uLnTx/>
              <a:uFillTx/>
              <a:latin typeface="Meiryo UI" panose="020B0604030504040204" pitchFamily="50" charset="-128"/>
              <a:ea typeface="Meiryo UI" panose="020B0604030504040204" pitchFamily="50" charset="-128"/>
              <a:cs typeface="+mn-cs"/>
            </a:rPr>
            <a:t>脱炭素先行地域内需要家（公共施設群）</a:t>
          </a:r>
        </a:p>
      </xdr:txBody>
    </xdr:sp>
    <xdr:clientData/>
  </xdr:twoCellAnchor>
  <xdr:twoCellAnchor>
    <xdr:from>
      <xdr:col>7</xdr:col>
      <xdr:colOff>441924</xdr:colOff>
      <xdr:row>95</xdr:row>
      <xdr:rowOff>63400</xdr:rowOff>
    </xdr:from>
    <xdr:to>
      <xdr:col>12</xdr:col>
      <xdr:colOff>235286</xdr:colOff>
      <xdr:row>106</xdr:row>
      <xdr:rowOff>9857</xdr:rowOff>
    </xdr:to>
    <xdr:sp macro="" textlink="">
      <xdr:nvSpPr>
        <xdr:cNvPr id="115" name="正方形/長方形 114">
          <a:extLst>
            <a:ext uri="{FF2B5EF4-FFF2-40B4-BE49-F238E27FC236}">
              <a16:creationId xmlns:a16="http://schemas.microsoft.com/office/drawing/2014/main" id="{26BE169C-93B0-41E0-934B-AA5178D9EE37}"/>
            </a:ext>
          </a:extLst>
        </xdr:cNvPr>
        <xdr:cNvSpPr/>
      </xdr:nvSpPr>
      <xdr:spPr>
        <a:xfrm>
          <a:off x="7176099" y="21723250"/>
          <a:ext cx="4936862" cy="2565832"/>
        </a:xfrm>
        <a:prstGeom prst="rect">
          <a:avLst/>
        </a:prstGeom>
        <a:solidFill>
          <a:schemeClr val="bg1"/>
        </a:solidFill>
        <a:ln w="28575">
          <a:solidFill>
            <a:srgbClr val="008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t"/>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1" lang="ja-JP" altLang="en-US" sz="1600" b="0" i="0" u="sng" strike="noStrike" kern="1200" cap="none" spc="0" normalizeH="0" baseline="0">
              <a:ln>
                <a:noFill/>
              </a:ln>
              <a:solidFill>
                <a:srgbClr val="FF0000"/>
              </a:solidFill>
              <a:effectLst/>
              <a:uLnTx/>
              <a:uFillTx/>
              <a:latin typeface="Meiryo UI" panose="020B0604030504040204" pitchFamily="50" charset="-128"/>
              <a:ea typeface="Meiryo UI" panose="020B0604030504040204" pitchFamily="50" charset="-128"/>
              <a:cs typeface="+mn-cs"/>
            </a:rPr>
            <a:t>脱炭素先行地域内需要家（民間施設）</a:t>
          </a:r>
        </a:p>
      </xdr:txBody>
    </xdr:sp>
    <xdr:clientData/>
  </xdr:twoCellAnchor>
  <xdr:twoCellAnchor>
    <xdr:from>
      <xdr:col>3</xdr:col>
      <xdr:colOff>1106087</xdr:colOff>
      <xdr:row>88</xdr:row>
      <xdr:rowOff>24111</xdr:rowOff>
    </xdr:from>
    <xdr:to>
      <xdr:col>4</xdr:col>
      <xdr:colOff>701416</xdr:colOff>
      <xdr:row>90</xdr:row>
      <xdr:rowOff>224086</xdr:rowOff>
    </xdr:to>
    <xdr:sp macro="" textlink="">
      <xdr:nvSpPr>
        <xdr:cNvPr id="116" name="矢印: 右 115">
          <a:extLst>
            <a:ext uri="{FF2B5EF4-FFF2-40B4-BE49-F238E27FC236}">
              <a16:creationId xmlns:a16="http://schemas.microsoft.com/office/drawing/2014/main" id="{B52A8FC0-46EB-4733-90A6-40163DDD119D}"/>
            </a:ext>
          </a:extLst>
        </xdr:cNvPr>
        <xdr:cNvSpPr/>
      </xdr:nvSpPr>
      <xdr:spPr>
        <a:xfrm>
          <a:off x="2249087" y="20017086"/>
          <a:ext cx="2233754" cy="676225"/>
        </a:xfrm>
        <a:prstGeom prst="rightArrow">
          <a:avLst/>
        </a:prstGeom>
        <a:solidFill>
          <a:schemeClr val="accent5">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非化石証書</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kumimoji="1" lang="ja-JP" altLang="en-US" sz="1600">
              <a:solidFill>
                <a:schemeClr val="tx1"/>
              </a:solidFill>
              <a:latin typeface="Meiryo UI" panose="020B0604030504040204" pitchFamily="50" charset="-128"/>
              <a:ea typeface="Meiryo UI" panose="020B0604030504040204" pitchFamily="50" charset="-128"/>
            </a:rPr>
            <a:t>（地産）</a:t>
          </a:r>
          <a:endParaRPr kumimoji="1" lang="en-US" altLang="ja-JP"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xdr:col>
      <xdr:colOff>1132604</xdr:colOff>
      <xdr:row>83</xdr:row>
      <xdr:rowOff>176419</xdr:rowOff>
    </xdr:from>
    <xdr:to>
      <xdr:col>8</xdr:col>
      <xdr:colOff>132021</xdr:colOff>
      <xdr:row>86</xdr:row>
      <xdr:rowOff>130175</xdr:rowOff>
    </xdr:to>
    <xdr:sp macro="" textlink="">
      <xdr:nvSpPr>
        <xdr:cNvPr id="117" name="矢印: 右 116">
          <a:extLst>
            <a:ext uri="{FF2B5EF4-FFF2-40B4-BE49-F238E27FC236}">
              <a16:creationId xmlns:a16="http://schemas.microsoft.com/office/drawing/2014/main" id="{9180EB64-0117-4FFC-BCEC-DF333F6DB80B}"/>
            </a:ext>
          </a:extLst>
        </xdr:cNvPr>
        <xdr:cNvSpPr/>
      </xdr:nvSpPr>
      <xdr:spPr>
        <a:xfrm>
          <a:off x="2275604" y="18978769"/>
          <a:ext cx="5619292" cy="668131"/>
        </a:xfrm>
        <a:prstGeom prst="rightArrow">
          <a:avLst>
            <a:gd name="adj1" fmla="val 50000"/>
            <a:gd name="adj2" fmla="val 75854"/>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1600">
              <a:solidFill>
                <a:schemeClr val="tx1"/>
              </a:solidFill>
              <a:latin typeface="Meiryo UI" panose="020B0604030504040204" pitchFamily="50" charset="-128"/>
              <a:ea typeface="Meiryo UI" panose="020B0604030504040204" pitchFamily="50" charset="-128"/>
            </a:rPr>
            <a:t>コーポレート</a:t>
          </a:r>
          <a:r>
            <a:rPr lang="en-US" altLang="ja-JP" sz="1600">
              <a:solidFill>
                <a:schemeClr val="tx1"/>
              </a:solidFill>
              <a:latin typeface="Meiryo UI" panose="020B0604030504040204" pitchFamily="50" charset="-128"/>
              <a:ea typeface="Meiryo UI" panose="020B0604030504040204" pitchFamily="50" charset="-128"/>
            </a:rPr>
            <a:t>PPA</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6</xdr:col>
      <xdr:colOff>203344</xdr:colOff>
      <xdr:row>86</xdr:row>
      <xdr:rowOff>175843</xdr:rowOff>
    </xdr:from>
    <xdr:to>
      <xdr:col>8</xdr:col>
      <xdr:colOff>132021</xdr:colOff>
      <xdr:row>89</xdr:row>
      <xdr:rowOff>217704</xdr:rowOff>
    </xdr:to>
    <xdr:sp macro="" textlink="">
      <xdr:nvSpPr>
        <xdr:cNvPr id="118" name="矢印: 右 117">
          <a:extLst>
            <a:ext uri="{FF2B5EF4-FFF2-40B4-BE49-F238E27FC236}">
              <a16:creationId xmlns:a16="http://schemas.microsoft.com/office/drawing/2014/main" id="{1FED2011-6399-468C-97FA-7C223B39CD90}"/>
            </a:ext>
          </a:extLst>
        </xdr:cNvPr>
        <xdr:cNvSpPr/>
      </xdr:nvSpPr>
      <xdr:spPr>
        <a:xfrm>
          <a:off x="5918344" y="19460305"/>
          <a:ext cx="1980215" cy="745245"/>
        </a:xfrm>
        <a:prstGeom prst="righ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自己託送の</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kumimoji="1" lang="ja-JP" altLang="en-US" sz="1600">
              <a:solidFill>
                <a:schemeClr val="tx1"/>
              </a:solidFill>
              <a:latin typeface="Meiryo UI" panose="020B0604030504040204" pitchFamily="50" charset="-128"/>
              <a:ea typeface="Meiryo UI" panose="020B0604030504040204" pitchFamily="50" charset="-128"/>
            </a:rPr>
            <a:t>バックアップ供給</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6</xdr:col>
      <xdr:colOff>203344</xdr:colOff>
      <xdr:row>95</xdr:row>
      <xdr:rowOff>81815</xdr:rowOff>
    </xdr:from>
    <xdr:to>
      <xdr:col>8</xdr:col>
      <xdr:colOff>132021</xdr:colOff>
      <xdr:row>99</xdr:row>
      <xdr:rowOff>208584</xdr:rowOff>
    </xdr:to>
    <xdr:sp macro="" textlink="">
      <xdr:nvSpPr>
        <xdr:cNvPr id="119" name="矢印: 右 118">
          <a:extLst>
            <a:ext uri="{FF2B5EF4-FFF2-40B4-BE49-F238E27FC236}">
              <a16:creationId xmlns:a16="http://schemas.microsoft.com/office/drawing/2014/main" id="{D279E763-94DB-4216-AA53-510870C30469}"/>
            </a:ext>
          </a:extLst>
        </xdr:cNvPr>
        <xdr:cNvSpPr/>
      </xdr:nvSpPr>
      <xdr:spPr>
        <a:xfrm>
          <a:off x="5908819" y="21741665"/>
          <a:ext cx="1986077" cy="1079269"/>
        </a:xfrm>
        <a:prstGeom prst="righ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再エネメニュー供給</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5</xdr:col>
      <xdr:colOff>1019480</xdr:colOff>
      <xdr:row>102</xdr:row>
      <xdr:rowOff>94939</xdr:rowOff>
    </xdr:from>
    <xdr:to>
      <xdr:col>8</xdr:col>
      <xdr:colOff>131738</xdr:colOff>
      <xdr:row>105</xdr:row>
      <xdr:rowOff>211410</xdr:rowOff>
    </xdr:to>
    <xdr:sp macro="" textlink="">
      <xdr:nvSpPr>
        <xdr:cNvPr id="120" name="矢印: 右 119">
          <a:extLst>
            <a:ext uri="{FF2B5EF4-FFF2-40B4-BE49-F238E27FC236}">
              <a16:creationId xmlns:a16="http://schemas.microsoft.com/office/drawing/2014/main" id="{8788E44D-42F0-4A3F-AEC2-21382EFDDA7E}"/>
            </a:ext>
          </a:extLst>
        </xdr:cNvPr>
        <xdr:cNvSpPr/>
      </xdr:nvSpPr>
      <xdr:spPr>
        <a:xfrm>
          <a:off x="5696255" y="23421664"/>
          <a:ext cx="2198358" cy="830846"/>
        </a:xfrm>
        <a:prstGeom prst="righ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再エネメニュー供給</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kumimoji="1" lang="ja-JP" altLang="en-US" sz="1600">
              <a:solidFill>
                <a:schemeClr val="tx1"/>
              </a:solidFill>
              <a:latin typeface="Meiryo UI" panose="020B0604030504040204" pitchFamily="50" charset="-128"/>
              <a:ea typeface="Meiryo UI" panose="020B0604030504040204" pitchFamily="50" charset="-128"/>
            </a:rPr>
            <a:t>＋コーポレート</a:t>
          </a:r>
          <a:r>
            <a:rPr kumimoji="1" lang="en-US" altLang="ja-JP" sz="1600">
              <a:solidFill>
                <a:schemeClr val="tx1"/>
              </a:solidFill>
              <a:latin typeface="Meiryo UI" panose="020B0604030504040204" pitchFamily="50" charset="-128"/>
              <a:ea typeface="Meiryo UI" panose="020B0604030504040204" pitchFamily="50" charset="-128"/>
            </a:rPr>
            <a:t>PPA</a:t>
          </a: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xdr:col>
      <xdr:colOff>1117310</xdr:colOff>
      <xdr:row>78</xdr:row>
      <xdr:rowOff>196567</xdr:rowOff>
    </xdr:from>
    <xdr:to>
      <xdr:col>8</xdr:col>
      <xdr:colOff>132021</xdr:colOff>
      <xdr:row>83</xdr:row>
      <xdr:rowOff>114692</xdr:rowOff>
    </xdr:to>
    <xdr:sp macro="" textlink="">
      <xdr:nvSpPr>
        <xdr:cNvPr id="121" name="矢印: 右 120">
          <a:extLst>
            <a:ext uri="{FF2B5EF4-FFF2-40B4-BE49-F238E27FC236}">
              <a16:creationId xmlns:a16="http://schemas.microsoft.com/office/drawing/2014/main" id="{5085E5F2-A21F-40B2-9865-237554A8D112}"/>
            </a:ext>
          </a:extLst>
        </xdr:cNvPr>
        <xdr:cNvSpPr/>
      </xdr:nvSpPr>
      <xdr:spPr>
        <a:xfrm>
          <a:off x="2260310" y="17808292"/>
          <a:ext cx="5634586" cy="1108750"/>
        </a:xfrm>
        <a:prstGeom prst="rightArrow">
          <a:avLst>
            <a:gd name="adj1" fmla="val 50000"/>
            <a:gd name="adj2" fmla="val 47031"/>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自己託送</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xdr:col>
      <xdr:colOff>1923356</xdr:colOff>
      <xdr:row>91</xdr:row>
      <xdr:rowOff>152541</xdr:rowOff>
    </xdr:from>
    <xdr:to>
      <xdr:col>4</xdr:col>
      <xdr:colOff>755305</xdr:colOff>
      <xdr:row>94</xdr:row>
      <xdr:rowOff>142129</xdr:rowOff>
    </xdr:to>
    <xdr:sp macro="" textlink="">
      <xdr:nvSpPr>
        <xdr:cNvPr id="122" name="矢印: 右 121">
          <a:extLst>
            <a:ext uri="{FF2B5EF4-FFF2-40B4-BE49-F238E27FC236}">
              <a16:creationId xmlns:a16="http://schemas.microsoft.com/office/drawing/2014/main" id="{D89FB294-BEC4-43E2-8B86-6E72B9E1820D}"/>
            </a:ext>
          </a:extLst>
        </xdr:cNvPr>
        <xdr:cNvSpPr/>
      </xdr:nvSpPr>
      <xdr:spPr>
        <a:xfrm>
          <a:off x="3066356" y="20859891"/>
          <a:ext cx="1470374" cy="703963"/>
        </a:xfrm>
        <a:prstGeom prst="rightArrow">
          <a:avLst>
            <a:gd name="adj1" fmla="val 50000"/>
            <a:gd name="adj2" fmla="val 62339"/>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en-US" altLang="ja-JP"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8</xdr:col>
      <xdr:colOff>188826</xdr:colOff>
      <xdr:row>100</xdr:row>
      <xdr:rowOff>177881</xdr:rowOff>
    </xdr:from>
    <xdr:to>
      <xdr:col>9</xdr:col>
      <xdr:colOff>171329</xdr:colOff>
      <xdr:row>104</xdr:row>
      <xdr:rowOff>137611</xdr:rowOff>
    </xdr:to>
    <xdr:grpSp>
      <xdr:nvGrpSpPr>
        <xdr:cNvPr id="123" name="Group 27">
          <a:extLst>
            <a:ext uri="{FF2B5EF4-FFF2-40B4-BE49-F238E27FC236}">
              <a16:creationId xmlns:a16="http://schemas.microsoft.com/office/drawing/2014/main" id="{4F9BBCCD-9D4F-4BAA-8B57-182A24F8A559}"/>
            </a:ext>
          </a:extLst>
        </xdr:cNvPr>
        <xdr:cNvGrpSpPr>
          <a:grpSpLocks noChangeAspect="1"/>
        </xdr:cNvGrpSpPr>
      </xdr:nvGrpSpPr>
      <xdr:grpSpPr bwMode="auto">
        <a:xfrm>
          <a:off x="7951701" y="22736256"/>
          <a:ext cx="1011203" cy="874130"/>
          <a:chOff x="0" y="0"/>
          <a:chExt cx="780" cy="609"/>
        </a:xfrm>
        <a:solidFill>
          <a:srgbClr val="0070C0"/>
        </a:solidFill>
      </xdr:grpSpPr>
      <xdr:sp macro="" textlink="">
        <xdr:nvSpPr>
          <xdr:cNvPr id="124" name="Freeform 28">
            <a:extLst>
              <a:ext uri="{FF2B5EF4-FFF2-40B4-BE49-F238E27FC236}">
                <a16:creationId xmlns:a16="http://schemas.microsoft.com/office/drawing/2014/main" id="{97C35730-BBEE-7EB8-0672-7EB4CF8A1A25}"/>
              </a:ext>
            </a:extLst>
          </xdr:cNvPr>
          <xdr:cNvSpPr>
            <a:spLocks noEditPoints="1"/>
          </xdr:cNvSpPr>
        </xdr:nvSpPr>
        <xdr:spPr bwMode="auto">
          <a:xfrm>
            <a:off x="28" y="251"/>
            <a:ext cx="716" cy="358"/>
          </a:xfrm>
          <a:custGeom>
            <a:avLst/>
            <a:gdLst>
              <a:gd name="T0" fmla="*/ 167 w 180"/>
              <a:gd name="T1" fmla="*/ 0 h 90"/>
              <a:gd name="T2" fmla="*/ 165 w 180"/>
              <a:gd name="T3" fmla="*/ 0 h 90"/>
              <a:gd name="T4" fmla="*/ 155 w 180"/>
              <a:gd name="T5" fmla="*/ 5 h 90"/>
              <a:gd name="T6" fmla="*/ 145 w 180"/>
              <a:gd name="T7" fmla="*/ 0 h 90"/>
              <a:gd name="T8" fmla="*/ 143 w 180"/>
              <a:gd name="T9" fmla="*/ 0 h 90"/>
              <a:gd name="T10" fmla="*/ 133 w 180"/>
              <a:gd name="T11" fmla="*/ 5 h 90"/>
              <a:gd name="T12" fmla="*/ 123 w 180"/>
              <a:gd name="T13" fmla="*/ 0 h 90"/>
              <a:gd name="T14" fmla="*/ 122 w 180"/>
              <a:gd name="T15" fmla="*/ 0 h 90"/>
              <a:gd name="T16" fmla="*/ 111 w 180"/>
              <a:gd name="T17" fmla="*/ 5 h 90"/>
              <a:gd name="T18" fmla="*/ 101 w 180"/>
              <a:gd name="T19" fmla="*/ 0 h 90"/>
              <a:gd name="T20" fmla="*/ 100 w 180"/>
              <a:gd name="T21" fmla="*/ 0 h 90"/>
              <a:gd name="T22" fmla="*/ 90 w 180"/>
              <a:gd name="T23" fmla="*/ 5 h 90"/>
              <a:gd name="T24" fmla="*/ 80 w 180"/>
              <a:gd name="T25" fmla="*/ 0 h 90"/>
              <a:gd name="T26" fmla="*/ 78 w 180"/>
              <a:gd name="T27" fmla="*/ 0 h 90"/>
              <a:gd name="T28" fmla="*/ 68 w 180"/>
              <a:gd name="T29" fmla="*/ 5 h 90"/>
              <a:gd name="T30" fmla="*/ 58 w 180"/>
              <a:gd name="T31" fmla="*/ 0 h 90"/>
              <a:gd name="T32" fmla="*/ 57 w 180"/>
              <a:gd name="T33" fmla="*/ 0 h 90"/>
              <a:gd name="T34" fmla="*/ 46 w 180"/>
              <a:gd name="T35" fmla="*/ 5 h 90"/>
              <a:gd name="T36" fmla="*/ 36 w 180"/>
              <a:gd name="T37" fmla="*/ 0 h 90"/>
              <a:gd name="T38" fmla="*/ 35 w 180"/>
              <a:gd name="T39" fmla="*/ 0 h 90"/>
              <a:gd name="T40" fmla="*/ 25 w 180"/>
              <a:gd name="T41" fmla="*/ 5 h 90"/>
              <a:gd name="T42" fmla="*/ 15 w 180"/>
              <a:gd name="T43" fmla="*/ 0 h 90"/>
              <a:gd name="T44" fmla="*/ 13 w 180"/>
              <a:gd name="T45" fmla="*/ 0 h 90"/>
              <a:gd name="T46" fmla="*/ 3 w 180"/>
              <a:gd name="T47" fmla="*/ 5 h 90"/>
              <a:gd name="T48" fmla="*/ 0 w 180"/>
              <a:gd name="T49" fmla="*/ 5 h 90"/>
              <a:gd name="T50" fmla="*/ 0 w 180"/>
              <a:gd name="T51" fmla="*/ 90 h 90"/>
              <a:gd name="T52" fmla="*/ 180 w 180"/>
              <a:gd name="T53" fmla="*/ 90 h 90"/>
              <a:gd name="T54" fmla="*/ 180 w 180"/>
              <a:gd name="T55" fmla="*/ 5 h 90"/>
              <a:gd name="T56" fmla="*/ 176 w 180"/>
              <a:gd name="T57" fmla="*/ 5 h 90"/>
              <a:gd name="T58" fmla="*/ 167 w 180"/>
              <a:gd name="T59" fmla="*/ 0 h 90"/>
              <a:gd name="T60" fmla="*/ 87 w 180"/>
              <a:gd name="T61" fmla="*/ 79 h 90"/>
              <a:gd name="T62" fmla="*/ 18 w 180"/>
              <a:gd name="T63" fmla="*/ 79 h 90"/>
              <a:gd name="T64" fmla="*/ 18 w 180"/>
              <a:gd name="T65" fmla="*/ 30 h 90"/>
              <a:gd name="T66" fmla="*/ 87 w 180"/>
              <a:gd name="T67" fmla="*/ 30 h 90"/>
              <a:gd name="T68" fmla="*/ 87 w 180"/>
              <a:gd name="T69" fmla="*/ 79 h 90"/>
              <a:gd name="T70" fmla="*/ 149 w 180"/>
              <a:gd name="T71" fmla="*/ 71 h 90"/>
              <a:gd name="T72" fmla="*/ 100 w 180"/>
              <a:gd name="T73" fmla="*/ 71 h 90"/>
              <a:gd name="T74" fmla="*/ 100 w 180"/>
              <a:gd name="T75" fmla="*/ 65 h 90"/>
              <a:gd name="T76" fmla="*/ 149 w 180"/>
              <a:gd name="T77" fmla="*/ 65 h 90"/>
              <a:gd name="T78" fmla="*/ 149 w 180"/>
              <a:gd name="T79" fmla="*/ 71 h 90"/>
              <a:gd name="T80" fmla="*/ 149 w 180"/>
              <a:gd name="T81" fmla="*/ 60 h 90"/>
              <a:gd name="T82" fmla="*/ 100 w 180"/>
              <a:gd name="T83" fmla="*/ 60 h 90"/>
              <a:gd name="T84" fmla="*/ 100 w 180"/>
              <a:gd name="T85" fmla="*/ 53 h 90"/>
              <a:gd name="T86" fmla="*/ 149 w 180"/>
              <a:gd name="T87" fmla="*/ 53 h 90"/>
              <a:gd name="T88" fmla="*/ 149 w 180"/>
              <a:gd name="T89" fmla="*/ 60 h 90"/>
              <a:gd name="T90" fmla="*/ 149 w 180"/>
              <a:gd name="T91" fmla="*/ 48 h 90"/>
              <a:gd name="T92" fmla="*/ 100 w 180"/>
              <a:gd name="T93" fmla="*/ 48 h 90"/>
              <a:gd name="T94" fmla="*/ 100 w 180"/>
              <a:gd name="T95" fmla="*/ 42 h 90"/>
              <a:gd name="T96" fmla="*/ 149 w 180"/>
              <a:gd name="T97" fmla="*/ 42 h 90"/>
              <a:gd name="T98" fmla="*/ 149 w 180"/>
              <a:gd name="T99" fmla="*/ 48 h 90"/>
              <a:gd name="T100" fmla="*/ 149 w 180"/>
              <a:gd name="T101" fmla="*/ 36 h 90"/>
              <a:gd name="T102" fmla="*/ 100 w 180"/>
              <a:gd name="T103" fmla="*/ 36 h 90"/>
              <a:gd name="T104" fmla="*/ 100 w 180"/>
              <a:gd name="T105" fmla="*/ 30 h 90"/>
              <a:gd name="T106" fmla="*/ 149 w 180"/>
              <a:gd name="T107" fmla="*/ 30 h 90"/>
              <a:gd name="T108" fmla="*/ 149 w 180"/>
              <a:gd name="T109" fmla="*/ 36 h 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80" h="90">
                <a:moveTo>
                  <a:pt x="167" y="0"/>
                </a:moveTo>
                <a:cubicBezTo>
                  <a:pt x="166" y="0"/>
                  <a:pt x="165" y="0"/>
                  <a:pt x="165" y="0"/>
                </a:cubicBezTo>
                <a:cubicBezTo>
                  <a:pt x="163" y="4"/>
                  <a:pt x="159" y="5"/>
                  <a:pt x="155" y="5"/>
                </a:cubicBezTo>
                <a:cubicBezTo>
                  <a:pt x="150" y="5"/>
                  <a:pt x="146" y="4"/>
                  <a:pt x="145" y="0"/>
                </a:cubicBezTo>
                <a:cubicBezTo>
                  <a:pt x="144" y="0"/>
                  <a:pt x="143" y="0"/>
                  <a:pt x="143" y="0"/>
                </a:cubicBezTo>
                <a:cubicBezTo>
                  <a:pt x="141" y="4"/>
                  <a:pt x="138" y="5"/>
                  <a:pt x="133" y="5"/>
                </a:cubicBezTo>
                <a:cubicBezTo>
                  <a:pt x="129" y="5"/>
                  <a:pt x="125" y="4"/>
                  <a:pt x="123" y="0"/>
                </a:cubicBezTo>
                <a:cubicBezTo>
                  <a:pt x="123" y="0"/>
                  <a:pt x="122" y="0"/>
                  <a:pt x="122" y="0"/>
                </a:cubicBezTo>
                <a:cubicBezTo>
                  <a:pt x="120" y="4"/>
                  <a:pt x="116" y="5"/>
                  <a:pt x="111" y="5"/>
                </a:cubicBezTo>
                <a:cubicBezTo>
                  <a:pt x="107" y="5"/>
                  <a:pt x="103" y="4"/>
                  <a:pt x="101" y="0"/>
                </a:cubicBezTo>
                <a:cubicBezTo>
                  <a:pt x="101" y="0"/>
                  <a:pt x="100" y="0"/>
                  <a:pt x="100" y="0"/>
                </a:cubicBezTo>
                <a:cubicBezTo>
                  <a:pt x="98" y="4"/>
                  <a:pt x="94" y="5"/>
                  <a:pt x="90" y="5"/>
                </a:cubicBezTo>
                <a:cubicBezTo>
                  <a:pt x="85" y="5"/>
                  <a:pt x="81" y="4"/>
                  <a:pt x="80" y="0"/>
                </a:cubicBezTo>
                <a:cubicBezTo>
                  <a:pt x="79" y="0"/>
                  <a:pt x="78" y="0"/>
                  <a:pt x="78" y="0"/>
                </a:cubicBezTo>
                <a:cubicBezTo>
                  <a:pt x="76" y="4"/>
                  <a:pt x="73" y="5"/>
                  <a:pt x="68" y="5"/>
                </a:cubicBezTo>
                <a:cubicBezTo>
                  <a:pt x="64" y="5"/>
                  <a:pt x="60" y="4"/>
                  <a:pt x="58" y="0"/>
                </a:cubicBezTo>
                <a:cubicBezTo>
                  <a:pt x="58" y="0"/>
                  <a:pt x="57" y="0"/>
                  <a:pt x="57" y="0"/>
                </a:cubicBezTo>
                <a:cubicBezTo>
                  <a:pt x="55" y="4"/>
                  <a:pt x="51" y="5"/>
                  <a:pt x="46" y="5"/>
                </a:cubicBezTo>
                <a:cubicBezTo>
                  <a:pt x="42" y="5"/>
                  <a:pt x="38" y="4"/>
                  <a:pt x="36" y="0"/>
                </a:cubicBezTo>
                <a:cubicBezTo>
                  <a:pt x="36" y="0"/>
                  <a:pt x="35" y="0"/>
                  <a:pt x="35" y="0"/>
                </a:cubicBezTo>
                <a:cubicBezTo>
                  <a:pt x="33" y="4"/>
                  <a:pt x="29" y="5"/>
                  <a:pt x="25" y="5"/>
                </a:cubicBezTo>
                <a:cubicBezTo>
                  <a:pt x="20" y="5"/>
                  <a:pt x="16" y="4"/>
                  <a:pt x="15" y="0"/>
                </a:cubicBezTo>
                <a:cubicBezTo>
                  <a:pt x="14" y="0"/>
                  <a:pt x="13" y="0"/>
                  <a:pt x="13" y="0"/>
                </a:cubicBezTo>
                <a:cubicBezTo>
                  <a:pt x="11" y="4"/>
                  <a:pt x="8" y="5"/>
                  <a:pt x="3" y="5"/>
                </a:cubicBezTo>
                <a:cubicBezTo>
                  <a:pt x="2" y="5"/>
                  <a:pt x="1" y="5"/>
                  <a:pt x="0" y="5"/>
                </a:cubicBezTo>
                <a:cubicBezTo>
                  <a:pt x="0" y="90"/>
                  <a:pt x="0" y="90"/>
                  <a:pt x="0" y="90"/>
                </a:cubicBezTo>
                <a:cubicBezTo>
                  <a:pt x="180" y="90"/>
                  <a:pt x="180" y="90"/>
                  <a:pt x="180" y="90"/>
                </a:cubicBezTo>
                <a:cubicBezTo>
                  <a:pt x="180" y="5"/>
                  <a:pt x="180" y="5"/>
                  <a:pt x="180" y="5"/>
                </a:cubicBezTo>
                <a:cubicBezTo>
                  <a:pt x="179" y="5"/>
                  <a:pt x="178" y="5"/>
                  <a:pt x="176" y="5"/>
                </a:cubicBezTo>
                <a:cubicBezTo>
                  <a:pt x="172" y="5"/>
                  <a:pt x="168" y="4"/>
                  <a:pt x="167" y="0"/>
                </a:cubicBezTo>
                <a:close/>
                <a:moveTo>
                  <a:pt x="87" y="79"/>
                </a:moveTo>
                <a:cubicBezTo>
                  <a:pt x="18" y="79"/>
                  <a:pt x="18" y="79"/>
                  <a:pt x="18" y="79"/>
                </a:cubicBezTo>
                <a:cubicBezTo>
                  <a:pt x="18" y="30"/>
                  <a:pt x="18" y="30"/>
                  <a:pt x="18" y="30"/>
                </a:cubicBezTo>
                <a:cubicBezTo>
                  <a:pt x="45" y="30"/>
                  <a:pt x="87" y="30"/>
                  <a:pt x="87" y="30"/>
                </a:cubicBezTo>
                <a:lnTo>
                  <a:pt x="87" y="79"/>
                </a:lnTo>
                <a:close/>
                <a:moveTo>
                  <a:pt x="149" y="71"/>
                </a:moveTo>
                <a:cubicBezTo>
                  <a:pt x="100" y="71"/>
                  <a:pt x="100" y="71"/>
                  <a:pt x="100" y="71"/>
                </a:cubicBezTo>
                <a:cubicBezTo>
                  <a:pt x="100" y="65"/>
                  <a:pt x="100" y="65"/>
                  <a:pt x="100" y="65"/>
                </a:cubicBezTo>
                <a:cubicBezTo>
                  <a:pt x="149" y="65"/>
                  <a:pt x="149" y="65"/>
                  <a:pt x="149" y="65"/>
                </a:cubicBezTo>
                <a:lnTo>
                  <a:pt x="149" y="71"/>
                </a:lnTo>
                <a:close/>
                <a:moveTo>
                  <a:pt x="149" y="60"/>
                </a:moveTo>
                <a:cubicBezTo>
                  <a:pt x="100" y="60"/>
                  <a:pt x="100" y="60"/>
                  <a:pt x="100" y="60"/>
                </a:cubicBezTo>
                <a:cubicBezTo>
                  <a:pt x="100" y="53"/>
                  <a:pt x="100" y="53"/>
                  <a:pt x="100" y="53"/>
                </a:cubicBezTo>
                <a:cubicBezTo>
                  <a:pt x="149" y="53"/>
                  <a:pt x="149" y="53"/>
                  <a:pt x="149" y="53"/>
                </a:cubicBezTo>
                <a:lnTo>
                  <a:pt x="149" y="60"/>
                </a:lnTo>
                <a:close/>
                <a:moveTo>
                  <a:pt x="149" y="48"/>
                </a:moveTo>
                <a:cubicBezTo>
                  <a:pt x="100" y="48"/>
                  <a:pt x="100" y="48"/>
                  <a:pt x="100" y="48"/>
                </a:cubicBezTo>
                <a:cubicBezTo>
                  <a:pt x="100" y="42"/>
                  <a:pt x="100" y="42"/>
                  <a:pt x="100" y="42"/>
                </a:cubicBezTo>
                <a:cubicBezTo>
                  <a:pt x="149" y="42"/>
                  <a:pt x="149" y="42"/>
                  <a:pt x="149" y="42"/>
                </a:cubicBezTo>
                <a:lnTo>
                  <a:pt x="149" y="48"/>
                </a:lnTo>
                <a:close/>
                <a:moveTo>
                  <a:pt x="149" y="36"/>
                </a:moveTo>
                <a:cubicBezTo>
                  <a:pt x="100" y="36"/>
                  <a:pt x="100" y="36"/>
                  <a:pt x="100" y="36"/>
                </a:cubicBezTo>
                <a:cubicBezTo>
                  <a:pt x="100" y="30"/>
                  <a:pt x="100" y="30"/>
                  <a:pt x="100" y="30"/>
                </a:cubicBezTo>
                <a:cubicBezTo>
                  <a:pt x="149" y="30"/>
                  <a:pt x="149" y="30"/>
                  <a:pt x="149" y="30"/>
                </a:cubicBezTo>
                <a:lnTo>
                  <a:pt x="149" y="3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5" name="Freeform 29">
            <a:extLst>
              <a:ext uri="{FF2B5EF4-FFF2-40B4-BE49-F238E27FC236}">
                <a16:creationId xmlns:a16="http://schemas.microsoft.com/office/drawing/2014/main" id="{B66DA9F5-D7F5-FCAE-6887-03081C795732}"/>
              </a:ext>
            </a:extLst>
          </xdr:cNvPr>
          <xdr:cNvSpPr>
            <a:spLocks/>
          </xdr:cNvSpPr>
        </xdr:nvSpPr>
        <xdr:spPr bwMode="auto">
          <a:xfrm>
            <a:off x="0" y="159"/>
            <a:ext cx="772" cy="96"/>
          </a:xfrm>
          <a:custGeom>
            <a:avLst/>
            <a:gdLst>
              <a:gd name="T0" fmla="*/ 0 w 194"/>
              <a:gd name="T1" fmla="*/ 14 h 24"/>
              <a:gd name="T2" fmla="*/ 6 w 194"/>
              <a:gd name="T3" fmla="*/ 24 h 24"/>
              <a:gd name="T4" fmla="*/ 6 w 194"/>
              <a:gd name="T5" fmla="*/ 24 h 24"/>
              <a:gd name="T6" fmla="*/ 10 w 194"/>
              <a:gd name="T7" fmla="*/ 24 h 24"/>
              <a:gd name="T8" fmla="*/ 21 w 194"/>
              <a:gd name="T9" fmla="*/ 16 h 24"/>
              <a:gd name="T10" fmla="*/ 21 w 194"/>
              <a:gd name="T11" fmla="*/ 16 h 24"/>
              <a:gd name="T12" fmla="*/ 32 w 194"/>
              <a:gd name="T13" fmla="*/ 24 h 24"/>
              <a:gd name="T14" fmla="*/ 42 w 194"/>
              <a:gd name="T15" fmla="*/ 16 h 24"/>
              <a:gd name="T16" fmla="*/ 43 w 194"/>
              <a:gd name="T17" fmla="*/ 16 h 24"/>
              <a:gd name="T18" fmla="*/ 54 w 194"/>
              <a:gd name="T19" fmla="*/ 24 h 24"/>
              <a:gd name="T20" fmla="*/ 64 w 194"/>
              <a:gd name="T21" fmla="*/ 16 h 24"/>
              <a:gd name="T22" fmla="*/ 65 w 194"/>
              <a:gd name="T23" fmla="*/ 16 h 24"/>
              <a:gd name="T24" fmla="*/ 75 w 194"/>
              <a:gd name="T25" fmla="*/ 24 h 24"/>
              <a:gd name="T26" fmla="*/ 86 w 194"/>
              <a:gd name="T27" fmla="*/ 16 h 24"/>
              <a:gd name="T28" fmla="*/ 86 w 194"/>
              <a:gd name="T29" fmla="*/ 16 h 24"/>
              <a:gd name="T30" fmla="*/ 97 w 194"/>
              <a:gd name="T31" fmla="*/ 24 h 24"/>
              <a:gd name="T32" fmla="*/ 108 w 194"/>
              <a:gd name="T33" fmla="*/ 16 h 24"/>
              <a:gd name="T34" fmla="*/ 108 w 194"/>
              <a:gd name="T35" fmla="*/ 16 h 24"/>
              <a:gd name="T36" fmla="*/ 119 w 194"/>
              <a:gd name="T37" fmla="*/ 24 h 24"/>
              <a:gd name="T38" fmla="*/ 129 w 194"/>
              <a:gd name="T39" fmla="*/ 16 h 24"/>
              <a:gd name="T40" fmla="*/ 130 w 194"/>
              <a:gd name="T41" fmla="*/ 16 h 24"/>
              <a:gd name="T42" fmla="*/ 140 w 194"/>
              <a:gd name="T43" fmla="*/ 24 h 24"/>
              <a:gd name="T44" fmla="*/ 151 w 194"/>
              <a:gd name="T45" fmla="*/ 16 h 24"/>
              <a:gd name="T46" fmla="*/ 152 w 194"/>
              <a:gd name="T47" fmla="*/ 16 h 24"/>
              <a:gd name="T48" fmla="*/ 162 w 194"/>
              <a:gd name="T49" fmla="*/ 24 h 24"/>
              <a:gd name="T50" fmla="*/ 173 w 194"/>
              <a:gd name="T51" fmla="*/ 16 h 24"/>
              <a:gd name="T52" fmla="*/ 173 w 194"/>
              <a:gd name="T53" fmla="*/ 16 h 24"/>
              <a:gd name="T54" fmla="*/ 184 w 194"/>
              <a:gd name="T55" fmla="*/ 24 h 24"/>
              <a:gd name="T56" fmla="*/ 187 w 194"/>
              <a:gd name="T57" fmla="*/ 24 h 24"/>
              <a:gd name="T58" fmla="*/ 188 w 194"/>
              <a:gd name="T59" fmla="*/ 24 h 24"/>
              <a:gd name="T60" fmla="*/ 194 w 194"/>
              <a:gd name="T61" fmla="*/ 14 h 24"/>
              <a:gd name="T62" fmla="*/ 194 w 194"/>
              <a:gd name="T63" fmla="*/ 0 h 24"/>
              <a:gd name="T64" fmla="*/ 0 w 194"/>
              <a:gd name="T65" fmla="*/ 0 h 24"/>
              <a:gd name="T66" fmla="*/ 0 w 194"/>
              <a:gd name="T67" fmla="*/ 14 h 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194" h="24">
                <a:moveTo>
                  <a:pt x="0" y="14"/>
                </a:moveTo>
                <a:cubicBezTo>
                  <a:pt x="0" y="18"/>
                  <a:pt x="2" y="22"/>
                  <a:pt x="6" y="24"/>
                </a:cubicBezTo>
                <a:cubicBezTo>
                  <a:pt x="6" y="24"/>
                  <a:pt x="6" y="24"/>
                  <a:pt x="6" y="24"/>
                </a:cubicBezTo>
                <a:cubicBezTo>
                  <a:pt x="7" y="24"/>
                  <a:pt x="9" y="24"/>
                  <a:pt x="10" y="24"/>
                </a:cubicBezTo>
                <a:cubicBezTo>
                  <a:pt x="15" y="24"/>
                  <a:pt x="19" y="21"/>
                  <a:pt x="21" y="16"/>
                </a:cubicBezTo>
                <a:cubicBezTo>
                  <a:pt x="21" y="16"/>
                  <a:pt x="21" y="16"/>
                  <a:pt x="21" y="16"/>
                </a:cubicBezTo>
                <a:cubicBezTo>
                  <a:pt x="23" y="21"/>
                  <a:pt x="27" y="24"/>
                  <a:pt x="32" y="24"/>
                </a:cubicBezTo>
                <a:cubicBezTo>
                  <a:pt x="37" y="24"/>
                  <a:pt x="41" y="21"/>
                  <a:pt x="42" y="16"/>
                </a:cubicBezTo>
                <a:cubicBezTo>
                  <a:pt x="43" y="16"/>
                  <a:pt x="43" y="16"/>
                  <a:pt x="43" y="16"/>
                </a:cubicBezTo>
                <a:cubicBezTo>
                  <a:pt x="44" y="21"/>
                  <a:pt x="49" y="24"/>
                  <a:pt x="54" y="24"/>
                </a:cubicBezTo>
                <a:cubicBezTo>
                  <a:pt x="59" y="24"/>
                  <a:pt x="63" y="21"/>
                  <a:pt x="64" y="16"/>
                </a:cubicBezTo>
                <a:cubicBezTo>
                  <a:pt x="64" y="16"/>
                  <a:pt x="65" y="16"/>
                  <a:pt x="65" y="16"/>
                </a:cubicBezTo>
                <a:cubicBezTo>
                  <a:pt x="66" y="21"/>
                  <a:pt x="70" y="24"/>
                  <a:pt x="75" y="24"/>
                </a:cubicBezTo>
                <a:cubicBezTo>
                  <a:pt x="80" y="24"/>
                  <a:pt x="85" y="21"/>
                  <a:pt x="86" y="16"/>
                </a:cubicBezTo>
                <a:cubicBezTo>
                  <a:pt x="86" y="16"/>
                  <a:pt x="86" y="16"/>
                  <a:pt x="86" y="16"/>
                </a:cubicBezTo>
                <a:cubicBezTo>
                  <a:pt x="88" y="21"/>
                  <a:pt x="92" y="24"/>
                  <a:pt x="97" y="24"/>
                </a:cubicBezTo>
                <a:cubicBezTo>
                  <a:pt x="102" y="24"/>
                  <a:pt x="106" y="21"/>
                  <a:pt x="108" y="16"/>
                </a:cubicBezTo>
                <a:cubicBezTo>
                  <a:pt x="108" y="16"/>
                  <a:pt x="108" y="16"/>
                  <a:pt x="108" y="16"/>
                </a:cubicBezTo>
                <a:cubicBezTo>
                  <a:pt x="109" y="21"/>
                  <a:pt x="114" y="24"/>
                  <a:pt x="119" y="24"/>
                </a:cubicBezTo>
                <a:cubicBezTo>
                  <a:pt x="124" y="24"/>
                  <a:pt x="128" y="21"/>
                  <a:pt x="129" y="16"/>
                </a:cubicBezTo>
                <a:cubicBezTo>
                  <a:pt x="129" y="16"/>
                  <a:pt x="130" y="16"/>
                  <a:pt x="130" y="16"/>
                </a:cubicBezTo>
                <a:cubicBezTo>
                  <a:pt x="131" y="21"/>
                  <a:pt x="135" y="24"/>
                  <a:pt x="140" y="24"/>
                </a:cubicBezTo>
                <a:cubicBezTo>
                  <a:pt x="145" y="24"/>
                  <a:pt x="150" y="21"/>
                  <a:pt x="151" y="16"/>
                </a:cubicBezTo>
                <a:cubicBezTo>
                  <a:pt x="151" y="16"/>
                  <a:pt x="152" y="16"/>
                  <a:pt x="152" y="16"/>
                </a:cubicBezTo>
                <a:cubicBezTo>
                  <a:pt x="153" y="21"/>
                  <a:pt x="157" y="24"/>
                  <a:pt x="162" y="24"/>
                </a:cubicBezTo>
                <a:cubicBezTo>
                  <a:pt x="167" y="24"/>
                  <a:pt x="171" y="21"/>
                  <a:pt x="173" y="16"/>
                </a:cubicBezTo>
                <a:cubicBezTo>
                  <a:pt x="173" y="16"/>
                  <a:pt x="173" y="16"/>
                  <a:pt x="173" y="16"/>
                </a:cubicBezTo>
                <a:cubicBezTo>
                  <a:pt x="175" y="21"/>
                  <a:pt x="179" y="24"/>
                  <a:pt x="184" y="24"/>
                </a:cubicBezTo>
                <a:cubicBezTo>
                  <a:pt x="185" y="24"/>
                  <a:pt x="186" y="24"/>
                  <a:pt x="187" y="24"/>
                </a:cubicBezTo>
                <a:cubicBezTo>
                  <a:pt x="188" y="24"/>
                  <a:pt x="188" y="24"/>
                  <a:pt x="188" y="24"/>
                </a:cubicBezTo>
                <a:cubicBezTo>
                  <a:pt x="191" y="22"/>
                  <a:pt x="194" y="18"/>
                  <a:pt x="194" y="14"/>
                </a:cubicBezTo>
                <a:cubicBezTo>
                  <a:pt x="194" y="14"/>
                  <a:pt x="194" y="14"/>
                  <a:pt x="194" y="0"/>
                </a:cubicBezTo>
                <a:cubicBezTo>
                  <a:pt x="0" y="0"/>
                  <a:pt x="0" y="0"/>
                  <a:pt x="0" y="0"/>
                </a:cubicBezTo>
                <a:cubicBezTo>
                  <a:pt x="0" y="0"/>
                  <a:pt x="0" y="0"/>
                  <a:pt x="0" y="14"/>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6" name="Freeform 30">
            <a:extLst>
              <a:ext uri="{FF2B5EF4-FFF2-40B4-BE49-F238E27FC236}">
                <a16:creationId xmlns:a16="http://schemas.microsoft.com/office/drawing/2014/main" id="{C1A06077-CD82-6ED3-CEF2-B8A2CEBA7078}"/>
              </a:ext>
            </a:extLst>
          </xdr:cNvPr>
          <xdr:cNvSpPr>
            <a:spLocks/>
          </xdr:cNvSpPr>
        </xdr:nvSpPr>
        <xdr:spPr bwMode="auto">
          <a:xfrm>
            <a:off x="111" y="60"/>
            <a:ext cx="12" cy="16"/>
          </a:xfrm>
          <a:custGeom>
            <a:avLst/>
            <a:gdLst>
              <a:gd name="T0" fmla="*/ 1 w 3"/>
              <a:gd name="T1" fmla="*/ 0 h 4"/>
              <a:gd name="T2" fmla="*/ 0 w 3"/>
              <a:gd name="T3" fmla="*/ 0 h 4"/>
              <a:gd name="T4" fmla="*/ 0 w 3"/>
              <a:gd name="T5" fmla="*/ 4 h 4"/>
              <a:gd name="T6" fmla="*/ 1 w 3"/>
              <a:gd name="T7" fmla="*/ 4 h 4"/>
              <a:gd name="T8" fmla="*/ 3 w 3"/>
              <a:gd name="T9" fmla="*/ 3 h 4"/>
              <a:gd name="T10" fmla="*/ 3 w 3"/>
              <a:gd name="T11" fmla="*/ 2 h 4"/>
              <a:gd name="T12" fmla="*/ 1 w 3"/>
              <a:gd name="T13" fmla="*/ 0 h 4"/>
            </a:gdLst>
            <a:ahLst/>
            <a:cxnLst>
              <a:cxn ang="0">
                <a:pos x="T0" y="T1"/>
              </a:cxn>
              <a:cxn ang="0">
                <a:pos x="T2" y="T3"/>
              </a:cxn>
              <a:cxn ang="0">
                <a:pos x="T4" y="T5"/>
              </a:cxn>
              <a:cxn ang="0">
                <a:pos x="T6" y="T7"/>
              </a:cxn>
              <a:cxn ang="0">
                <a:pos x="T8" y="T9"/>
              </a:cxn>
              <a:cxn ang="0">
                <a:pos x="T10" y="T11"/>
              </a:cxn>
              <a:cxn ang="0">
                <a:pos x="T12" y="T13"/>
              </a:cxn>
            </a:cxnLst>
            <a:rect l="0" t="0" r="r" b="b"/>
            <a:pathLst>
              <a:path w="3" h="4">
                <a:moveTo>
                  <a:pt x="1" y="0"/>
                </a:moveTo>
                <a:cubicBezTo>
                  <a:pt x="0" y="0"/>
                  <a:pt x="0" y="0"/>
                  <a:pt x="0" y="0"/>
                </a:cubicBezTo>
                <a:cubicBezTo>
                  <a:pt x="0" y="4"/>
                  <a:pt x="0" y="4"/>
                  <a:pt x="0" y="4"/>
                </a:cubicBezTo>
                <a:cubicBezTo>
                  <a:pt x="1" y="4"/>
                  <a:pt x="1" y="4"/>
                  <a:pt x="1" y="4"/>
                </a:cubicBezTo>
                <a:cubicBezTo>
                  <a:pt x="2" y="4"/>
                  <a:pt x="2" y="4"/>
                  <a:pt x="3" y="3"/>
                </a:cubicBezTo>
                <a:cubicBezTo>
                  <a:pt x="3" y="3"/>
                  <a:pt x="3" y="2"/>
                  <a:pt x="3" y="2"/>
                </a:cubicBezTo>
                <a:cubicBezTo>
                  <a:pt x="3" y="1"/>
                  <a:pt x="3" y="0"/>
                  <a:pt x="1" y="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7" name="Freeform 31">
            <a:extLst>
              <a:ext uri="{FF2B5EF4-FFF2-40B4-BE49-F238E27FC236}">
                <a16:creationId xmlns:a16="http://schemas.microsoft.com/office/drawing/2014/main" id="{17E6BA44-D4CE-DBEA-E645-473FC34DB5B5}"/>
              </a:ext>
            </a:extLst>
          </xdr:cNvPr>
          <xdr:cNvSpPr>
            <a:spLocks/>
          </xdr:cNvSpPr>
        </xdr:nvSpPr>
        <xdr:spPr bwMode="auto">
          <a:xfrm>
            <a:off x="326" y="60"/>
            <a:ext cx="16" cy="24"/>
          </a:xfrm>
          <a:custGeom>
            <a:avLst/>
            <a:gdLst>
              <a:gd name="T0" fmla="*/ 2 w 4"/>
              <a:gd name="T1" fmla="*/ 0 h 6"/>
              <a:gd name="T2" fmla="*/ 2 w 4"/>
              <a:gd name="T3" fmla="*/ 0 h 6"/>
              <a:gd name="T4" fmla="*/ 2 w 4"/>
              <a:gd name="T5" fmla="*/ 1 h 6"/>
              <a:gd name="T6" fmla="*/ 0 w 4"/>
              <a:gd name="T7" fmla="*/ 6 h 6"/>
              <a:gd name="T8" fmla="*/ 4 w 4"/>
              <a:gd name="T9" fmla="*/ 6 h 6"/>
              <a:gd name="T10" fmla="*/ 2 w 4"/>
              <a:gd name="T11" fmla="*/ 1 h 6"/>
              <a:gd name="T12" fmla="*/ 2 w 4"/>
              <a:gd name="T13" fmla="*/ 0 h 6"/>
            </a:gdLst>
            <a:ahLst/>
            <a:cxnLst>
              <a:cxn ang="0">
                <a:pos x="T0" y="T1"/>
              </a:cxn>
              <a:cxn ang="0">
                <a:pos x="T2" y="T3"/>
              </a:cxn>
              <a:cxn ang="0">
                <a:pos x="T4" y="T5"/>
              </a:cxn>
              <a:cxn ang="0">
                <a:pos x="T6" y="T7"/>
              </a:cxn>
              <a:cxn ang="0">
                <a:pos x="T8" y="T9"/>
              </a:cxn>
              <a:cxn ang="0">
                <a:pos x="T10" y="T11"/>
              </a:cxn>
              <a:cxn ang="0">
                <a:pos x="T12" y="T13"/>
              </a:cxn>
            </a:cxnLst>
            <a:rect l="0" t="0" r="r" b="b"/>
            <a:pathLst>
              <a:path w="4" h="6">
                <a:moveTo>
                  <a:pt x="2" y="0"/>
                </a:moveTo>
                <a:cubicBezTo>
                  <a:pt x="2" y="0"/>
                  <a:pt x="2" y="0"/>
                  <a:pt x="2" y="0"/>
                </a:cubicBezTo>
                <a:cubicBezTo>
                  <a:pt x="2" y="0"/>
                  <a:pt x="2" y="1"/>
                  <a:pt x="2" y="1"/>
                </a:cubicBezTo>
                <a:cubicBezTo>
                  <a:pt x="0" y="6"/>
                  <a:pt x="0" y="6"/>
                  <a:pt x="0" y="6"/>
                </a:cubicBezTo>
                <a:cubicBezTo>
                  <a:pt x="4" y="6"/>
                  <a:pt x="4" y="6"/>
                  <a:pt x="4" y="6"/>
                </a:cubicBezTo>
                <a:cubicBezTo>
                  <a:pt x="2" y="1"/>
                  <a:pt x="2" y="1"/>
                  <a:pt x="2" y="1"/>
                </a:cubicBezTo>
                <a:cubicBezTo>
                  <a:pt x="2" y="1"/>
                  <a:pt x="2" y="1"/>
                  <a:pt x="2" y="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8" name="Freeform 32">
            <a:extLst>
              <a:ext uri="{FF2B5EF4-FFF2-40B4-BE49-F238E27FC236}">
                <a16:creationId xmlns:a16="http://schemas.microsoft.com/office/drawing/2014/main" id="{4993AF26-9A98-19D4-7C7A-CB8A7CB3CA0C}"/>
              </a:ext>
            </a:extLst>
          </xdr:cNvPr>
          <xdr:cNvSpPr>
            <a:spLocks noEditPoints="1"/>
          </xdr:cNvSpPr>
        </xdr:nvSpPr>
        <xdr:spPr bwMode="auto">
          <a:xfrm>
            <a:off x="0" y="0"/>
            <a:ext cx="780" cy="147"/>
          </a:xfrm>
          <a:custGeom>
            <a:avLst/>
            <a:gdLst>
              <a:gd name="T0" fmla="*/ 188 w 196"/>
              <a:gd name="T1" fmla="*/ 0 h 37"/>
              <a:gd name="T2" fmla="*/ 0 w 196"/>
              <a:gd name="T3" fmla="*/ 37 h 37"/>
              <a:gd name="T4" fmla="*/ 33 w 196"/>
              <a:gd name="T5" fmla="*/ 26 h 37"/>
              <a:gd name="T6" fmla="*/ 29 w 196"/>
              <a:gd name="T7" fmla="*/ 21 h 37"/>
              <a:gd name="T8" fmla="*/ 25 w 196"/>
              <a:gd name="T9" fmla="*/ 26 h 37"/>
              <a:gd name="T10" fmla="*/ 34 w 196"/>
              <a:gd name="T11" fmla="*/ 16 h 37"/>
              <a:gd name="T12" fmla="*/ 31 w 196"/>
              <a:gd name="T13" fmla="*/ 20 h 37"/>
              <a:gd name="T14" fmla="*/ 35 w 196"/>
              <a:gd name="T15" fmla="*/ 25 h 37"/>
              <a:gd name="T16" fmla="*/ 48 w 196"/>
              <a:gd name="T17" fmla="*/ 26 h 37"/>
              <a:gd name="T18" fmla="*/ 47 w 196"/>
              <a:gd name="T19" fmla="*/ 13 h 37"/>
              <a:gd name="T20" fmla="*/ 43 w 196"/>
              <a:gd name="T21" fmla="*/ 18 h 37"/>
              <a:gd name="T22" fmla="*/ 43 w 196"/>
              <a:gd name="T23" fmla="*/ 21 h 37"/>
              <a:gd name="T24" fmla="*/ 48 w 196"/>
              <a:gd name="T25" fmla="*/ 26 h 37"/>
              <a:gd name="T26" fmla="*/ 52 w 196"/>
              <a:gd name="T27" fmla="*/ 26 h 37"/>
              <a:gd name="T28" fmla="*/ 57 w 196"/>
              <a:gd name="T29" fmla="*/ 24 h 37"/>
              <a:gd name="T30" fmla="*/ 55 w 196"/>
              <a:gd name="T31" fmla="*/ 20 h 37"/>
              <a:gd name="T32" fmla="*/ 57 w 196"/>
              <a:gd name="T33" fmla="*/ 12 h 37"/>
              <a:gd name="T34" fmla="*/ 57 w 196"/>
              <a:gd name="T35" fmla="*/ 15 h 37"/>
              <a:gd name="T36" fmla="*/ 55 w 196"/>
              <a:gd name="T37" fmla="*/ 17 h 37"/>
              <a:gd name="T38" fmla="*/ 61 w 196"/>
              <a:gd name="T39" fmla="*/ 23 h 37"/>
              <a:gd name="T40" fmla="*/ 71 w 196"/>
              <a:gd name="T41" fmla="*/ 15 h 37"/>
              <a:gd name="T42" fmla="*/ 68 w 196"/>
              <a:gd name="T43" fmla="*/ 15 h 37"/>
              <a:gd name="T44" fmla="*/ 75 w 196"/>
              <a:gd name="T45" fmla="*/ 13 h 37"/>
              <a:gd name="T46" fmla="*/ 87 w 196"/>
              <a:gd name="T47" fmla="*/ 23 h 37"/>
              <a:gd name="T48" fmla="*/ 77 w 196"/>
              <a:gd name="T49" fmla="*/ 26 h 37"/>
              <a:gd name="T50" fmla="*/ 91 w 196"/>
              <a:gd name="T51" fmla="*/ 26 h 37"/>
              <a:gd name="T52" fmla="*/ 100 w 196"/>
              <a:gd name="T53" fmla="*/ 27 h 37"/>
              <a:gd name="T54" fmla="*/ 98 w 196"/>
              <a:gd name="T55" fmla="*/ 13 h 37"/>
              <a:gd name="T56" fmla="*/ 103 w 196"/>
              <a:gd name="T57" fmla="*/ 21 h 37"/>
              <a:gd name="T58" fmla="*/ 106 w 196"/>
              <a:gd name="T59" fmla="*/ 21 h 37"/>
              <a:gd name="T60" fmla="*/ 116 w 196"/>
              <a:gd name="T61" fmla="*/ 21 h 37"/>
              <a:gd name="T62" fmla="*/ 114 w 196"/>
              <a:gd name="T63" fmla="*/ 26 h 37"/>
              <a:gd name="T64" fmla="*/ 116 w 196"/>
              <a:gd name="T65" fmla="*/ 13 h 37"/>
              <a:gd name="T66" fmla="*/ 118 w 196"/>
              <a:gd name="T67" fmla="*/ 20 h 37"/>
              <a:gd name="T68" fmla="*/ 122 w 196"/>
              <a:gd name="T69" fmla="*/ 26 h 37"/>
              <a:gd name="T70" fmla="*/ 134 w 196"/>
              <a:gd name="T71" fmla="*/ 23 h 37"/>
              <a:gd name="T72" fmla="*/ 125 w 196"/>
              <a:gd name="T73" fmla="*/ 26 h 37"/>
              <a:gd name="T74" fmla="*/ 138 w 196"/>
              <a:gd name="T75" fmla="*/ 26 h 37"/>
              <a:gd name="T76" fmla="*/ 151 w 196"/>
              <a:gd name="T77" fmla="*/ 26 h 37"/>
              <a:gd name="T78" fmla="*/ 145 w 196"/>
              <a:gd name="T79" fmla="*/ 16 h 37"/>
              <a:gd name="T80" fmla="*/ 142 w 196"/>
              <a:gd name="T81" fmla="*/ 26 h 37"/>
              <a:gd name="T82" fmla="*/ 151 w 196"/>
              <a:gd name="T83" fmla="*/ 21 h 37"/>
              <a:gd name="T84" fmla="*/ 151 w 196"/>
              <a:gd name="T85" fmla="*/ 21 h 37"/>
              <a:gd name="T86" fmla="*/ 154 w 196"/>
              <a:gd name="T87" fmla="*/ 26 h 37"/>
              <a:gd name="T88" fmla="*/ 165 w 196"/>
              <a:gd name="T89" fmla="*/ 26 h 37"/>
              <a:gd name="T90" fmla="*/ 158 w 196"/>
              <a:gd name="T91" fmla="*/ 15 h 37"/>
              <a:gd name="T92" fmla="*/ 169 w 196"/>
              <a:gd name="T93" fmla="*/ 15 h 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Lst>
            <a:rect l="0" t="0" r="r" b="b"/>
            <a:pathLst>
              <a:path w="196" h="37">
                <a:moveTo>
                  <a:pt x="188" y="14"/>
                </a:moveTo>
                <a:cubicBezTo>
                  <a:pt x="188" y="14"/>
                  <a:pt x="188" y="14"/>
                  <a:pt x="188" y="14"/>
                </a:cubicBezTo>
                <a:cubicBezTo>
                  <a:pt x="188" y="0"/>
                  <a:pt x="188" y="0"/>
                  <a:pt x="188" y="0"/>
                </a:cubicBezTo>
                <a:cubicBezTo>
                  <a:pt x="8" y="1"/>
                  <a:pt x="8" y="1"/>
                  <a:pt x="8" y="1"/>
                </a:cubicBezTo>
                <a:cubicBezTo>
                  <a:pt x="8" y="14"/>
                  <a:pt x="8" y="14"/>
                  <a:pt x="8" y="14"/>
                </a:cubicBezTo>
                <a:cubicBezTo>
                  <a:pt x="0" y="37"/>
                  <a:pt x="0" y="37"/>
                  <a:pt x="0" y="37"/>
                </a:cubicBezTo>
                <a:cubicBezTo>
                  <a:pt x="196" y="37"/>
                  <a:pt x="196" y="37"/>
                  <a:pt x="196" y="37"/>
                </a:cubicBezTo>
                <a:lnTo>
                  <a:pt x="188" y="14"/>
                </a:lnTo>
                <a:close/>
                <a:moveTo>
                  <a:pt x="33" y="26"/>
                </a:moveTo>
                <a:cubicBezTo>
                  <a:pt x="31" y="23"/>
                  <a:pt x="31" y="23"/>
                  <a:pt x="31" y="23"/>
                </a:cubicBezTo>
                <a:cubicBezTo>
                  <a:pt x="30" y="22"/>
                  <a:pt x="30" y="22"/>
                  <a:pt x="29" y="21"/>
                </a:cubicBezTo>
                <a:cubicBezTo>
                  <a:pt x="29" y="21"/>
                  <a:pt x="29" y="21"/>
                  <a:pt x="29" y="21"/>
                </a:cubicBezTo>
                <a:cubicBezTo>
                  <a:pt x="28" y="21"/>
                  <a:pt x="28" y="21"/>
                  <a:pt x="28" y="21"/>
                </a:cubicBezTo>
                <a:cubicBezTo>
                  <a:pt x="28" y="26"/>
                  <a:pt x="28" y="26"/>
                  <a:pt x="28" y="26"/>
                </a:cubicBezTo>
                <a:cubicBezTo>
                  <a:pt x="25" y="26"/>
                  <a:pt x="25" y="26"/>
                  <a:pt x="25" y="26"/>
                </a:cubicBezTo>
                <a:cubicBezTo>
                  <a:pt x="25" y="13"/>
                  <a:pt x="25" y="13"/>
                  <a:pt x="25" y="13"/>
                </a:cubicBezTo>
                <a:cubicBezTo>
                  <a:pt x="30" y="13"/>
                  <a:pt x="30" y="13"/>
                  <a:pt x="30" y="13"/>
                </a:cubicBezTo>
                <a:cubicBezTo>
                  <a:pt x="33" y="13"/>
                  <a:pt x="34" y="14"/>
                  <a:pt x="34" y="16"/>
                </a:cubicBezTo>
                <a:cubicBezTo>
                  <a:pt x="34" y="17"/>
                  <a:pt x="34" y="18"/>
                  <a:pt x="34" y="19"/>
                </a:cubicBezTo>
                <a:cubicBezTo>
                  <a:pt x="33" y="19"/>
                  <a:pt x="32" y="20"/>
                  <a:pt x="31" y="20"/>
                </a:cubicBezTo>
                <a:cubicBezTo>
                  <a:pt x="31" y="20"/>
                  <a:pt x="31" y="20"/>
                  <a:pt x="31" y="20"/>
                </a:cubicBezTo>
                <a:cubicBezTo>
                  <a:pt x="32" y="20"/>
                  <a:pt x="33" y="21"/>
                  <a:pt x="33" y="22"/>
                </a:cubicBezTo>
                <a:cubicBezTo>
                  <a:pt x="34" y="24"/>
                  <a:pt x="34" y="24"/>
                  <a:pt x="34" y="24"/>
                </a:cubicBezTo>
                <a:cubicBezTo>
                  <a:pt x="35" y="25"/>
                  <a:pt x="35" y="25"/>
                  <a:pt x="35" y="25"/>
                </a:cubicBezTo>
                <a:cubicBezTo>
                  <a:pt x="36" y="26"/>
                  <a:pt x="36" y="26"/>
                  <a:pt x="36" y="26"/>
                </a:cubicBezTo>
                <a:lnTo>
                  <a:pt x="33" y="26"/>
                </a:lnTo>
                <a:close/>
                <a:moveTo>
                  <a:pt x="48" y="26"/>
                </a:moveTo>
                <a:cubicBezTo>
                  <a:pt x="40" y="26"/>
                  <a:pt x="40" y="26"/>
                  <a:pt x="40" y="26"/>
                </a:cubicBezTo>
                <a:cubicBezTo>
                  <a:pt x="40" y="13"/>
                  <a:pt x="40" y="13"/>
                  <a:pt x="40" y="13"/>
                </a:cubicBezTo>
                <a:cubicBezTo>
                  <a:pt x="47" y="13"/>
                  <a:pt x="47" y="13"/>
                  <a:pt x="47" y="13"/>
                </a:cubicBezTo>
                <a:cubicBezTo>
                  <a:pt x="47" y="15"/>
                  <a:pt x="47" y="15"/>
                  <a:pt x="47" y="15"/>
                </a:cubicBezTo>
                <a:cubicBezTo>
                  <a:pt x="43" y="15"/>
                  <a:pt x="43" y="15"/>
                  <a:pt x="43" y="15"/>
                </a:cubicBezTo>
                <a:cubicBezTo>
                  <a:pt x="43" y="18"/>
                  <a:pt x="43" y="18"/>
                  <a:pt x="43" y="18"/>
                </a:cubicBezTo>
                <a:cubicBezTo>
                  <a:pt x="47" y="18"/>
                  <a:pt x="47" y="18"/>
                  <a:pt x="47" y="18"/>
                </a:cubicBezTo>
                <a:cubicBezTo>
                  <a:pt x="47" y="21"/>
                  <a:pt x="47" y="21"/>
                  <a:pt x="47" y="21"/>
                </a:cubicBezTo>
                <a:cubicBezTo>
                  <a:pt x="43" y="21"/>
                  <a:pt x="43" y="21"/>
                  <a:pt x="43" y="21"/>
                </a:cubicBezTo>
                <a:cubicBezTo>
                  <a:pt x="43" y="24"/>
                  <a:pt x="43" y="24"/>
                  <a:pt x="43" y="24"/>
                </a:cubicBezTo>
                <a:cubicBezTo>
                  <a:pt x="48" y="24"/>
                  <a:pt x="48" y="24"/>
                  <a:pt x="48" y="24"/>
                </a:cubicBezTo>
                <a:lnTo>
                  <a:pt x="48" y="26"/>
                </a:lnTo>
                <a:close/>
                <a:moveTo>
                  <a:pt x="59" y="26"/>
                </a:moveTo>
                <a:cubicBezTo>
                  <a:pt x="58" y="26"/>
                  <a:pt x="57" y="27"/>
                  <a:pt x="55" y="27"/>
                </a:cubicBezTo>
                <a:cubicBezTo>
                  <a:pt x="54" y="27"/>
                  <a:pt x="53" y="26"/>
                  <a:pt x="52" y="26"/>
                </a:cubicBezTo>
                <a:cubicBezTo>
                  <a:pt x="52" y="23"/>
                  <a:pt x="52" y="23"/>
                  <a:pt x="52" y="23"/>
                </a:cubicBezTo>
                <a:cubicBezTo>
                  <a:pt x="53" y="24"/>
                  <a:pt x="54" y="24"/>
                  <a:pt x="55" y="24"/>
                </a:cubicBezTo>
                <a:cubicBezTo>
                  <a:pt x="56" y="24"/>
                  <a:pt x="57" y="24"/>
                  <a:pt x="57" y="24"/>
                </a:cubicBezTo>
                <a:cubicBezTo>
                  <a:pt x="58" y="24"/>
                  <a:pt x="58" y="23"/>
                  <a:pt x="58" y="23"/>
                </a:cubicBezTo>
                <a:cubicBezTo>
                  <a:pt x="58" y="23"/>
                  <a:pt x="58" y="22"/>
                  <a:pt x="57" y="22"/>
                </a:cubicBezTo>
                <a:cubicBezTo>
                  <a:pt x="57" y="21"/>
                  <a:pt x="56" y="21"/>
                  <a:pt x="55" y="20"/>
                </a:cubicBezTo>
                <a:cubicBezTo>
                  <a:pt x="53" y="20"/>
                  <a:pt x="51" y="18"/>
                  <a:pt x="51" y="16"/>
                </a:cubicBezTo>
                <a:cubicBezTo>
                  <a:pt x="51" y="15"/>
                  <a:pt x="52" y="14"/>
                  <a:pt x="53" y="14"/>
                </a:cubicBezTo>
                <a:cubicBezTo>
                  <a:pt x="54" y="13"/>
                  <a:pt x="55" y="12"/>
                  <a:pt x="57" y="12"/>
                </a:cubicBezTo>
                <a:cubicBezTo>
                  <a:pt x="58" y="12"/>
                  <a:pt x="59" y="13"/>
                  <a:pt x="60" y="13"/>
                </a:cubicBezTo>
                <a:cubicBezTo>
                  <a:pt x="60" y="16"/>
                  <a:pt x="60" y="16"/>
                  <a:pt x="60" y="16"/>
                </a:cubicBezTo>
                <a:cubicBezTo>
                  <a:pt x="59" y="15"/>
                  <a:pt x="58" y="15"/>
                  <a:pt x="57" y="15"/>
                </a:cubicBezTo>
                <a:cubicBezTo>
                  <a:pt x="56" y="15"/>
                  <a:pt x="56" y="15"/>
                  <a:pt x="55" y="15"/>
                </a:cubicBezTo>
                <a:cubicBezTo>
                  <a:pt x="55" y="15"/>
                  <a:pt x="55" y="16"/>
                  <a:pt x="55" y="16"/>
                </a:cubicBezTo>
                <a:cubicBezTo>
                  <a:pt x="55" y="17"/>
                  <a:pt x="55" y="17"/>
                  <a:pt x="55" y="17"/>
                </a:cubicBezTo>
                <a:cubicBezTo>
                  <a:pt x="55" y="18"/>
                  <a:pt x="56" y="18"/>
                  <a:pt x="57" y="18"/>
                </a:cubicBezTo>
                <a:cubicBezTo>
                  <a:pt x="59" y="19"/>
                  <a:pt x="60" y="20"/>
                  <a:pt x="60" y="20"/>
                </a:cubicBezTo>
                <a:cubicBezTo>
                  <a:pt x="61" y="21"/>
                  <a:pt x="61" y="22"/>
                  <a:pt x="61" y="23"/>
                </a:cubicBezTo>
                <a:cubicBezTo>
                  <a:pt x="61" y="24"/>
                  <a:pt x="60" y="25"/>
                  <a:pt x="59" y="26"/>
                </a:cubicBezTo>
                <a:close/>
                <a:moveTo>
                  <a:pt x="75" y="15"/>
                </a:moveTo>
                <a:cubicBezTo>
                  <a:pt x="71" y="15"/>
                  <a:pt x="71" y="15"/>
                  <a:pt x="71" y="15"/>
                </a:cubicBezTo>
                <a:cubicBezTo>
                  <a:pt x="71" y="26"/>
                  <a:pt x="71" y="26"/>
                  <a:pt x="71" y="26"/>
                </a:cubicBezTo>
                <a:cubicBezTo>
                  <a:pt x="68" y="26"/>
                  <a:pt x="68" y="26"/>
                  <a:pt x="68" y="26"/>
                </a:cubicBezTo>
                <a:cubicBezTo>
                  <a:pt x="68" y="15"/>
                  <a:pt x="68" y="15"/>
                  <a:pt x="68" y="15"/>
                </a:cubicBezTo>
                <a:cubicBezTo>
                  <a:pt x="64" y="15"/>
                  <a:pt x="64" y="15"/>
                  <a:pt x="64" y="15"/>
                </a:cubicBezTo>
                <a:cubicBezTo>
                  <a:pt x="64" y="13"/>
                  <a:pt x="64" y="13"/>
                  <a:pt x="64" y="13"/>
                </a:cubicBezTo>
                <a:cubicBezTo>
                  <a:pt x="75" y="13"/>
                  <a:pt x="75" y="13"/>
                  <a:pt x="75" y="13"/>
                </a:cubicBezTo>
                <a:lnTo>
                  <a:pt x="75" y="15"/>
                </a:lnTo>
                <a:close/>
                <a:moveTo>
                  <a:pt x="88" y="26"/>
                </a:moveTo>
                <a:cubicBezTo>
                  <a:pt x="87" y="23"/>
                  <a:pt x="87" y="23"/>
                  <a:pt x="87" y="23"/>
                </a:cubicBezTo>
                <a:cubicBezTo>
                  <a:pt x="82" y="23"/>
                  <a:pt x="82" y="23"/>
                  <a:pt x="82" y="23"/>
                </a:cubicBezTo>
                <a:cubicBezTo>
                  <a:pt x="81" y="26"/>
                  <a:pt x="81" y="26"/>
                  <a:pt x="81" y="26"/>
                </a:cubicBezTo>
                <a:cubicBezTo>
                  <a:pt x="77" y="26"/>
                  <a:pt x="77" y="26"/>
                  <a:pt x="77" y="26"/>
                </a:cubicBezTo>
                <a:cubicBezTo>
                  <a:pt x="82" y="13"/>
                  <a:pt x="82" y="13"/>
                  <a:pt x="82" y="13"/>
                </a:cubicBezTo>
                <a:cubicBezTo>
                  <a:pt x="86" y="13"/>
                  <a:pt x="86" y="13"/>
                  <a:pt x="86" y="13"/>
                </a:cubicBezTo>
                <a:cubicBezTo>
                  <a:pt x="91" y="26"/>
                  <a:pt x="91" y="26"/>
                  <a:pt x="91" y="26"/>
                </a:cubicBezTo>
                <a:lnTo>
                  <a:pt x="88" y="26"/>
                </a:lnTo>
                <a:close/>
                <a:moveTo>
                  <a:pt x="106" y="21"/>
                </a:moveTo>
                <a:cubicBezTo>
                  <a:pt x="106" y="25"/>
                  <a:pt x="104" y="27"/>
                  <a:pt x="100" y="27"/>
                </a:cubicBezTo>
                <a:cubicBezTo>
                  <a:pt x="96" y="27"/>
                  <a:pt x="95" y="25"/>
                  <a:pt x="95" y="21"/>
                </a:cubicBezTo>
                <a:cubicBezTo>
                  <a:pt x="95" y="13"/>
                  <a:pt x="95" y="13"/>
                  <a:pt x="95" y="13"/>
                </a:cubicBezTo>
                <a:cubicBezTo>
                  <a:pt x="98" y="13"/>
                  <a:pt x="98" y="13"/>
                  <a:pt x="98" y="13"/>
                </a:cubicBezTo>
                <a:cubicBezTo>
                  <a:pt x="98" y="21"/>
                  <a:pt x="98" y="21"/>
                  <a:pt x="98" y="21"/>
                </a:cubicBezTo>
                <a:cubicBezTo>
                  <a:pt x="98" y="23"/>
                  <a:pt x="98" y="24"/>
                  <a:pt x="100" y="24"/>
                </a:cubicBezTo>
                <a:cubicBezTo>
                  <a:pt x="102" y="24"/>
                  <a:pt x="103" y="23"/>
                  <a:pt x="103" y="21"/>
                </a:cubicBezTo>
                <a:cubicBezTo>
                  <a:pt x="103" y="13"/>
                  <a:pt x="103" y="13"/>
                  <a:pt x="103" y="13"/>
                </a:cubicBezTo>
                <a:cubicBezTo>
                  <a:pt x="106" y="13"/>
                  <a:pt x="106" y="13"/>
                  <a:pt x="106" y="13"/>
                </a:cubicBezTo>
                <a:lnTo>
                  <a:pt x="106" y="21"/>
                </a:lnTo>
                <a:close/>
                <a:moveTo>
                  <a:pt x="119" y="26"/>
                </a:moveTo>
                <a:cubicBezTo>
                  <a:pt x="117" y="23"/>
                  <a:pt x="117" y="23"/>
                  <a:pt x="117" y="23"/>
                </a:cubicBezTo>
                <a:cubicBezTo>
                  <a:pt x="116" y="22"/>
                  <a:pt x="116" y="22"/>
                  <a:pt x="116" y="21"/>
                </a:cubicBezTo>
                <a:cubicBezTo>
                  <a:pt x="116" y="21"/>
                  <a:pt x="115" y="21"/>
                  <a:pt x="115" y="21"/>
                </a:cubicBezTo>
                <a:cubicBezTo>
                  <a:pt x="114" y="21"/>
                  <a:pt x="114" y="21"/>
                  <a:pt x="114" y="21"/>
                </a:cubicBezTo>
                <a:cubicBezTo>
                  <a:pt x="114" y="26"/>
                  <a:pt x="114" y="26"/>
                  <a:pt x="114" y="26"/>
                </a:cubicBezTo>
                <a:cubicBezTo>
                  <a:pt x="111" y="26"/>
                  <a:pt x="111" y="26"/>
                  <a:pt x="111" y="26"/>
                </a:cubicBezTo>
                <a:cubicBezTo>
                  <a:pt x="111" y="13"/>
                  <a:pt x="111" y="13"/>
                  <a:pt x="111" y="13"/>
                </a:cubicBezTo>
                <a:cubicBezTo>
                  <a:pt x="116" y="13"/>
                  <a:pt x="116" y="13"/>
                  <a:pt x="116" y="13"/>
                </a:cubicBezTo>
                <a:cubicBezTo>
                  <a:pt x="119" y="13"/>
                  <a:pt x="121" y="14"/>
                  <a:pt x="121" y="16"/>
                </a:cubicBezTo>
                <a:cubicBezTo>
                  <a:pt x="121" y="17"/>
                  <a:pt x="121" y="18"/>
                  <a:pt x="120" y="19"/>
                </a:cubicBezTo>
                <a:cubicBezTo>
                  <a:pt x="119" y="19"/>
                  <a:pt x="119" y="20"/>
                  <a:pt x="118" y="20"/>
                </a:cubicBezTo>
                <a:cubicBezTo>
                  <a:pt x="118" y="20"/>
                  <a:pt x="118" y="20"/>
                  <a:pt x="118" y="20"/>
                </a:cubicBezTo>
                <a:cubicBezTo>
                  <a:pt x="118" y="20"/>
                  <a:pt x="119" y="21"/>
                  <a:pt x="120" y="22"/>
                </a:cubicBezTo>
                <a:cubicBezTo>
                  <a:pt x="122" y="26"/>
                  <a:pt x="122" y="26"/>
                  <a:pt x="122" y="26"/>
                </a:cubicBezTo>
                <a:lnTo>
                  <a:pt x="119" y="26"/>
                </a:lnTo>
                <a:close/>
                <a:moveTo>
                  <a:pt x="135" y="26"/>
                </a:moveTo>
                <a:cubicBezTo>
                  <a:pt x="134" y="23"/>
                  <a:pt x="134" y="23"/>
                  <a:pt x="134" y="23"/>
                </a:cubicBezTo>
                <a:cubicBezTo>
                  <a:pt x="129" y="23"/>
                  <a:pt x="129" y="23"/>
                  <a:pt x="129" y="23"/>
                </a:cubicBezTo>
                <a:cubicBezTo>
                  <a:pt x="128" y="26"/>
                  <a:pt x="128" y="26"/>
                  <a:pt x="128" y="26"/>
                </a:cubicBezTo>
                <a:cubicBezTo>
                  <a:pt x="125" y="26"/>
                  <a:pt x="125" y="26"/>
                  <a:pt x="125" y="26"/>
                </a:cubicBezTo>
                <a:cubicBezTo>
                  <a:pt x="130" y="13"/>
                  <a:pt x="130" y="13"/>
                  <a:pt x="130" y="13"/>
                </a:cubicBezTo>
                <a:cubicBezTo>
                  <a:pt x="133" y="13"/>
                  <a:pt x="133" y="13"/>
                  <a:pt x="133" y="13"/>
                </a:cubicBezTo>
                <a:cubicBezTo>
                  <a:pt x="138" y="26"/>
                  <a:pt x="138" y="26"/>
                  <a:pt x="138" y="26"/>
                </a:cubicBezTo>
                <a:lnTo>
                  <a:pt x="135" y="26"/>
                </a:lnTo>
                <a:close/>
                <a:moveTo>
                  <a:pt x="154" y="26"/>
                </a:moveTo>
                <a:cubicBezTo>
                  <a:pt x="151" y="26"/>
                  <a:pt x="151" y="26"/>
                  <a:pt x="151" y="26"/>
                </a:cubicBezTo>
                <a:cubicBezTo>
                  <a:pt x="145" y="18"/>
                  <a:pt x="145" y="18"/>
                  <a:pt x="145" y="18"/>
                </a:cubicBezTo>
                <a:cubicBezTo>
                  <a:pt x="145" y="17"/>
                  <a:pt x="145" y="17"/>
                  <a:pt x="145" y="16"/>
                </a:cubicBezTo>
                <a:cubicBezTo>
                  <a:pt x="145" y="16"/>
                  <a:pt x="145" y="16"/>
                  <a:pt x="145" y="16"/>
                </a:cubicBezTo>
                <a:cubicBezTo>
                  <a:pt x="145" y="17"/>
                  <a:pt x="145" y="18"/>
                  <a:pt x="145" y="19"/>
                </a:cubicBezTo>
                <a:cubicBezTo>
                  <a:pt x="145" y="26"/>
                  <a:pt x="145" y="26"/>
                  <a:pt x="145" y="26"/>
                </a:cubicBezTo>
                <a:cubicBezTo>
                  <a:pt x="142" y="26"/>
                  <a:pt x="142" y="26"/>
                  <a:pt x="142" y="26"/>
                </a:cubicBezTo>
                <a:cubicBezTo>
                  <a:pt x="142" y="13"/>
                  <a:pt x="142" y="13"/>
                  <a:pt x="142" y="13"/>
                </a:cubicBezTo>
                <a:cubicBezTo>
                  <a:pt x="145" y="13"/>
                  <a:pt x="145" y="13"/>
                  <a:pt x="145" y="13"/>
                </a:cubicBezTo>
                <a:cubicBezTo>
                  <a:pt x="151" y="21"/>
                  <a:pt x="151" y="21"/>
                  <a:pt x="151" y="21"/>
                </a:cubicBezTo>
                <a:cubicBezTo>
                  <a:pt x="151" y="22"/>
                  <a:pt x="151" y="22"/>
                  <a:pt x="151" y="22"/>
                </a:cubicBezTo>
                <a:cubicBezTo>
                  <a:pt x="151" y="22"/>
                  <a:pt x="151" y="22"/>
                  <a:pt x="151" y="22"/>
                </a:cubicBezTo>
                <a:cubicBezTo>
                  <a:pt x="151" y="22"/>
                  <a:pt x="151" y="21"/>
                  <a:pt x="151" y="21"/>
                </a:cubicBezTo>
                <a:cubicBezTo>
                  <a:pt x="151" y="13"/>
                  <a:pt x="151" y="13"/>
                  <a:pt x="151" y="13"/>
                </a:cubicBezTo>
                <a:cubicBezTo>
                  <a:pt x="154" y="13"/>
                  <a:pt x="154" y="13"/>
                  <a:pt x="154" y="13"/>
                </a:cubicBezTo>
                <a:lnTo>
                  <a:pt x="154" y="26"/>
                </a:lnTo>
                <a:close/>
                <a:moveTo>
                  <a:pt x="169" y="15"/>
                </a:moveTo>
                <a:cubicBezTo>
                  <a:pt x="165" y="15"/>
                  <a:pt x="165" y="15"/>
                  <a:pt x="165" y="15"/>
                </a:cubicBezTo>
                <a:cubicBezTo>
                  <a:pt x="165" y="26"/>
                  <a:pt x="165" y="26"/>
                  <a:pt x="165" y="26"/>
                </a:cubicBezTo>
                <a:cubicBezTo>
                  <a:pt x="162" y="26"/>
                  <a:pt x="162" y="26"/>
                  <a:pt x="162" y="26"/>
                </a:cubicBezTo>
                <a:cubicBezTo>
                  <a:pt x="162" y="15"/>
                  <a:pt x="162" y="15"/>
                  <a:pt x="162" y="15"/>
                </a:cubicBezTo>
                <a:cubicBezTo>
                  <a:pt x="158" y="15"/>
                  <a:pt x="158" y="15"/>
                  <a:pt x="158" y="15"/>
                </a:cubicBezTo>
                <a:cubicBezTo>
                  <a:pt x="158" y="13"/>
                  <a:pt x="158" y="13"/>
                  <a:pt x="158" y="13"/>
                </a:cubicBezTo>
                <a:cubicBezTo>
                  <a:pt x="169" y="13"/>
                  <a:pt x="169" y="13"/>
                  <a:pt x="169" y="13"/>
                </a:cubicBezTo>
                <a:lnTo>
                  <a:pt x="169" y="1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29" name="Freeform 33">
            <a:extLst>
              <a:ext uri="{FF2B5EF4-FFF2-40B4-BE49-F238E27FC236}">
                <a16:creationId xmlns:a16="http://schemas.microsoft.com/office/drawing/2014/main" id="{746BCFE0-44A7-E0C3-A92A-882907BC263B}"/>
              </a:ext>
            </a:extLst>
          </xdr:cNvPr>
          <xdr:cNvSpPr>
            <a:spLocks/>
          </xdr:cNvSpPr>
        </xdr:nvSpPr>
        <xdr:spPr bwMode="auto">
          <a:xfrm>
            <a:off x="454" y="60"/>
            <a:ext cx="16" cy="16"/>
          </a:xfrm>
          <a:custGeom>
            <a:avLst/>
            <a:gdLst>
              <a:gd name="T0" fmla="*/ 2 w 4"/>
              <a:gd name="T1" fmla="*/ 0 h 4"/>
              <a:gd name="T2" fmla="*/ 0 w 4"/>
              <a:gd name="T3" fmla="*/ 0 h 4"/>
              <a:gd name="T4" fmla="*/ 0 w 4"/>
              <a:gd name="T5" fmla="*/ 4 h 4"/>
              <a:gd name="T6" fmla="*/ 1 w 4"/>
              <a:gd name="T7" fmla="*/ 4 h 4"/>
              <a:gd name="T8" fmla="*/ 3 w 4"/>
              <a:gd name="T9" fmla="*/ 3 h 4"/>
              <a:gd name="T10" fmla="*/ 4 w 4"/>
              <a:gd name="T11" fmla="*/ 2 h 4"/>
              <a:gd name="T12" fmla="*/ 2 w 4"/>
              <a:gd name="T13" fmla="*/ 0 h 4"/>
            </a:gdLst>
            <a:ahLst/>
            <a:cxnLst>
              <a:cxn ang="0">
                <a:pos x="T0" y="T1"/>
              </a:cxn>
              <a:cxn ang="0">
                <a:pos x="T2" y="T3"/>
              </a:cxn>
              <a:cxn ang="0">
                <a:pos x="T4" y="T5"/>
              </a:cxn>
              <a:cxn ang="0">
                <a:pos x="T6" y="T7"/>
              </a:cxn>
              <a:cxn ang="0">
                <a:pos x="T8" y="T9"/>
              </a:cxn>
              <a:cxn ang="0">
                <a:pos x="T10" y="T11"/>
              </a:cxn>
              <a:cxn ang="0">
                <a:pos x="T12" y="T13"/>
              </a:cxn>
            </a:cxnLst>
            <a:rect l="0" t="0" r="r" b="b"/>
            <a:pathLst>
              <a:path w="4" h="4">
                <a:moveTo>
                  <a:pt x="2" y="0"/>
                </a:moveTo>
                <a:cubicBezTo>
                  <a:pt x="0" y="0"/>
                  <a:pt x="0" y="0"/>
                  <a:pt x="0" y="0"/>
                </a:cubicBezTo>
                <a:cubicBezTo>
                  <a:pt x="0" y="4"/>
                  <a:pt x="0" y="4"/>
                  <a:pt x="0" y="4"/>
                </a:cubicBezTo>
                <a:cubicBezTo>
                  <a:pt x="1" y="4"/>
                  <a:pt x="1" y="4"/>
                  <a:pt x="1" y="4"/>
                </a:cubicBezTo>
                <a:cubicBezTo>
                  <a:pt x="2" y="4"/>
                  <a:pt x="3" y="4"/>
                  <a:pt x="3" y="3"/>
                </a:cubicBezTo>
                <a:cubicBezTo>
                  <a:pt x="4" y="3"/>
                  <a:pt x="4" y="2"/>
                  <a:pt x="4" y="2"/>
                </a:cubicBezTo>
                <a:cubicBezTo>
                  <a:pt x="4" y="1"/>
                  <a:pt x="3" y="0"/>
                  <a:pt x="2" y="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0" name="Freeform 34">
            <a:extLst>
              <a:ext uri="{FF2B5EF4-FFF2-40B4-BE49-F238E27FC236}">
                <a16:creationId xmlns:a16="http://schemas.microsoft.com/office/drawing/2014/main" id="{9CB91F7F-A4EA-F8AF-D2FD-4E4E2E25698E}"/>
              </a:ext>
            </a:extLst>
          </xdr:cNvPr>
          <xdr:cNvSpPr>
            <a:spLocks/>
          </xdr:cNvSpPr>
        </xdr:nvSpPr>
        <xdr:spPr bwMode="auto">
          <a:xfrm>
            <a:off x="513" y="60"/>
            <a:ext cx="16" cy="24"/>
          </a:xfrm>
          <a:custGeom>
            <a:avLst/>
            <a:gdLst>
              <a:gd name="T0" fmla="*/ 2 w 4"/>
              <a:gd name="T1" fmla="*/ 0 h 6"/>
              <a:gd name="T2" fmla="*/ 2 w 4"/>
              <a:gd name="T3" fmla="*/ 0 h 6"/>
              <a:gd name="T4" fmla="*/ 2 w 4"/>
              <a:gd name="T5" fmla="*/ 1 h 6"/>
              <a:gd name="T6" fmla="*/ 0 w 4"/>
              <a:gd name="T7" fmla="*/ 6 h 6"/>
              <a:gd name="T8" fmla="*/ 4 w 4"/>
              <a:gd name="T9" fmla="*/ 6 h 6"/>
              <a:gd name="T10" fmla="*/ 2 w 4"/>
              <a:gd name="T11" fmla="*/ 1 h 6"/>
              <a:gd name="T12" fmla="*/ 2 w 4"/>
              <a:gd name="T13" fmla="*/ 0 h 6"/>
            </a:gdLst>
            <a:ahLst/>
            <a:cxnLst>
              <a:cxn ang="0">
                <a:pos x="T0" y="T1"/>
              </a:cxn>
              <a:cxn ang="0">
                <a:pos x="T2" y="T3"/>
              </a:cxn>
              <a:cxn ang="0">
                <a:pos x="T4" y="T5"/>
              </a:cxn>
              <a:cxn ang="0">
                <a:pos x="T6" y="T7"/>
              </a:cxn>
              <a:cxn ang="0">
                <a:pos x="T8" y="T9"/>
              </a:cxn>
              <a:cxn ang="0">
                <a:pos x="T10" y="T11"/>
              </a:cxn>
              <a:cxn ang="0">
                <a:pos x="T12" y="T13"/>
              </a:cxn>
            </a:cxnLst>
            <a:rect l="0" t="0" r="r" b="b"/>
            <a:pathLst>
              <a:path w="4" h="6">
                <a:moveTo>
                  <a:pt x="2" y="0"/>
                </a:moveTo>
                <a:cubicBezTo>
                  <a:pt x="2" y="0"/>
                  <a:pt x="2" y="0"/>
                  <a:pt x="2" y="0"/>
                </a:cubicBezTo>
                <a:cubicBezTo>
                  <a:pt x="2" y="0"/>
                  <a:pt x="2" y="1"/>
                  <a:pt x="2" y="1"/>
                </a:cubicBezTo>
                <a:cubicBezTo>
                  <a:pt x="0" y="6"/>
                  <a:pt x="0" y="6"/>
                  <a:pt x="0" y="6"/>
                </a:cubicBezTo>
                <a:cubicBezTo>
                  <a:pt x="4" y="6"/>
                  <a:pt x="4" y="6"/>
                  <a:pt x="4" y="6"/>
                </a:cubicBezTo>
                <a:cubicBezTo>
                  <a:pt x="2" y="1"/>
                  <a:pt x="2" y="1"/>
                  <a:pt x="2" y="1"/>
                </a:cubicBezTo>
                <a:cubicBezTo>
                  <a:pt x="2" y="1"/>
                  <a:pt x="2" y="1"/>
                  <a:pt x="2" y="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8</xdr:col>
      <xdr:colOff>421158</xdr:colOff>
      <xdr:row>88</xdr:row>
      <xdr:rowOff>160269</xdr:rowOff>
    </xdr:from>
    <xdr:to>
      <xdr:col>9</xdr:col>
      <xdr:colOff>546831</xdr:colOff>
      <xdr:row>92</xdr:row>
      <xdr:rowOff>148412</xdr:rowOff>
    </xdr:to>
    <xdr:grpSp>
      <xdr:nvGrpSpPr>
        <xdr:cNvPr id="131" name="グラフィックス 25">
          <a:extLst>
            <a:ext uri="{FF2B5EF4-FFF2-40B4-BE49-F238E27FC236}">
              <a16:creationId xmlns:a16="http://schemas.microsoft.com/office/drawing/2014/main" id="{F058CFF8-91C5-4830-B935-14D353366A97}"/>
            </a:ext>
          </a:extLst>
        </xdr:cNvPr>
        <xdr:cNvGrpSpPr>
          <a:grpSpLocks noChangeAspect="1"/>
        </xdr:cNvGrpSpPr>
      </xdr:nvGrpSpPr>
      <xdr:grpSpPr>
        <a:xfrm>
          <a:off x="8184033" y="19975444"/>
          <a:ext cx="1151198" cy="896193"/>
          <a:chOff x="0" y="0"/>
          <a:chExt cx="1977005" cy="1427321"/>
        </a:xfrm>
        <a:solidFill>
          <a:srgbClr val="0070C0"/>
        </a:solidFill>
      </xdr:grpSpPr>
      <xdr:sp macro="" textlink="">
        <xdr:nvSpPr>
          <xdr:cNvPr id="132" name="フリーフォーム: 図形 131">
            <a:extLst>
              <a:ext uri="{FF2B5EF4-FFF2-40B4-BE49-F238E27FC236}">
                <a16:creationId xmlns:a16="http://schemas.microsoft.com/office/drawing/2014/main" id="{683D8B5B-2C3C-FB2E-0B9D-DEC341D77250}"/>
              </a:ext>
            </a:extLst>
          </xdr:cNvPr>
          <xdr:cNvSpPr/>
        </xdr:nvSpPr>
        <xdr:spPr>
          <a:xfrm>
            <a:off x="0" y="1255874"/>
            <a:ext cx="409576" cy="171447"/>
          </a:xfrm>
          <a:custGeom>
            <a:avLst/>
            <a:gdLst>
              <a:gd name="connsiteX0" fmla="*/ 398717 w 409575"/>
              <a:gd name="connsiteY0" fmla="*/ 7144 h 171450"/>
              <a:gd name="connsiteX1" fmla="*/ 13621 w 409575"/>
              <a:gd name="connsiteY1" fmla="*/ 7144 h 171450"/>
              <a:gd name="connsiteX2" fmla="*/ 7144 w 409575"/>
              <a:gd name="connsiteY2" fmla="*/ 13811 h 171450"/>
              <a:gd name="connsiteX3" fmla="*/ 7144 w 409575"/>
              <a:gd name="connsiteY3" fmla="*/ 61531 h 171450"/>
              <a:gd name="connsiteX4" fmla="*/ 13621 w 409575"/>
              <a:gd name="connsiteY4" fmla="*/ 68199 h 171450"/>
              <a:gd name="connsiteX5" fmla="*/ 41434 w 409575"/>
              <a:gd name="connsiteY5" fmla="*/ 68199 h 171450"/>
              <a:gd name="connsiteX6" fmla="*/ 41434 w 409575"/>
              <a:gd name="connsiteY6" fmla="*/ 91630 h 171450"/>
              <a:gd name="connsiteX7" fmla="*/ 41434 w 409575"/>
              <a:gd name="connsiteY7" fmla="*/ 150495 h 171450"/>
              <a:gd name="connsiteX8" fmla="*/ 59436 w 409575"/>
              <a:gd name="connsiteY8" fmla="*/ 169069 h 171450"/>
              <a:gd name="connsiteX9" fmla="*/ 77438 w 409575"/>
              <a:gd name="connsiteY9" fmla="*/ 150495 h 171450"/>
              <a:gd name="connsiteX10" fmla="*/ 77438 w 409575"/>
              <a:gd name="connsiteY10" fmla="*/ 134588 h 171450"/>
              <a:gd name="connsiteX11" fmla="*/ 334899 w 409575"/>
              <a:gd name="connsiteY11" fmla="*/ 134588 h 171450"/>
              <a:gd name="connsiteX12" fmla="*/ 334899 w 409575"/>
              <a:gd name="connsiteY12" fmla="*/ 150495 h 171450"/>
              <a:gd name="connsiteX13" fmla="*/ 352901 w 409575"/>
              <a:gd name="connsiteY13" fmla="*/ 169069 h 171450"/>
              <a:gd name="connsiteX14" fmla="*/ 370904 w 409575"/>
              <a:gd name="connsiteY14" fmla="*/ 150495 h 171450"/>
              <a:gd name="connsiteX15" fmla="*/ 370904 w 409575"/>
              <a:gd name="connsiteY15" fmla="*/ 91630 h 171450"/>
              <a:gd name="connsiteX16" fmla="*/ 370904 w 409575"/>
              <a:gd name="connsiteY16" fmla="*/ 68199 h 171450"/>
              <a:gd name="connsiteX17" fmla="*/ 398717 w 409575"/>
              <a:gd name="connsiteY17" fmla="*/ 68199 h 171450"/>
              <a:gd name="connsiteX18" fmla="*/ 405194 w 409575"/>
              <a:gd name="connsiteY18" fmla="*/ 61531 h 171450"/>
              <a:gd name="connsiteX19" fmla="*/ 405194 w 409575"/>
              <a:gd name="connsiteY19" fmla="*/ 13811 h 171450"/>
              <a:gd name="connsiteX20" fmla="*/ 398717 w 409575"/>
              <a:gd name="connsiteY20" fmla="*/ 7144 h 171450"/>
              <a:gd name="connsiteX21" fmla="*/ 334899 w 409575"/>
              <a:gd name="connsiteY21" fmla="*/ 91630 h 171450"/>
              <a:gd name="connsiteX22" fmla="*/ 334899 w 409575"/>
              <a:gd name="connsiteY22" fmla="*/ 115919 h 171450"/>
              <a:gd name="connsiteX23" fmla="*/ 77438 w 409575"/>
              <a:gd name="connsiteY23" fmla="*/ 115919 h 171450"/>
              <a:gd name="connsiteX24" fmla="*/ 77438 w 409575"/>
              <a:gd name="connsiteY24" fmla="*/ 91630 h 171450"/>
              <a:gd name="connsiteX25" fmla="*/ 77438 w 409575"/>
              <a:gd name="connsiteY25" fmla="*/ 68199 h 171450"/>
              <a:gd name="connsiteX26" fmla="*/ 334899 w 409575"/>
              <a:gd name="connsiteY26" fmla="*/ 68199 h 171450"/>
              <a:gd name="connsiteX27" fmla="*/ 334899 w 409575"/>
              <a:gd name="connsiteY27" fmla="*/ 91630 h 171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409575" h="171450">
                <a:moveTo>
                  <a:pt x="398717" y="7144"/>
                </a:moveTo>
                <a:lnTo>
                  <a:pt x="13621" y="7144"/>
                </a:lnTo>
                <a:cubicBezTo>
                  <a:pt x="10097" y="7144"/>
                  <a:pt x="7144" y="10096"/>
                  <a:pt x="7144" y="13811"/>
                </a:cubicBezTo>
                <a:lnTo>
                  <a:pt x="7144" y="61531"/>
                </a:lnTo>
                <a:cubicBezTo>
                  <a:pt x="7144" y="65246"/>
                  <a:pt x="10001" y="68199"/>
                  <a:pt x="13621" y="68199"/>
                </a:cubicBezTo>
                <a:lnTo>
                  <a:pt x="41434" y="68199"/>
                </a:lnTo>
                <a:lnTo>
                  <a:pt x="41434" y="91630"/>
                </a:lnTo>
                <a:lnTo>
                  <a:pt x="41434" y="150495"/>
                </a:lnTo>
                <a:cubicBezTo>
                  <a:pt x="41434" y="160782"/>
                  <a:pt x="49530" y="169069"/>
                  <a:pt x="59436" y="169069"/>
                </a:cubicBezTo>
                <a:cubicBezTo>
                  <a:pt x="69437" y="169069"/>
                  <a:pt x="77438" y="160782"/>
                  <a:pt x="77438" y="150495"/>
                </a:cubicBezTo>
                <a:lnTo>
                  <a:pt x="77438" y="134588"/>
                </a:lnTo>
                <a:lnTo>
                  <a:pt x="334899" y="134588"/>
                </a:lnTo>
                <a:lnTo>
                  <a:pt x="334899" y="150495"/>
                </a:lnTo>
                <a:cubicBezTo>
                  <a:pt x="334899" y="160782"/>
                  <a:pt x="342995" y="169069"/>
                  <a:pt x="352901" y="169069"/>
                </a:cubicBezTo>
                <a:cubicBezTo>
                  <a:pt x="362903" y="169069"/>
                  <a:pt x="370904" y="160782"/>
                  <a:pt x="370904" y="150495"/>
                </a:cubicBezTo>
                <a:lnTo>
                  <a:pt x="370904" y="91630"/>
                </a:lnTo>
                <a:lnTo>
                  <a:pt x="370904" y="68199"/>
                </a:lnTo>
                <a:lnTo>
                  <a:pt x="398717" y="68199"/>
                </a:lnTo>
                <a:cubicBezTo>
                  <a:pt x="402241" y="68199"/>
                  <a:pt x="405194" y="65246"/>
                  <a:pt x="405194" y="61531"/>
                </a:cubicBezTo>
                <a:lnTo>
                  <a:pt x="405194" y="13811"/>
                </a:lnTo>
                <a:cubicBezTo>
                  <a:pt x="405098" y="10096"/>
                  <a:pt x="402241" y="7144"/>
                  <a:pt x="398717" y="7144"/>
                </a:cubicBezTo>
                <a:close/>
                <a:moveTo>
                  <a:pt x="334899" y="91630"/>
                </a:moveTo>
                <a:lnTo>
                  <a:pt x="334899" y="115919"/>
                </a:lnTo>
                <a:lnTo>
                  <a:pt x="77438" y="115919"/>
                </a:lnTo>
                <a:lnTo>
                  <a:pt x="77438" y="91630"/>
                </a:lnTo>
                <a:lnTo>
                  <a:pt x="77438" y="68199"/>
                </a:lnTo>
                <a:lnTo>
                  <a:pt x="334899" y="68199"/>
                </a:lnTo>
                <a:lnTo>
                  <a:pt x="334899" y="91630"/>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3" name="フリーフォーム: 図形 132">
            <a:extLst>
              <a:ext uri="{FF2B5EF4-FFF2-40B4-BE49-F238E27FC236}">
                <a16:creationId xmlns:a16="http://schemas.microsoft.com/office/drawing/2014/main" id="{66C383C4-2FD3-968B-C656-FDB48596EA3C}"/>
              </a:ext>
            </a:extLst>
          </xdr:cNvPr>
          <xdr:cNvSpPr/>
        </xdr:nvSpPr>
        <xdr:spPr>
          <a:xfrm>
            <a:off x="1505049" y="1392557"/>
            <a:ext cx="152401" cy="19047"/>
          </a:xfrm>
          <a:custGeom>
            <a:avLst/>
            <a:gdLst>
              <a:gd name="connsiteX0" fmla="*/ 7144 w 152400"/>
              <a:gd name="connsiteY0" fmla="*/ 7144 h 19050"/>
              <a:gd name="connsiteX1" fmla="*/ 145351 w 152400"/>
              <a:gd name="connsiteY1" fmla="*/ 7144 h 19050"/>
              <a:gd name="connsiteX2" fmla="*/ 145351 w 152400"/>
              <a:gd name="connsiteY2" fmla="*/ 17526 h 19050"/>
              <a:gd name="connsiteX3" fmla="*/ 7144 w 152400"/>
              <a:gd name="connsiteY3" fmla="*/ 17526 h 19050"/>
            </a:gdLst>
            <a:ahLst/>
            <a:cxnLst>
              <a:cxn ang="0">
                <a:pos x="connsiteX0" y="connsiteY0"/>
              </a:cxn>
              <a:cxn ang="0">
                <a:pos x="connsiteX1" y="connsiteY1"/>
              </a:cxn>
              <a:cxn ang="0">
                <a:pos x="connsiteX2" y="connsiteY2"/>
              </a:cxn>
              <a:cxn ang="0">
                <a:pos x="connsiteX3" y="connsiteY3"/>
              </a:cxn>
            </a:cxnLst>
            <a:rect l="l" t="t" r="r" b="b"/>
            <a:pathLst>
              <a:path w="152400" h="19050">
                <a:moveTo>
                  <a:pt x="7144" y="7144"/>
                </a:moveTo>
                <a:lnTo>
                  <a:pt x="145351" y="7144"/>
                </a:lnTo>
                <a:lnTo>
                  <a:pt x="145351" y="17526"/>
                </a:lnTo>
                <a:lnTo>
                  <a:pt x="7144" y="17526"/>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4" name="フリーフォーム: 図形 133">
            <a:extLst>
              <a:ext uri="{FF2B5EF4-FFF2-40B4-BE49-F238E27FC236}">
                <a16:creationId xmlns:a16="http://schemas.microsoft.com/office/drawing/2014/main" id="{604C963B-EE6E-4C09-434A-16A1E5FBC37A}"/>
              </a:ext>
            </a:extLst>
          </xdr:cNvPr>
          <xdr:cNvSpPr/>
        </xdr:nvSpPr>
        <xdr:spPr>
          <a:xfrm>
            <a:off x="1442973" y="674982"/>
            <a:ext cx="276227" cy="723900"/>
          </a:xfrm>
          <a:custGeom>
            <a:avLst/>
            <a:gdLst>
              <a:gd name="connsiteX0" fmla="*/ 164943 w 276225"/>
              <a:gd name="connsiteY0" fmla="*/ 266851 h 723900"/>
              <a:gd name="connsiteX1" fmla="*/ 269623 w 276225"/>
              <a:gd name="connsiteY1" fmla="*/ 138359 h 723900"/>
              <a:gd name="connsiteX2" fmla="*/ 229046 w 276225"/>
              <a:gd name="connsiteY2" fmla="*/ 43490 h 723900"/>
              <a:gd name="connsiteX3" fmla="*/ 132177 w 276225"/>
              <a:gd name="connsiteY3" fmla="*/ 7295 h 723900"/>
              <a:gd name="connsiteX4" fmla="*/ 7209 w 276225"/>
              <a:gd name="connsiteY4" fmla="*/ 134263 h 723900"/>
              <a:gd name="connsiteX5" fmla="*/ 111889 w 276225"/>
              <a:gd name="connsiteY5" fmla="*/ 266946 h 723900"/>
              <a:gd name="connsiteX6" fmla="*/ 122652 w 276225"/>
              <a:gd name="connsiteY6" fmla="*/ 269137 h 723900"/>
              <a:gd name="connsiteX7" fmla="*/ 122652 w 276225"/>
              <a:gd name="connsiteY7" fmla="*/ 702048 h 723900"/>
              <a:gd name="connsiteX8" fmla="*/ 69217 w 276225"/>
              <a:gd name="connsiteY8" fmla="*/ 702048 h 723900"/>
              <a:gd name="connsiteX9" fmla="*/ 69217 w 276225"/>
              <a:gd name="connsiteY9" fmla="*/ 724718 h 723900"/>
              <a:gd name="connsiteX10" fmla="*/ 207425 w 276225"/>
              <a:gd name="connsiteY10" fmla="*/ 724718 h 723900"/>
              <a:gd name="connsiteX11" fmla="*/ 207425 w 276225"/>
              <a:gd name="connsiteY11" fmla="*/ 702048 h 723900"/>
              <a:gd name="connsiteX12" fmla="*/ 154085 w 276225"/>
              <a:gd name="connsiteY12" fmla="*/ 702048 h 723900"/>
              <a:gd name="connsiteX13" fmla="*/ 154085 w 276225"/>
              <a:gd name="connsiteY13" fmla="*/ 269042 h 723900"/>
              <a:gd name="connsiteX14" fmla="*/ 164943 w 276225"/>
              <a:gd name="connsiteY14" fmla="*/ 266851 h 723900"/>
              <a:gd name="connsiteX15" fmla="*/ 138749 w 276225"/>
              <a:gd name="connsiteY15" fmla="*/ 242181 h 723900"/>
              <a:gd name="connsiteX16" fmla="*/ 31689 w 276225"/>
              <a:gd name="connsiteY16" fmla="*/ 135120 h 723900"/>
              <a:gd name="connsiteX17" fmla="*/ 138749 w 276225"/>
              <a:gd name="connsiteY17" fmla="*/ 28059 h 723900"/>
              <a:gd name="connsiteX18" fmla="*/ 245811 w 276225"/>
              <a:gd name="connsiteY18" fmla="*/ 135120 h 723900"/>
              <a:gd name="connsiteX19" fmla="*/ 138749 w 276225"/>
              <a:gd name="connsiteY19" fmla="*/ 242181 h 723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276225" h="723900">
                <a:moveTo>
                  <a:pt x="164943" y="266851"/>
                </a:moveTo>
                <a:cubicBezTo>
                  <a:pt x="225617" y="254373"/>
                  <a:pt x="269623" y="200366"/>
                  <a:pt x="269623" y="138359"/>
                </a:cubicBezTo>
                <a:cubicBezTo>
                  <a:pt x="269623" y="102164"/>
                  <a:pt x="255240" y="68445"/>
                  <a:pt x="229046" y="43490"/>
                </a:cubicBezTo>
                <a:cubicBezTo>
                  <a:pt x="202853" y="18534"/>
                  <a:pt x="168563" y="5580"/>
                  <a:pt x="132177" y="7295"/>
                </a:cubicBezTo>
                <a:cubicBezTo>
                  <a:pt x="64169" y="10438"/>
                  <a:pt x="9305" y="66159"/>
                  <a:pt x="7209" y="134263"/>
                </a:cubicBezTo>
                <a:cubicBezTo>
                  <a:pt x="5209" y="198271"/>
                  <a:pt x="49215" y="254087"/>
                  <a:pt x="111889" y="266946"/>
                </a:cubicBezTo>
                <a:lnTo>
                  <a:pt x="122652" y="269137"/>
                </a:lnTo>
                <a:lnTo>
                  <a:pt x="122652" y="702048"/>
                </a:lnTo>
                <a:lnTo>
                  <a:pt x="69217" y="702048"/>
                </a:lnTo>
                <a:lnTo>
                  <a:pt x="69217" y="724718"/>
                </a:lnTo>
                <a:lnTo>
                  <a:pt x="207425" y="724718"/>
                </a:lnTo>
                <a:lnTo>
                  <a:pt x="207425" y="702048"/>
                </a:lnTo>
                <a:lnTo>
                  <a:pt x="154085" y="702048"/>
                </a:lnTo>
                <a:lnTo>
                  <a:pt x="154085" y="269042"/>
                </a:lnTo>
                <a:lnTo>
                  <a:pt x="164943" y="266851"/>
                </a:lnTo>
                <a:close/>
                <a:moveTo>
                  <a:pt x="138749" y="242181"/>
                </a:moveTo>
                <a:cubicBezTo>
                  <a:pt x="79599" y="242181"/>
                  <a:pt x="31689" y="194270"/>
                  <a:pt x="31689" y="135120"/>
                </a:cubicBezTo>
                <a:cubicBezTo>
                  <a:pt x="31689" y="75970"/>
                  <a:pt x="79599" y="28059"/>
                  <a:pt x="138749" y="28059"/>
                </a:cubicBezTo>
                <a:cubicBezTo>
                  <a:pt x="197900" y="28059"/>
                  <a:pt x="245811" y="75970"/>
                  <a:pt x="245811" y="135120"/>
                </a:cubicBezTo>
                <a:cubicBezTo>
                  <a:pt x="245811" y="194270"/>
                  <a:pt x="197900" y="242181"/>
                  <a:pt x="138749" y="242181"/>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5" name="フリーフォーム: 図形 134">
            <a:extLst>
              <a:ext uri="{FF2B5EF4-FFF2-40B4-BE49-F238E27FC236}">
                <a16:creationId xmlns:a16="http://schemas.microsoft.com/office/drawing/2014/main" id="{EE111473-0BF9-C3AA-696A-C5065F017CBF}"/>
              </a:ext>
            </a:extLst>
          </xdr:cNvPr>
          <xdr:cNvSpPr/>
        </xdr:nvSpPr>
        <xdr:spPr>
          <a:xfrm>
            <a:off x="1560292" y="711428"/>
            <a:ext cx="38098" cy="104775"/>
          </a:xfrm>
          <a:custGeom>
            <a:avLst/>
            <a:gdLst>
              <a:gd name="connsiteX0" fmla="*/ 20669 w 38100"/>
              <a:gd name="connsiteY0" fmla="*/ 105727 h 104775"/>
              <a:gd name="connsiteX1" fmla="*/ 7144 w 38100"/>
              <a:gd name="connsiteY1" fmla="*/ 92202 h 104775"/>
              <a:gd name="connsiteX2" fmla="*/ 7144 w 38100"/>
              <a:gd name="connsiteY2" fmla="*/ 20669 h 104775"/>
              <a:gd name="connsiteX3" fmla="*/ 20669 w 38100"/>
              <a:gd name="connsiteY3" fmla="*/ 7144 h 104775"/>
              <a:gd name="connsiteX4" fmla="*/ 34195 w 38100"/>
              <a:gd name="connsiteY4" fmla="*/ 20669 h 104775"/>
              <a:gd name="connsiteX5" fmla="*/ 34195 w 38100"/>
              <a:gd name="connsiteY5" fmla="*/ 92202 h 104775"/>
              <a:gd name="connsiteX6" fmla="*/ 20669 w 38100"/>
              <a:gd name="connsiteY6" fmla="*/ 105727 h 104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8100" h="104775">
                <a:moveTo>
                  <a:pt x="20669" y="105727"/>
                </a:moveTo>
                <a:cubicBezTo>
                  <a:pt x="13240" y="105727"/>
                  <a:pt x="7144" y="99727"/>
                  <a:pt x="7144" y="92202"/>
                </a:cubicBezTo>
                <a:lnTo>
                  <a:pt x="7144" y="20669"/>
                </a:lnTo>
                <a:cubicBezTo>
                  <a:pt x="7144" y="13240"/>
                  <a:pt x="13145" y="7144"/>
                  <a:pt x="20669" y="7144"/>
                </a:cubicBezTo>
                <a:cubicBezTo>
                  <a:pt x="28194" y="7144"/>
                  <a:pt x="34195" y="13144"/>
                  <a:pt x="34195" y="20669"/>
                </a:cubicBezTo>
                <a:lnTo>
                  <a:pt x="34195" y="92202"/>
                </a:lnTo>
                <a:cubicBezTo>
                  <a:pt x="34195" y="99631"/>
                  <a:pt x="28099" y="105727"/>
                  <a:pt x="20669" y="105727"/>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6" name="フリーフォーム: 図形 135">
            <a:extLst>
              <a:ext uri="{FF2B5EF4-FFF2-40B4-BE49-F238E27FC236}">
                <a16:creationId xmlns:a16="http://schemas.microsoft.com/office/drawing/2014/main" id="{5AC10842-36B6-7A8F-15D0-04872CF8056D}"/>
              </a:ext>
            </a:extLst>
          </xdr:cNvPr>
          <xdr:cNvSpPr/>
        </xdr:nvSpPr>
        <xdr:spPr>
          <a:xfrm>
            <a:off x="1560770" y="782959"/>
            <a:ext cx="104775" cy="38098"/>
          </a:xfrm>
          <a:custGeom>
            <a:avLst/>
            <a:gdLst>
              <a:gd name="connsiteX0" fmla="*/ 92202 w 104775"/>
              <a:gd name="connsiteY0" fmla="*/ 34195 h 38100"/>
              <a:gd name="connsiteX1" fmla="*/ 20669 w 104775"/>
              <a:gd name="connsiteY1" fmla="*/ 34195 h 38100"/>
              <a:gd name="connsiteX2" fmla="*/ 7144 w 104775"/>
              <a:gd name="connsiteY2" fmla="*/ 20669 h 38100"/>
              <a:gd name="connsiteX3" fmla="*/ 20669 w 104775"/>
              <a:gd name="connsiteY3" fmla="*/ 7144 h 38100"/>
              <a:gd name="connsiteX4" fmla="*/ 92202 w 104775"/>
              <a:gd name="connsiteY4" fmla="*/ 7144 h 38100"/>
              <a:gd name="connsiteX5" fmla="*/ 105728 w 104775"/>
              <a:gd name="connsiteY5" fmla="*/ 20669 h 38100"/>
              <a:gd name="connsiteX6" fmla="*/ 92202 w 104775"/>
              <a:gd name="connsiteY6" fmla="*/ 34195 h 3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04775" h="38100">
                <a:moveTo>
                  <a:pt x="92202" y="34195"/>
                </a:moveTo>
                <a:lnTo>
                  <a:pt x="20669" y="34195"/>
                </a:lnTo>
                <a:cubicBezTo>
                  <a:pt x="13240" y="34195"/>
                  <a:pt x="7144" y="28194"/>
                  <a:pt x="7144" y="20669"/>
                </a:cubicBezTo>
                <a:cubicBezTo>
                  <a:pt x="7144" y="13145"/>
                  <a:pt x="13145" y="7144"/>
                  <a:pt x="20669" y="7144"/>
                </a:cubicBezTo>
                <a:lnTo>
                  <a:pt x="92202" y="7144"/>
                </a:lnTo>
                <a:cubicBezTo>
                  <a:pt x="99632" y="7144"/>
                  <a:pt x="105728" y="13145"/>
                  <a:pt x="105728" y="20669"/>
                </a:cubicBezTo>
                <a:cubicBezTo>
                  <a:pt x="105728" y="28194"/>
                  <a:pt x="99727" y="34195"/>
                  <a:pt x="92202" y="34195"/>
                </a:cubicBez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7" name="フリーフォーム: 図形 136">
            <a:extLst>
              <a:ext uri="{FF2B5EF4-FFF2-40B4-BE49-F238E27FC236}">
                <a16:creationId xmlns:a16="http://schemas.microsoft.com/office/drawing/2014/main" id="{09F6A400-5573-CFE8-9B95-2C852760D9F8}"/>
              </a:ext>
            </a:extLst>
          </xdr:cNvPr>
          <xdr:cNvSpPr/>
        </xdr:nvSpPr>
        <xdr:spPr>
          <a:xfrm>
            <a:off x="516920" y="1176720"/>
            <a:ext cx="9528" cy="19047"/>
          </a:xfrm>
          <a:custGeom>
            <a:avLst/>
            <a:gdLst>
              <a:gd name="connsiteX0" fmla="*/ 8382 w 9525"/>
              <a:gd name="connsiteY0" fmla="*/ 16478 h 19050"/>
              <a:gd name="connsiteX1" fmla="*/ 8382 w 9525"/>
              <a:gd name="connsiteY1" fmla="*/ 7144 h 19050"/>
              <a:gd name="connsiteX2" fmla="*/ 7144 w 9525"/>
              <a:gd name="connsiteY2" fmla="*/ 7525 h 19050"/>
            </a:gdLst>
            <a:ahLst/>
            <a:cxnLst>
              <a:cxn ang="0">
                <a:pos x="connsiteX0" y="connsiteY0"/>
              </a:cxn>
              <a:cxn ang="0">
                <a:pos x="connsiteX1" y="connsiteY1"/>
              </a:cxn>
              <a:cxn ang="0">
                <a:pos x="connsiteX2" y="connsiteY2"/>
              </a:cxn>
            </a:cxnLst>
            <a:rect l="l" t="t" r="r" b="b"/>
            <a:pathLst>
              <a:path w="9525" h="19050">
                <a:moveTo>
                  <a:pt x="8382" y="16478"/>
                </a:moveTo>
                <a:lnTo>
                  <a:pt x="8382" y="7144"/>
                </a:lnTo>
                <a:lnTo>
                  <a:pt x="7144" y="7525"/>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8" name="フリーフォーム: 図形 137">
            <a:extLst>
              <a:ext uri="{FF2B5EF4-FFF2-40B4-BE49-F238E27FC236}">
                <a16:creationId xmlns:a16="http://schemas.microsoft.com/office/drawing/2014/main" id="{121CA960-32AC-603A-BCA5-12059CB869E5}"/>
              </a:ext>
            </a:extLst>
          </xdr:cNvPr>
          <xdr:cNvSpPr/>
        </xdr:nvSpPr>
        <xdr:spPr>
          <a:xfrm>
            <a:off x="516920" y="1176720"/>
            <a:ext cx="9528" cy="19047"/>
          </a:xfrm>
          <a:custGeom>
            <a:avLst/>
            <a:gdLst>
              <a:gd name="connsiteX0" fmla="*/ 8382 w 9525"/>
              <a:gd name="connsiteY0" fmla="*/ 7144 h 19050"/>
              <a:gd name="connsiteX1" fmla="*/ 7144 w 9525"/>
              <a:gd name="connsiteY1" fmla="*/ 7525 h 19050"/>
              <a:gd name="connsiteX2" fmla="*/ 8382 w 9525"/>
              <a:gd name="connsiteY2" fmla="*/ 16478 h 19050"/>
            </a:gdLst>
            <a:ahLst/>
            <a:cxnLst>
              <a:cxn ang="0">
                <a:pos x="connsiteX0" y="connsiteY0"/>
              </a:cxn>
              <a:cxn ang="0">
                <a:pos x="connsiteX1" y="connsiteY1"/>
              </a:cxn>
              <a:cxn ang="0">
                <a:pos x="connsiteX2" y="connsiteY2"/>
              </a:cxn>
            </a:cxnLst>
            <a:rect l="l" t="t" r="r" b="b"/>
            <a:pathLst>
              <a:path w="9525" h="19050">
                <a:moveTo>
                  <a:pt x="8382" y="7144"/>
                </a:moveTo>
                <a:lnTo>
                  <a:pt x="7144" y="7525"/>
                </a:lnTo>
                <a:lnTo>
                  <a:pt x="8382" y="16478"/>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39" name="フリーフォーム: 図形 138">
            <a:extLst>
              <a:ext uri="{FF2B5EF4-FFF2-40B4-BE49-F238E27FC236}">
                <a16:creationId xmlns:a16="http://schemas.microsoft.com/office/drawing/2014/main" id="{2277EAA5-B469-3D28-D934-BDBFEBD264DC}"/>
              </a:ext>
            </a:extLst>
          </xdr:cNvPr>
          <xdr:cNvSpPr/>
        </xdr:nvSpPr>
        <xdr:spPr>
          <a:xfrm>
            <a:off x="206833" y="671517"/>
            <a:ext cx="609603" cy="752479"/>
          </a:xfrm>
          <a:custGeom>
            <a:avLst/>
            <a:gdLst>
              <a:gd name="connsiteX0" fmla="*/ 529642 w 609600"/>
              <a:gd name="connsiteY0" fmla="*/ 279940 h 752475"/>
              <a:gd name="connsiteX1" fmla="*/ 531166 w 609600"/>
              <a:gd name="connsiteY1" fmla="*/ 260604 h 752475"/>
              <a:gd name="connsiteX2" fmla="*/ 446203 w 609600"/>
              <a:gd name="connsiteY2" fmla="*/ 134017 h 752475"/>
              <a:gd name="connsiteX3" fmla="*/ 426391 w 609600"/>
              <a:gd name="connsiteY3" fmla="*/ 72485 h 752475"/>
              <a:gd name="connsiteX4" fmla="*/ 318473 w 609600"/>
              <a:gd name="connsiteY4" fmla="*/ 7429 h 752475"/>
              <a:gd name="connsiteX5" fmla="*/ 309900 w 609600"/>
              <a:gd name="connsiteY5" fmla="*/ 7144 h 752475"/>
              <a:gd name="connsiteX6" fmla="*/ 173407 w 609600"/>
              <a:gd name="connsiteY6" fmla="*/ 137541 h 752475"/>
              <a:gd name="connsiteX7" fmla="*/ 96159 w 609600"/>
              <a:gd name="connsiteY7" fmla="*/ 260604 h 752475"/>
              <a:gd name="connsiteX8" fmla="*/ 96826 w 609600"/>
              <a:gd name="connsiteY8" fmla="*/ 273082 h 752475"/>
              <a:gd name="connsiteX9" fmla="*/ 8243 w 609600"/>
              <a:gd name="connsiteY9" fmla="*/ 419100 h 752475"/>
              <a:gd name="connsiteX10" fmla="*/ 131402 w 609600"/>
              <a:gd name="connsiteY10" fmla="*/ 537591 h 752475"/>
              <a:gd name="connsiteX11" fmla="*/ 224556 w 609600"/>
              <a:gd name="connsiteY11" fmla="*/ 511588 h 752475"/>
              <a:gd name="connsiteX12" fmla="*/ 268085 w 609600"/>
              <a:gd name="connsiteY12" fmla="*/ 532829 h 752475"/>
              <a:gd name="connsiteX13" fmla="*/ 233414 w 609600"/>
              <a:gd name="connsiteY13" fmla="*/ 746951 h 752475"/>
              <a:gd name="connsiteX14" fmla="*/ 238939 w 609600"/>
              <a:gd name="connsiteY14" fmla="*/ 753428 h 752475"/>
              <a:gd name="connsiteX15" fmla="*/ 371813 w 609600"/>
              <a:gd name="connsiteY15" fmla="*/ 753428 h 752475"/>
              <a:gd name="connsiteX16" fmla="*/ 377337 w 609600"/>
              <a:gd name="connsiteY16" fmla="*/ 747046 h 752475"/>
              <a:gd name="connsiteX17" fmla="*/ 374765 w 609600"/>
              <a:gd name="connsiteY17" fmla="*/ 728472 h 752475"/>
              <a:gd name="connsiteX18" fmla="*/ 347143 w 609600"/>
              <a:gd name="connsiteY18" fmla="*/ 531590 h 752475"/>
              <a:gd name="connsiteX19" fmla="*/ 386100 w 609600"/>
              <a:gd name="connsiteY19" fmla="*/ 511683 h 752475"/>
              <a:gd name="connsiteX20" fmla="*/ 426486 w 609600"/>
              <a:gd name="connsiteY20" fmla="*/ 531971 h 752475"/>
              <a:gd name="connsiteX21" fmla="*/ 479445 w 609600"/>
              <a:gd name="connsiteY21" fmla="*/ 537591 h 752475"/>
              <a:gd name="connsiteX22" fmla="*/ 602984 w 609600"/>
              <a:gd name="connsiteY22" fmla="*/ 415195 h 752475"/>
              <a:gd name="connsiteX23" fmla="*/ 529642 w 609600"/>
              <a:gd name="connsiteY23" fmla="*/ 279940 h 752475"/>
              <a:gd name="connsiteX24" fmla="*/ 318473 w 609600"/>
              <a:gd name="connsiteY24" fmla="*/ 512350 h 752475"/>
              <a:gd name="connsiteX25" fmla="*/ 318473 w 609600"/>
              <a:gd name="connsiteY25" fmla="*/ 521684 h 752475"/>
              <a:gd name="connsiteX26" fmla="*/ 317234 w 609600"/>
              <a:gd name="connsiteY26" fmla="*/ 512731 h 752475"/>
              <a:gd name="connsiteX27" fmla="*/ 318473 w 609600"/>
              <a:gd name="connsiteY27" fmla="*/ 512350 h 7524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Lst>
            <a:rect l="l" t="t" r="r" b="b"/>
            <a:pathLst>
              <a:path w="609600" h="752475">
                <a:moveTo>
                  <a:pt x="529642" y="279940"/>
                </a:moveTo>
                <a:cubicBezTo>
                  <a:pt x="530499" y="273558"/>
                  <a:pt x="531166" y="267176"/>
                  <a:pt x="531166" y="260604"/>
                </a:cubicBezTo>
                <a:cubicBezTo>
                  <a:pt x="531166" y="203454"/>
                  <a:pt x="496019" y="154496"/>
                  <a:pt x="446203" y="134017"/>
                </a:cubicBezTo>
                <a:cubicBezTo>
                  <a:pt x="444584" y="111538"/>
                  <a:pt x="437535" y="90583"/>
                  <a:pt x="426391" y="72485"/>
                </a:cubicBezTo>
                <a:cubicBezTo>
                  <a:pt x="403817" y="35623"/>
                  <a:pt x="364193" y="10287"/>
                  <a:pt x="318473" y="7429"/>
                </a:cubicBezTo>
                <a:cubicBezTo>
                  <a:pt x="315615" y="7239"/>
                  <a:pt x="312853" y="7144"/>
                  <a:pt x="309900" y="7144"/>
                </a:cubicBezTo>
                <a:cubicBezTo>
                  <a:pt x="236558" y="7144"/>
                  <a:pt x="176836" y="64960"/>
                  <a:pt x="173407" y="137541"/>
                </a:cubicBezTo>
                <a:cubicBezTo>
                  <a:pt x="127687" y="159639"/>
                  <a:pt x="96159" y="206407"/>
                  <a:pt x="96159" y="260604"/>
                </a:cubicBezTo>
                <a:cubicBezTo>
                  <a:pt x="96159" y="264795"/>
                  <a:pt x="96445" y="268986"/>
                  <a:pt x="96826" y="273082"/>
                </a:cubicBezTo>
                <a:cubicBezTo>
                  <a:pt x="39390" y="294227"/>
                  <a:pt x="-43" y="352615"/>
                  <a:pt x="8243" y="419100"/>
                </a:cubicBezTo>
                <a:cubicBezTo>
                  <a:pt x="16149" y="481965"/>
                  <a:pt x="68346" y="531971"/>
                  <a:pt x="131402" y="537591"/>
                </a:cubicBezTo>
                <a:cubicBezTo>
                  <a:pt x="166454" y="540734"/>
                  <a:pt x="198839" y="530447"/>
                  <a:pt x="224556" y="511588"/>
                </a:cubicBezTo>
                <a:cubicBezTo>
                  <a:pt x="237510" y="521113"/>
                  <a:pt x="252179" y="528257"/>
                  <a:pt x="268085" y="532829"/>
                </a:cubicBezTo>
                <a:lnTo>
                  <a:pt x="233414" y="746951"/>
                </a:lnTo>
                <a:cubicBezTo>
                  <a:pt x="232843" y="750380"/>
                  <a:pt x="235510" y="753428"/>
                  <a:pt x="238939" y="753428"/>
                </a:cubicBezTo>
                <a:lnTo>
                  <a:pt x="371813" y="753428"/>
                </a:lnTo>
                <a:cubicBezTo>
                  <a:pt x="375242" y="753428"/>
                  <a:pt x="377813" y="750475"/>
                  <a:pt x="377337" y="747046"/>
                </a:cubicBezTo>
                <a:lnTo>
                  <a:pt x="374765" y="728472"/>
                </a:lnTo>
                <a:lnTo>
                  <a:pt x="347143" y="531590"/>
                </a:lnTo>
                <a:cubicBezTo>
                  <a:pt x="361240" y="527018"/>
                  <a:pt x="374384" y="520256"/>
                  <a:pt x="386100" y="511683"/>
                </a:cubicBezTo>
                <a:cubicBezTo>
                  <a:pt x="398197" y="520541"/>
                  <a:pt x="411818" y="527399"/>
                  <a:pt x="426486" y="531971"/>
                </a:cubicBezTo>
                <a:cubicBezTo>
                  <a:pt x="442964" y="537115"/>
                  <a:pt x="460871" y="539306"/>
                  <a:pt x="479445" y="537591"/>
                </a:cubicBezTo>
                <a:cubicBezTo>
                  <a:pt x="543929" y="531781"/>
                  <a:pt x="596603" y="479679"/>
                  <a:pt x="602984" y="415195"/>
                </a:cubicBezTo>
                <a:cubicBezTo>
                  <a:pt x="608604" y="356521"/>
                  <a:pt x="577362" y="304610"/>
                  <a:pt x="529642" y="279940"/>
                </a:cubicBezTo>
                <a:close/>
                <a:moveTo>
                  <a:pt x="318473" y="512350"/>
                </a:moveTo>
                <a:lnTo>
                  <a:pt x="318473" y="521684"/>
                </a:lnTo>
                <a:lnTo>
                  <a:pt x="317234" y="512731"/>
                </a:lnTo>
                <a:lnTo>
                  <a:pt x="318473" y="512350"/>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40" name="フリーフォーム: 図形 139">
            <a:extLst>
              <a:ext uri="{FF2B5EF4-FFF2-40B4-BE49-F238E27FC236}">
                <a16:creationId xmlns:a16="http://schemas.microsoft.com/office/drawing/2014/main" id="{C6BB6B5C-294E-110F-9470-D09E67097DBA}"/>
              </a:ext>
            </a:extLst>
          </xdr:cNvPr>
          <xdr:cNvSpPr/>
        </xdr:nvSpPr>
        <xdr:spPr>
          <a:xfrm>
            <a:off x="367283" y="0"/>
            <a:ext cx="1609722" cy="1400175"/>
          </a:xfrm>
          <a:custGeom>
            <a:avLst/>
            <a:gdLst>
              <a:gd name="connsiteX0" fmla="*/ 1604304 w 1609725"/>
              <a:gd name="connsiteY0" fmla="*/ 218599 h 1400175"/>
              <a:gd name="connsiteX1" fmla="*/ 816206 w 1609725"/>
              <a:gd name="connsiteY1" fmla="*/ 7144 h 1400175"/>
              <a:gd name="connsiteX2" fmla="*/ 14201 w 1609725"/>
              <a:gd name="connsiteY2" fmla="*/ 239554 h 1400175"/>
              <a:gd name="connsiteX3" fmla="*/ 10486 w 1609725"/>
              <a:gd name="connsiteY3" fmla="*/ 263081 h 1400175"/>
              <a:gd name="connsiteX4" fmla="*/ 72303 w 1609725"/>
              <a:gd name="connsiteY4" fmla="*/ 344424 h 1400175"/>
              <a:gd name="connsiteX5" fmla="*/ 94592 w 1609725"/>
              <a:gd name="connsiteY5" fmla="*/ 348139 h 1400175"/>
              <a:gd name="connsiteX6" fmla="*/ 158028 w 1609725"/>
              <a:gd name="connsiteY6" fmla="*/ 309372 h 1400175"/>
              <a:gd name="connsiteX7" fmla="*/ 158028 w 1609725"/>
              <a:gd name="connsiteY7" fmla="*/ 612458 h 1400175"/>
              <a:gd name="connsiteX8" fmla="*/ 158028 w 1609725"/>
              <a:gd name="connsiteY8" fmla="*/ 612458 h 1400175"/>
              <a:gd name="connsiteX9" fmla="*/ 158028 w 1609725"/>
              <a:gd name="connsiteY9" fmla="*/ 651891 h 1400175"/>
              <a:gd name="connsiteX10" fmla="*/ 288997 w 1609725"/>
              <a:gd name="connsiteY10" fmla="*/ 729806 h 1400175"/>
              <a:gd name="connsiteX11" fmla="*/ 310714 w 1609725"/>
              <a:gd name="connsiteY11" fmla="*/ 787337 h 1400175"/>
              <a:gd name="connsiteX12" fmla="*/ 397772 w 1609725"/>
              <a:gd name="connsiteY12" fmla="*/ 932021 h 1400175"/>
              <a:gd name="connsiteX13" fmla="*/ 397677 w 1609725"/>
              <a:gd name="connsiteY13" fmla="*/ 936879 h 1400175"/>
              <a:gd name="connsiteX14" fmla="*/ 469305 w 1609725"/>
              <a:gd name="connsiteY14" fmla="*/ 1089184 h 1400175"/>
              <a:gd name="connsiteX15" fmla="*/ 321382 w 1609725"/>
              <a:gd name="connsiteY15" fmla="*/ 1235869 h 1400175"/>
              <a:gd name="connsiteX16" fmla="*/ 257945 w 1609725"/>
              <a:gd name="connsiteY16" fmla="*/ 1229106 h 1400175"/>
              <a:gd name="connsiteX17" fmla="*/ 225656 w 1609725"/>
              <a:gd name="connsiteY17" fmla="*/ 1215104 h 1400175"/>
              <a:gd name="connsiteX18" fmla="*/ 216321 w 1609725"/>
              <a:gd name="connsiteY18" fmla="*/ 1219962 h 1400175"/>
              <a:gd name="connsiteX19" fmla="*/ 241562 w 1609725"/>
              <a:gd name="connsiteY19" fmla="*/ 1399794 h 1400175"/>
              <a:gd name="connsiteX20" fmla="*/ 727337 w 1609725"/>
              <a:gd name="connsiteY20" fmla="*/ 1399794 h 1400175"/>
              <a:gd name="connsiteX21" fmla="*/ 727337 w 1609725"/>
              <a:gd name="connsiteY21" fmla="*/ 1399604 h 1400175"/>
              <a:gd name="connsiteX22" fmla="*/ 1117958 w 1609725"/>
              <a:gd name="connsiteY22" fmla="*/ 1399508 h 1400175"/>
              <a:gd name="connsiteX23" fmla="*/ 1117958 w 1609725"/>
              <a:gd name="connsiteY23" fmla="*/ 1376077 h 1400175"/>
              <a:gd name="connsiteX24" fmla="*/ 1144247 w 1609725"/>
              <a:gd name="connsiteY24" fmla="*/ 1349788 h 1400175"/>
              <a:gd name="connsiteX25" fmla="*/ 1171393 w 1609725"/>
              <a:gd name="connsiteY25" fmla="*/ 1349788 h 1400175"/>
              <a:gd name="connsiteX26" fmla="*/ 1171393 w 1609725"/>
              <a:gd name="connsiteY26" fmla="*/ 965549 h 1400175"/>
              <a:gd name="connsiteX27" fmla="*/ 1055950 w 1609725"/>
              <a:gd name="connsiteY27" fmla="*/ 808196 h 1400175"/>
              <a:gd name="connsiteX28" fmla="*/ 1206636 w 1609725"/>
              <a:gd name="connsiteY28" fmla="*/ 655130 h 1400175"/>
              <a:gd name="connsiteX29" fmla="*/ 1323317 w 1609725"/>
              <a:gd name="connsiteY29" fmla="*/ 698754 h 1400175"/>
              <a:gd name="connsiteX30" fmla="*/ 1372275 w 1609725"/>
              <a:gd name="connsiteY30" fmla="*/ 813149 h 1400175"/>
              <a:gd name="connsiteX31" fmla="*/ 1256832 w 1609725"/>
              <a:gd name="connsiteY31" fmla="*/ 965549 h 1400175"/>
              <a:gd name="connsiteX32" fmla="*/ 1256832 w 1609725"/>
              <a:gd name="connsiteY32" fmla="*/ 1349883 h 1400175"/>
              <a:gd name="connsiteX33" fmla="*/ 1283978 w 1609725"/>
              <a:gd name="connsiteY33" fmla="*/ 1349883 h 1400175"/>
              <a:gd name="connsiteX34" fmla="*/ 1310267 w 1609725"/>
              <a:gd name="connsiteY34" fmla="*/ 1376172 h 1400175"/>
              <a:gd name="connsiteX35" fmla="*/ 1310267 w 1609725"/>
              <a:gd name="connsiteY35" fmla="*/ 1399604 h 1400175"/>
              <a:gd name="connsiteX36" fmla="*/ 1480574 w 1609725"/>
              <a:gd name="connsiteY36" fmla="*/ 1399604 h 1400175"/>
              <a:gd name="connsiteX37" fmla="*/ 1480574 w 1609725"/>
              <a:gd name="connsiteY37" fmla="*/ 302419 h 1400175"/>
              <a:gd name="connsiteX38" fmla="*/ 1526675 w 1609725"/>
              <a:gd name="connsiteY38" fmla="*/ 329375 h 1400175"/>
              <a:gd name="connsiteX39" fmla="*/ 1548773 w 1609725"/>
              <a:gd name="connsiteY39" fmla="*/ 324993 h 1400175"/>
              <a:gd name="connsiteX40" fmla="*/ 1608590 w 1609725"/>
              <a:gd name="connsiteY40" fmla="*/ 242126 h 1400175"/>
              <a:gd name="connsiteX41" fmla="*/ 1604304 w 1609725"/>
              <a:gd name="connsiteY41" fmla="*/ 218599 h 1400175"/>
              <a:gd name="connsiteX42" fmla="*/ 762389 w 1609725"/>
              <a:gd name="connsiteY42" fmla="*/ 419386 h 1400175"/>
              <a:gd name="connsiteX43" fmla="*/ 778391 w 1609725"/>
              <a:gd name="connsiteY43" fmla="*/ 403384 h 1400175"/>
              <a:gd name="connsiteX44" fmla="*/ 922600 w 1609725"/>
              <a:gd name="connsiteY44" fmla="*/ 403384 h 1400175"/>
              <a:gd name="connsiteX45" fmla="*/ 938602 w 1609725"/>
              <a:gd name="connsiteY45" fmla="*/ 419386 h 1400175"/>
              <a:gd name="connsiteX46" fmla="*/ 938602 w 1609725"/>
              <a:gd name="connsiteY46" fmla="*/ 567976 h 1400175"/>
              <a:gd name="connsiteX47" fmla="*/ 922600 w 1609725"/>
              <a:gd name="connsiteY47" fmla="*/ 583978 h 1400175"/>
              <a:gd name="connsiteX48" fmla="*/ 778391 w 1609725"/>
              <a:gd name="connsiteY48" fmla="*/ 583978 h 1400175"/>
              <a:gd name="connsiteX49" fmla="*/ 762389 w 1609725"/>
              <a:gd name="connsiteY49" fmla="*/ 567976 h 1400175"/>
              <a:gd name="connsiteX50" fmla="*/ 762389 w 1609725"/>
              <a:gd name="connsiteY50" fmla="*/ 419386 h 1400175"/>
              <a:gd name="connsiteX51" fmla="*/ 719813 w 1609725"/>
              <a:gd name="connsiteY51" fmla="*/ 716566 h 1400175"/>
              <a:gd name="connsiteX52" fmla="*/ 735815 w 1609725"/>
              <a:gd name="connsiteY52" fmla="*/ 700564 h 1400175"/>
              <a:gd name="connsiteX53" fmla="*/ 880023 w 1609725"/>
              <a:gd name="connsiteY53" fmla="*/ 700564 h 1400175"/>
              <a:gd name="connsiteX54" fmla="*/ 896025 w 1609725"/>
              <a:gd name="connsiteY54" fmla="*/ 716566 h 1400175"/>
              <a:gd name="connsiteX55" fmla="*/ 896025 w 1609725"/>
              <a:gd name="connsiteY55" fmla="*/ 865156 h 1400175"/>
              <a:gd name="connsiteX56" fmla="*/ 880023 w 1609725"/>
              <a:gd name="connsiteY56" fmla="*/ 881158 h 1400175"/>
              <a:gd name="connsiteX57" fmla="*/ 735815 w 1609725"/>
              <a:gd name="connsiteY57" fmla="*/ 881158 h 1400175"/>
              <a:gd name="connsiteX58" fmla="*/ 719813 w 1609725"/>
              <a:gd name="connsiteY58" fmla="*/ 865156 h 1400175"/>
              <a:gd name="connsiteX59" fmla="*/ 719813 w 1609725"/>
              <a:gd name="connsiteY59" fmla="*/ 716566 h 1400175"/>
              <a:gd name="connsiteX60" fmla="*/ 507786 w 1609725"/>
              <a:gd name="connsiteY60" fmla="*/ 419386 h 1400175"/>
              <a:gd name="connsiteX61" fmla="*/ 523788 w 1609725"/>
              <a:gd name="connsiteY61" fmla="*/ 403384 h 1400175"/>
              <a:gd name="connsiteX62" fmla="*/ 667997 w 1609725"/>
              <a:gd name="connsiteY62" fmla="*/ 403384 h 1400175"/>
              <a:gd name="connsiteX63" fmla="*/ 683999 w 1609725"/>
              <a:gd name="connsiteY63" fmla="*/ 419386 h 1400175"/>
              <a:gd name="connsiteX64" fmla="*/ 683999 w 1609725"/>
              <a:gd name="connsiteY64" fmla="*/ 567976 h 1400175"/>
              <a:gd name="connsiteX65" fmla="*/ 667997 w 1609725"/>
              <a:gd name="connsiteY65" fmla="*/ 583978 h 1400175"/>
              <a:gd name="connsiteX66" fmla="*/ 523788 w 1609725"/>
              <a:gd name="connsiteY66" fmla="*/ 583978 h 1400175"/>
              <a:gd name="connsiteX67" fmla="*/ 507786 w 1609725"/>
              <a:gd name="connsiteY67" fmla="*/ 567976 h 1400175"/>
              <a:gd name="connsiteX68" fmla="*/ 507786 w 1609725"/>
              <a:gd name="connsiteY68" fmla="*/ 419386 h 1400175"/>
              <a:gd name="connsiteX69" fmla="*/ 426633 w 1609725"/>
              <a:gd name="connsiteY69" fmla="*/ 567690 h 1400175"/>
              <a:gd name="connsiteX70" fmla="*/ 407678 w 1609725"/>
              <a:gd name="connsiteY70" fmla="*/ 586550 h 1400175"/>
              <a:gd name="connsiteX71" fmla="*/ 269852 w 1609725"/>
              <a:gd name="connsiteY71" fmla="*/ 586550 h 1400175"/>
              <a:gd name="connsiteX72" fmla="*/ 250992 w 1609725"/>
              <a:gd name="connsiteY72" fmla="*/ 567690 h 1400175"/>
              <a:gd name="connsiteX73" fmla="*/ 250992 w 1609725"/>
              <a:gd name="connsiteY73" fmla="*/ 422148 h 1400175"/>
              <a:gd name="connsiteX74" fmla="*/ 269852 w 1609725"/>
              <a:gd name="connsiteY74" fmla="*/ 403193 h 1400175"/>
              <a:gd name="connsiteX75" fmla="*/ 407678 w 1609725"/>
              <a:gd name="connsiteY75" fmla="*/ 403193 h 1400175"/>
              <a:gd name="connsiteX76" fmla="*/ 426633 w 1609725"/>
              <a:gd name="connsiteY76" fmla="*/ 422148 h 1400175"/>
              <a:gd name="connsiteX77" fmla="*/ 426633 w 1609725"/>
              <a:gd name="connsiteY77" fmla="*/ 567690 h 1400175"/>
              <a:gd name="connsiteX78" fmla="*/ 465209 w 1609725"/>
              <a:gd name="connsiteY78" fmla="*/ 865251 h 1400175"/>
              <a:gd name="connsiteX79" fmla="*/ 465209 w 1609725"/>
              <a:gd name="connsiteY79" fmla="*/ 716661 h 1400175"/>
              <a:gd name="connsiteX80" fmla="*/ 481211 w 1609725"/>
              <a:gd name="connsiteY80" fmla="*/ 700659 h 1400175"/>
              <a:gd name="connsiteX81" fmla="*/ 625420 w 1609725"/>
              <a:gd name="connsiteY81" fmla="*/ 700659 h 1400175"/>
              <a:gd name="connsiteX82" fmla="*/ 641422 w 1609725"/>
              <a:gd name="connsiteY82" fmla="*/ 716661 h 1400175"/>
              <a:gd name="connsiteX83" fmla="*/ 641422 w 1609725"/>
              <a:gd name="connsiteY83" fmla="*/ 865251 h 1400175"/>
              <a:gd name="connsiteX84" fmla="*/ 625420 w 1609725"/>
              <a:gd name="connsiteY84" fmla="*/ 881253 h 1400175"/>
              <a:gd name="connsiteX85" fmla="*/ 481211 w 1609725"/>
              <a:gd name="connsiteY85" fmla="*/ 881253 h 1400175"/>
              <a:gd name="connsiteX86" fmla="*/ 465209 w 1609725"/>
              <a:gd name="connsiteY86" fmla="*/ 865251 h 1400175"/>
              <a:gd name="connsiteX87" fmla="*/ 790869 w 1609725"/>
              <a:gd name="connsiteY87" fmla="*/ 1173194 h 1400175"/>
              <a:gd name="connsiteX88" fmla="*/ 771914 w 1609725"/>
              <a:gd name="connsiteY88" fmla="*/ 1192054 h 1400175"/>
              <a:gd name="connsiteX89" fmla="*/ 634088 w 1609725"/>
              <a:gd name="connsiteY89" fmla="*/ 1192054 h 1400175"/>
              <a:gd name="connsiteX90" fmla="*/ 615133 w 1609725"/>
              <a:gd name="connsiteY90" fmla="*/ 1173194 h 1400175"/>
              <a:gd name="connsiteX91" fmla="*/ 615133 w 1609725"/>
              <a:gd name="connsiteY91" fmla="*/ 1027748 h 1400175"/>
              <a:gd name="connsiteX92" fmla="*/ 634088 w 1609725"/>
              <a:gd name="connsiteY92" fmla="*/ 1008793 h 1400175"/>
              <a:gd name="connsiteX93" fmla="*/ 771914 w 1609725"/>
              <a:gd name="connsiteY93" fmla="*/ 1008793 h 1400175"/>
              <a:gd name="connsiteX94" fmla="*/ 790869 w 1609725"/>
              <a:gd name="connsiteY94" fmla="*/ 1027748 h 1400175"/>
              <a:gd name="connsiteX95" fmla="*/ 790869 w 1609725"/>
              <a:gd name="connsiteY95" fmla="*/ 1173194 h 1400175"/>
              <a:gd name="connsiteX96" fmla="*/ 1055759 w 1609725"/>
              <a:gd name="connsiteY96" fmla="*/ 1173194 h 1400175"/>
              <a:gd name="connsiteX97" fmla="*/ 1036900 w 1609725"/>
              <a:gd name="connsiteY97" fmla="*/ 1192054 h 1400175"/>
              <a:gd name="connsiteX98" fmla="*/ 899073 w 1609725"/>
              <a:gd name="connsiteY98" fmla="*/ 1192054 h 1400175"/>
              <a:gd name="connsiteX99" fmla="*/ 880214 w 1609725"/>
              <a:gd name="connsiteY99" fmla="*/ 1173194 h 1400175"/>
              <a:gd name="connsiteX100" fmla="*/ 880214 w 1609725"/>
              <a:gd name="connsiteY100" fmla="*/ 1027748 h 1400175"/>
              <a:gd name="connsiteX101" fmla="*/ 899073 w 1609725"/>
              <a:gd name="connsiteY101" fmla="*/ 1008793 h 1400175"/>
              <a:gd name="connsiteX102" fmla="*/ 1036900 w 1609725"/>
              <a:gd name="connsiteY102" fmla="*/ 1008793 h 1400175"/>
              <a:gd name="connsiteX103" fmla="*/ 1055759 w 1609725"/>
              <a:gd name="connsiteY103" fmla="*/ 1027748 h 1400175"/>
              <a:gd name="connsiteX104" fmla="*/ 1055759 w 1609725"/>
              <a:gd name="connsiteY104" fmla="*/ 1173194 h 1400175"/>
              <a:gd name="connsiteX105" fmla="*/ 1193396 w 1609725"/>
              <a:gd name="connsiteY105" fmla="*/ 567976 h 1400175"/>
              <a:gd name="connsiteX106" fmla="*/ 1177394 w 1609725"/>
              <a:gd name="connsiteY106" fmla="*/ 583978 h 1400175"/>
              <a:gd name="connsiteX107" fmla="*/ 1033185 w 1609725"/>
              <a:gd name="connsiteY107" fmla="*/ 583978 h 1400175"/>
              <a:gd name="connsiteX108" fmla="*/ 1017183 w 1609725"/>
              <a:gd name="connsiteY108" fmla="*/ 567976 h 1400175"/>
              <a:gd name="connsiteX109" fmla="*/ 1017183 w 1609725"/>
              <a:gd name="connsiteY109" fmla="*/ 419386 h 1400175"/>
              <a:gd name="connsiteX110" fmla="*/ 1033185 w 1609725"/>
              <a:gd name="connsiteY110" fmla="*/ 403384 h 1400175"/>
              <a:gd name="connsiteX111" fmla="*/ 1177394 w 1609725"/>
              <a:gd name="connsiteY111" fmla="*/ 403384 h 1400175"/>
              <a:gd name="connsiteX112" fmla="*/ 1193396 w 1609725"/>
              <a:gd name="connsiteY112" fmla="*/ 419386 h 1400175"/>
              <a:gd name="connsiteX113" fmla="*/ 1193396 w 1609725"/>
              <a:gd name="connsiteY113" fmla="*/ 567976 h 14001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 ang="0">
                <a:pos x="connsiteX113" y="connsiteY113"/>
              </a:cxn>
            </a:cxnLst>
            <a:rect l="l" t="t" r="r" b="b"/>
            <a:pathLst>
              <a:path w="1609725" h="1400175">
                <a:moveTo>
                  <a:pt x="1604304" y="218599"/>
                </a:moveTo>
                <a:cubicBezTo>
                  <a:pt x="1538201" y="175355"/>
                  <a:pt x="1252927" y="7144"/>
                  <a:pt x="816206" y="7144"/>
                </a:cubicBezTo>
                <a:cubicBezTo>
                  <a:pt x="376817" y="7144"/>
                  <a:pt x="80971" y="193262"/>
                  <a:pt x="14201" y="239554"/>
                </a:cubicBezTo>
                <a:cubicBezTo>
                  <a:pt x="6485" y="244888"/>
                  <a:pt x="4866" y="255556"/>
                  <a:pt x="10486" y="263081"/>
                </a:cubicBezTo>
                <a:lnTo>
                  <a:pt x="72303" y="344424"/>
                </a:lnTo>
                <a:cubicBezTo>
                  <a:pt x="77637" y="351377"/>
                  <a:pt x="87353" y="353092"/>
                  <a:pt x="94592" y="348139"/>
                </a:cubicBezTo>
                <a:cubicBezTo>
                  <a:pt x="107069" y="339757"/>
                  <a:pt x="128501" y="325946"/>
                  <a:pt x="158028" y="309372"/>
                </a:cubicBezTo>
                <a:lnTo>
                  <a:pt x="158028" y="612458"/>
                </a:lnTo>
                <a:lnTo>
                  <a:pt x="158028" y="612458"/>
                </a:lnTo>
                <a:lnTo>
                  <a:pt x="158028" y="651891"/>
                </a:lnTo>
                <a:cubicBezTo>
                  <a:pt x="211940" y="654653"/>
                  <a:pt x="260422" y="683324"/>
                  <a:pt x="288997" y="729806"/>
                </a:cubicBezTo>
                <a:cubicBezTo>
                  <a:pt x="299760" y="747427"/>
                  <a:pt x="307190" y="767048"/>
                  <a:pt x="310714" y="787337"/>
                </a:cubicBezTo>
                <a:cubicBezTo>
                  <a:pt x="364054" y="815531"/>
                  <a:pt x="397772" y="870680"/>
                  <a:pt x="397772" y="932021"/>
                </a:cubicBezTo>
                <a:cubicBezTo>
                  <a:pt x="397772" y="933640"/>
                  <a:pt x="397772" y="935260"/>
                  <a:pt x="397677" y="936879"/>
                </a:cubicBezTo>
                <a:cubicBezTo>
                  <a:pt x="447588" y="970312"/>
                  <a:pt x="475306" y="1028224"/>
                  <a:pt x="469305" y="1089184"/>
                </a:cubicBezTo>
                <a:cubicBezTo>
                  <a:pt x="461685" y="1167098"/>
                  <a:pt x="399392" y="1228820"/>
                  <a:pt x="321382" y="1235869"/>
                </a:cubicBezTo>
                <a:cubicBezTo>
                  <a:pt x="299951" y="1237774"/>
                  <a:pt x="278615" y="1235488"/>
                  <a:pt x="257945" y="1229106"/>
                </a:cubicBezTo>
                <a:cubicBezTo>
                  <a:pt x="246611" y="1225582"/>
                  <a:pt x="235847" y="1220915"/>
                  <a:pt x="225656" y="1215104"/>
                </a:cubicBezTo>
                <a:cubicBezTo>
                  <a:pt x="222608" y="1216819"/>
                  <a:pt x="219464" y="1218438"/>
                  <a:pt x="216321" y="1219962"/>
                </a:cubicBezTo>
                <a:lnTo>
                  <a:pt x="241562" y="1399794"/>
                </a:lnTo>
                <a:lnTo>
                  <a:pt x="727337" y="1399794"/>
                </a:lnTo>
                <a:lnTo>
                  <a:pt x="727337" y="1399604"/>
                </a:lnTo>
                <a:lnTo>
                  <a:pt x="1117958" y="1399508"/>
                </a:lnTo>
                <a:lnTo>
                  <a:pt x="1117958" y="1376077"/>
                </a:lnTo>
                <a:cubicBezTo>
                  <a:pt x="1117958" y="1361599"/>
                  <a:pt x="1129769" y="1349788"/>
                  <a:pt x="1144247" y="1349788"/>
                </a:cubicBezTo>
                <a:lnTo>
                  <a:pt x="1171393" y="1349788"/>
                </a:lnTo>
                <a:lnTo>
                  <a:pt x="1171393" y="965549"/>
                </a:lnTo>
                <a:cubicBezTo>
                  <a:pt x="1101670" y="946118"/>
                  <a:pt x="1053759" y="881634"/>
                  <a:pt x="1055950" y="808196"/>
                </a:cubicBezTo>
                <a:cubicBezTo>
                  <a:pt x="1058426" y="726091"/>
                  <a:pt x="1124625" y="658844"/>
                  <a:pt x="1206636" y="655130"/>
                </a:cubicBezTo>
                <a:cubicBezTo>
                  <a:pt x="1250355" y="653129"/>
                  <a:pt x="1291789" y="668655"/>
                  <a:pt x="1323317" y="698754"/>
                </a:cubicBezTo>
                <a:cubicBezTo>
                  <a:pt x="1354844" y="728948"/>
                  <a:pt x="1372275" y="769525"/>
                  <a:pt x="1372275" y="813149"/>
                </a:cubicBezTo>
                <a:cubicBezTo>
                  <a:pt x="1372275" y="884206"/>
                  <a:pt x="1324365" y="946595"/>
                  <a:pt x="1256832" y="965549"/>
                </a:cubicBezTo>
                <a:lnTo>
                  <a:pt x="1256832" y="1349883"/>
                </a:lnTo>
                <a:lnTo>
                  <a:pt x="1283978" y="1349883"/>
                </a:lnTo>
                <a:cubicBezTo>
                  <a:pt x="1298457" y="1349883"/>
                  <a:pt x="1310267" y="1361694"/>
                  <a:pt x="1310267" y="1376172"/>
                </a:cubicBezTo>
                <a:lnTo>
                  <a:pt x="1310267" y="1399604"/>
                </a:lnTo>
                <a:lnTo>
                  <a:pt x="1480574" y="1399604"/>
                </a:lnTo>
                <a:lnTo>
                  <a:pt x="1480574" y="302419"/>
                </a:lnTo>
                <a:cubicBezTo>
                  <a:pt x="1501339" y="313658"/>
                  <a:pt x="1516769" y="323088"/>
                  <a:pt x="1526675" y="329375"/>
                </a:cubicBezTo>
                <a:cubicBezTo>
                  <a:pt x="1534010" y="334042"/>
                  <a:pt x="1543725" y="332137"/>
                  <a:pt x="1548773" y="324993"/>
                </a:cubicBezTo>
                <a:lnTo>
                  <a:pt x="1608590" y="242126"/>
                </a:lnTo>
                <a:cubicBezTo>
                  <a:pt x="1614210" y="234410"/>
                  <a:pt x="1612210" y="223742"/>
                  <a:pt x="1604304" y="218599"/>
                </a:cubicBezTo>
                <a:close/>
                <a:moveTo>
                  <a:pt x="762389" y="419386"/>
                </a:moveTo>
                <a:cubicBezTo>
                  <a:pt x="762389" y="410528"/>
                  <a:pt x="769533" y="403384"/>
                  <a:pt x="778391" y="403384"/>
                </a:cubicBezTo>
                <a:lnTo>
                  <a:pt x="922600" y="403384"/>
                </a:lnTo>
                <a:cubicBezTo>
                  <a:pt x="931458" y="403384"/>
                  <a:pt x="938602" y="410528"/>
                  <a:pt x="938602" y="419386"/>
                </a:cubicBezTo>
                <a:lnTo>
                  <a:pt x="938602" y="567976"/>
                </a:lnTo>
                <a:cubicBezTo>
                  <a:pt x="938602" y="576834"/>
                  <a:pt x="931458" y="583978"/>
                  <a:pt x="922600" y="583978"/>
                </a:cubicBezTo>
                <a:lnTo>
                  <a:pt x="778391" y="583978"/>
                </a:lnTo>
                <a:cubicBezTo>
                  <a:pt x="769533" y="583978"/>
                  <a:pt x="762389" y="576834"/>
                  <a:pt x="762389" y="567976"/>
                </a:cubicBezTo>
                <a:lnTo>
                  <a:pt x="762389" y="419386"/>
                </a:lnTo>
                <a:close/>
                <a:moveTo>
                  <a:pt x="719813" y="716566"/>
                </a:moveTo>
                <a:cubicBezTo>
                  <a:pt x="719813" y="707708"/>
                  <a:pt x="726956" y="700564"/>
                  <a:pt x="735815" y="700564"/>
                </a:cubicBezTo>
                <a:lnTo>
                  <a:pt x="880023" y="700564"/>
                </a:lnTo>
                <a:cubicBezTo>
                  <a:pt x="888881" y="700564"/>
                  <a:pt x="896025" y="707708"/>
                  <a:pt x="896025" y="716566"/>
                </a:cubicBezTo>
                <a:lnTo>
                  <a:pt x="896025" y="865156"/>
                </a:lnTo>
                <a:cubicBezTo>
                  <a:pt x="896025" y="874014"/>
                  <a:pt x="888881" y="881158"/>
                  <a:pt x="880023" y="881158"/>
                </a:cubicBezTo>
                <a:lnTo>
                  <a:pt x="735815" y="881158"/>
                </a:lnTo>
                <a:cubicBezTo>
                  <a:pt x="726956" y="881158"/>
                  <a:pt x="719813" y="874014"/>
                  <a:pt x="719813" y="865156"/>
                </a:cubicBezTo>
                <a:lnTo>
                  <a:pt x="719813" y="716566"/>
                </a:lnTo>
                <a:close/>
                <a:moveTo>
                  <a:pt x="507786" y="419386"/>
                </a:moveTo>
                <a:cubicBezTo>
                  <a:pt x="507786" y="410528"/>
                  <a:pt x="514930" y="403384"/>
                  <a:pt x="523788" y="403384"/>
                </a:cubicBezTo>
                <a:lnTo>
                  <a:pt x="667997" y="403384"/>
                </a:lnTo>
                <a:cubicBezTo>
                  <a:pt x="676855" y="403384"/>
                  <a:pt x="683999" y="410528"/>
                  <a:pt x="683999" y="419386"/>
                </a:cubicBezTo>
                <a:lnTo>
                  <a:pt x="683999" y="567976"/>
                </a:lnTo>
                <a:cubicBezTo>
                  <a:pt x="683999" y="576834"/>
                  <a:pt x="676855" y="583978"/>
                  <a:pt x="667997" y="583978"/>
                </a:cubicBezTo>
                <a:lnTo>
                  <a:pt x="523788" y="583978"/>
                </a:lnTo>
                <a:cubicBezTo>
                  <a:pt x="514930" y="583978"/>
                  <a:pt x="507786" y="576834"/>
                  <a:pt x="507786" y="567976"/>
                </a:cubicBezTo>
                <a:lnTo>
                  <a:pt x="507786" y="419386"/>
                </a:lnTo>
                <a:close/>
                <a:moveTo>
                  <a:pt x="426633" y="567690"/>
                </a:moveTo>
                <a:cubicBezTo>
                  <a:pt x="426633" y="578168"/>
                  <a:pt x="418156" y="586550"/>
                  <a:pt x="407678" y="586550"/>
                </a:cubicBezTo>
                <a:lnTo>
                  <a:pt x="269852" y="586550"/>
                </a:lnTo>
                <a:cubicBezTo>
                  <a:pt x="259374" y="586550"/>
                  <a:pt x="250992" y="578072"/>
                  <a:pt x="250992" y="567690"/>
                </a:cubicBezTo>
                <a:lnTo>
                  <a:pt x="250992" y="422148"/>
                </a:lnTo>
                <a:cubicBezTo>
                  <a:pt x="250992" y="411671"/>
                  <a:pt x="259469" y="403193"/>
                  <a:pt x="269852" y="403193"/>
                </a:cubicBezTo>
                <a:lnTo>
                  <a:pt x="407678" y="403193"/>
                </a:lnTo>
                <a:cubicBezTo>
                  <a:pt x="418156" y="403193"/>
                  <a:pt x="426633" y="411671"/>
                  <a:pt x="426633" y="422148"/>
                </a:cubicBezTo>
                <a:lnTo>
                  <a:pt x="426633" y="567690"/>
                </a:lnTo>
                <a:close/>
                <a:moveTo>
                  <a:pt x="465209" y="865251"/>
                </a:moveTo>
                <a:lnTo>
                  <a:pt x="465209" y="716661"/>
                </a:lnTo>
                <a:cubicBezTo>
                  <a:pt x="465209" y="707803"/>
                  <a:pt x="472353" y="700659"/>
                  <a:pt x="481211" y="700659"/>
                </a:cubicBezTo>
                <a:lnTo>
                  <a:pt x="625420" y="700659"/>
                </a:lnTo>
                <a:cubicBezTo>
                  <a:pt x="634278" y="700659"/>
                  <a:pt x="641422" y="707803"/>
                  <a:pt x="641422" y="716661"/>
                </a:cubicBezTo>
                <a:lnTo>
                  <a:pt x="641422" y="865251"/>
                </a:lnTo>
                <a:cubicBezTo>
                  <a:pt x="641422" y="874109"/>
                  <a:pt x="634278" y="881253"/>
                  <a:pt x="625420" y="881253"/>
                </a:cubicBezTo>
                <a:lnTo>
                  <a:pt x="481211" y="881253"/>
                </a:lnTo>
                <a:cubicBezTo>
                  <a:pt x="472353" y="881253"/>
                  <a:pt x="465209" y="874109"/>
                  <a:pt x="465209" y="865251"/>
                </a:cubicBezTo>
                <a:close/>
                <a:moveTo>
                  <a:pt x="790869" y="1173194"/>
                </a:moveTo>
                <a:cubicBezTo>
                  <a:pt x="790869" y="1183672"/>
                  <a:pt x="782392" y="1192054"/>
                  <a:pt x="771914" y="1192054"/>
                </a:cubicBezTo>
                <a:lnTo>
                  <a:pt x="634088" y="1192054"/>
                </a:lnTo>
                <a:cubicBezTo>
                  <a:pt x="623610" y="1192054"/>
                  <a:pt x="615133" y="1183577"/>
                  <a:pt x="615133" y="1173194"/>
                </a:cubicBezTo>
                <a:lnTo>
                  <a:pt x="615133" y="1027748"/>
                </a:lnTo>
                <a:cubicBezTo>
                  <a:pt x="615133" y="1017270"/>
                  <a:pt x="623610" y="1008793"/>
                  <a:pt x="634088" y="1008793"/>
                </a:cubicBezTo>
                <a:lnTo>
                  <a:pt x="771914" y="1008793"/>
                </a:lnTo>
                <a:cubicBezTo>
                  <a:pt x="782392" y="1008793"/>
                  <a:pt x="790869" y="1017270"/>
                  <a:pt x="790869" y="1027748"/>
                </a:cubicBezTo>
                <a:lnTo>
                  <a:pt x="790869" y="1173194"/>
                </a:lnTo>
                <a:close/>
                <a:moveTo>
                  <a:pt x="1055759" y="1173194"/>
                </a:moveTo>
                <a:cubicBezTo>
                  <a:pt x="1055759" y="1183672"/>
                  <a:pt x="1047282" y="1192054"/>
                  <a:pt x="1036900" y="1192054"/>
                </a:cubicBezTo>
                <a:lnTo>
                  <a:pt x="899073" y="1192054"/>
                </a:lnTo>
                <a:cubicBezTo>
                  <a:pt x="888596" y="1192054"/>
                  <a:pt x="880214" y="1183577"/>
                  <a:pt x="880214" y="1173194"/>
                </a:cubicBezTo>
                <a:lnTo>
                  <a:pt x="880214" y="1027748"/>
                </a:lnTo>
                <a:cubicBezTo>
                  <a:pt x="880214" y="1017270"/>
                  <a:pt x="888691" y="1008793"/>
                  <a:pt x="899073" y="1008793"/>
                </a:cubicBezTo>
                <a:lnTo>
                  <a:pt x="1036900" y="1008793"/>
                </a:lnTo>
                <a:cubicBezTo>
                  <a:pt x="1047377" y="1008793"/>
                  <a:pt x="1055759" y="1017270"/>
                  <a:pt x="1055759" y="1027748"/>
                </a:cubicBezTo>
                <a:lnTo>
                  <a:pt x="1055759" y="1173194"/>
                </a:lnTo>
                <a:close/>
                <a:moveTo>
                  <a:pt x="1193396" y="567976"/>
                </a:moveTo>
                <a:cubicBezTo>
                  <a:pt x="1193396" y="576834"/>
                  <a:pt x="1186252" y="583978"/>
                  <a:pt x="1177394" y="583978"/>
                </a:cubicBezTo>
                <a:lnTo>
                  <a:pt x="1033185" y="583978"/>
                </a:lnTo>
                <a:cubicBezTo>
                  <a:pt x="1024327" y="583978"/>
                  <a:pt x="1017183" y="576834"/>
                  <a:pt x="1017183" y="567976"/>
                </a:cubicBezTo>
                <a:lnTo>
                  <a:pt x="1017183" y="419386"/>
                </a:lnTo>
                <a:cubicBezTo>
                  <a:pt x="1017183" y="410528"/>
                  <a:pt x="1024327" y="403384"/>
                  <a:pt x="1033185" y="403384"/>
                </a:cubicBezTo>
                <a:lnTo>
                  <a:pt x="1177394" y="403384"/>
                </a:lnTo>
                <a:cubicBezTo>
                  <a:pt x="1186252" y="403384"/>
                  <a:pt x="1193396" y="410528"/>
                  <a:pt x="1193396" y="419386"/>
                </a:cubicBezTo>
                <a:lnTo>
                  <a:pt x="1193396" y="567976"/>
                </a:lnTo>
                <a:close/>
              </a:path>
            </a:pathLst>
          </a:custGeom>
          <a:grpFill/>
          <a:ln w="9525" cap="flat">
            <a:noFill/>
            <a:prstDash val="solid"/>
            <a:miter/>
          </a:ln>
        </xdr:spPr>
        <xdr:txBody>
          <a:bodyPr wrap="square" rtlCol="0"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8</xdr:col>
      <xdr:colOff>132021</xdr:colOff>
      <xdr:row>86</xdr:row>
      <xdr:rowOff>223715</xdr:rowOff>
    </xdr:from>
    <xdr:to>
      <xdr:col>9</xdr:col>
      <xdr:colOff>915343</xdr:colOff>
      <xdr:row>88</xdr:row>
      <xdr:rowOff>86244</xdr:rowOff>
    </xdr:to>
    <xdr:sp macro="" textlink="">
      <xdr:nvSpPr>
        <xdr:cNvPr id="141" name="テキスト ボックス 41">
          <a:extLst>
            <a:ext uri="{FF2B5EF4-FFF2-40B4-BE49-F238E27FC236}">
              <a16:creationId xmlns:a16="http://schemas.microsoft.com/office/drawing/2014/main" id="{CBCF4EFC-EDBB-447B-B7F9-E14D988453FF}"/>
            </a:ext>
          </a:extLst>
        </xdr:cNvPr>
        <xdr:cNvSpPr txBox="1">
          <a:spLocks noChangeArrowheads="1"/>
        </xdr:cNvSpPr>
      </xdr:nvSpPr>
      <xdr:spPr bwMode="auto">
        <a:xfrm>
          <a:off x="7894896" y="19740440"/>
          <a:ext cx="1812022" cy="338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公共施設</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a:t>
          </a:r>
        </a:p>
      </xdr:txBody>
    </xdr:sp>
    <xdr:clientData/>
  </xdr:twoCellAnchor>
  <xdr:twoCellAnchor>
    <xdr:from>
      <xdr:col>8</xdr:col>
      <xdr:colOff>636332</xdr:colOff>
      <xdr:row>82</xdr:row>
      <xdr:rowOff>212716</xdr:rowOff>
    </xdr:from>
    <xdr:to>
      <xdr:col>9</xdr:col>
      <xdr:colOff>460445</xdr:colOff>
      <xdr:row>86</xdr:row>
      <xdr:rowOff>225666</xdr:rowOff>
    </xdr:to>
    <xdr:sp macro="" textlink="">
      <xdr:nvSpPr>
        <xdr:cNvPr id="142" name="Freeform 62">
          <a:extLst>
            <a:ext uri="{FF2B5EF4-FFF2-40B4-BE49-F238E27FC236}">
              <a16:creationId xmlns:a16="http://schemas.microsoft.com/office/drawing/2014/main" id="{EB11C5DB-DA41-438D-9D8B-AB5C24305963}"/>
            </a:ext>
          </a:extLst>
        </xdr:cNvPr>
        <xdr:cNvSpPr>
          <a:spLocks noChangeAspect="1" noEditPoints="1"/>
        </xdr:cNvSpPr>
      </xdr:nvSpPr>
      <xdr:spPr bwMode="auto">
        <a:xfrm>
          <a:off x="8399207" y="18776941"/>
          <a:ext cx="852813" cy="965450"/>
        </a:xfrm>
        <a:custGeom>
          <a:avLst/>
          <a:gdLst>
            <a:gd name="T0" fmla="*/ 186 w 192"/>
            <a:gd name="T1" fmla="*/ 9 h 186"/>
            <a:gd name="T2" fmla="*/ 18 w 192"/>
            <a:gd name="T3" fmla="*/ 0 h 186"/>
            <a:gd name="T4" fmla="*/ 7 w 192"/>
            <a:gd name="T5" fmla="*/ 176 h 186"/>
            <a:gd name="T6" fmla="*/ 0 w 192"/>
            <a:gd name="T7" fmla="*/ 186 h 186"/>
            <a:gd name="T8" fmla="*/ 189 w 192"/>
            <a:gd name="T9" fmla="*/ 176 h 186"/>
            <a:gd name="T10" fmla="*/ 105 w 192"/>
            <a:gd name="T11" fmla="*/ 37 h 186"/>
            <a:gd name="T12" fmla="*/ 86 w 192"/>
            <a:gd name="T13" fmla="*/ 55 h 186"/>
            <a:gd name="T14" fmla="*/ 86 w 192"/>
            <a:gd name="T15" fmla="*/ 70 h 186"/>
            <a:gd name="T16" fmla="*/ 105 w 192"/>
            <a:gd name="T17" fmla="*/ 88 h 186"/>
            <a:gd name="T18" fmla="*/ 86 w 192"/>
            <a:gd name="T19" fmla="*/ 88 h 186"/>
            <a:gd name="T20" fmla="*/ 105 w 192"/>
            <a:gd name="T21" fmla="*/ 137 h 186"/>
            <a:gd name="T22" fmla="*/ 62 w 192"/>
            <a:gd name="T23" fmla="*/ 22 h 186"/>
            <a:gd name="T24" fmla="*/ 62 w 192"/>
            <a:gd name="T25" fmla="*/ 37 h 186"/>
            <a:gd name="T26" fmla="*/ 81 w 192"/>
            <a:gd name="T27" fmla="*/ 55 h 186"/>
            <a:gd name="T28" fmla="*/ 62 w 192"/>
            <a:gd name="T29" fmla="*/ 55 h 186"/>
            <a:gd name="T30" fmla="*/ 81 w 192"/>
            <a:gd name="T31" fmla="*/ 103 h 186"/>
            <a:gd name="T32" fmla="*/ 32 w 192"/>
            <a:gd name="T33" fmla="*/ 137 h 186"/>
            <a:gd name="T34" fmla="*/ 32 w 192"/>
            <a:gd name="T35" fmla="*/ 122 h 186"/>
            <a:gd name="T36" fmla="*/ 16 w 192"/>
            <a:gd name="T37" fmla="*/ 103 h 186"/>
            <a:gd name="T38" fmla="*/ 32 w 192"/>
            <a:gd name="T39" fmla="*/ 103 h 186"/>
            <a:gd name="T40" fmla="*/ 16 w 192"/>
            <a:gd name="T41" fmla="*/ 55 h 186"/>
            <a:gd name="T42" fmla="*/ 32 w 192"/>
            <a:gd name="T43" fmla="*/ 37 h 186"/>
            <a:gd name="T44" fmla="*/ 32 w 192"/>
            <a:gd name="T45" fmla="*/ 22 h 186"/>
            <a:gd name="T46" fmla="*/ 38 w 192"/>
            <a:gd name="T47" fmla="*/ 137 h 186"/>
            <a:gd name="T48" fmla="*/ 57 w 192"/>
            <a:gd name="T49" fmla="*/ 137 h 186"/>
            <a:gd name="T50" fmla="*/ 38 w 192"/>
            <a:gd name="T51" fmla="*/ 88 h 186"/>
            <a:gd name="T52" fmla="*/ 57 w 192"/>
            <a:gd name="T53" fmla="*/ 70 h 186"/>
            <a:gd name="T54" fmla="*/ 57 w 192"/>
            <a:gd name="T55" fmla="*/ 55 h 186"/>
            <a:gd name="T56" fmla="*/ 38 w 192"/>
            <a:gd name="T57" fmla="*/ 37 h 186"/>
            <a:gd name="T58" fmla="*/ 57 w 192"/>
            <a:gd name="T59" fmla="*/ 37 h 186"/>
            <a:gd name="T60" fmla="*/ 81 w 192"/>
            <a:gd name="T61" fmla="*/ 137 h 186"/>
            <a:gd name="T62" fmla="*/ 68 w 192"/>
            <a:gd name="T63" fmla="*/ 153 h 186"/>
            <a:gd name="T64" fmla="*/ 68 w 192"/>
            <a:gd name="T65" fmla="*/ 176 h 186"/>
            <a:gd name="T66" fmla="*/ 97 w 192"/>
            <a:gd name="T67" fmla="*/ 176 h 186"/>
            <a:gd name="T68" fmla="*/ 124 w 192"/>
            <a:gd name="T69" fmla="*/ 176 h 186"/>
            <a:gd name="T70" fmla="*/ 111 w 192"/>
            <a:gd name="T71" fmla="*/ 122 h 186"/>
            <a:gd name="T72" fmla="*/ 130 w 192"/>
            <a:gd name="T73" fmla="*/ 103 h 186"/>
            <a:gd name="T74" fmla="*/ 130 w 192"/>
            <a:gd name="T75" fmla="*/ 88 h 186"/>
            <a:gd name="T76" fmla="*/ 111 w 192"/>
            <a:gd name="T77" fmla="*/ 70 h 186"/>
            <a:gd name="T78" fmla="*/ 130 w 192"/>
            <a:gd name="T79" fmla="*/ 70 h 186"/>
            <a:gd name="T80" fmla="*/ 111 w 192"/>
            <a:gd name="T81" fmla="*/ 22 h 186"/>
            <a:gd name="T82" fmla="*/ 154 w 192"/>
            <a:gd name="T83" fmla="*/ 137 h 186"/>
            <a:gd name="T84" fmla="*/ 154 w 192"/>
            <a:gd name="T85" fmla="*/ 122 h 186"/>
            <a:gd name="T86" fmla="*/ 135 w 192"/>
            <a:gd name="T87" fmla="*/ 103 h 186"/>
            <a:gd name="T88" fmla="*/ 154 w 192"/>
            <a:gd name="T89" fmla="*/ 103 h 186"/>
            <a:gd name="T90" fmla="*/ 135 w 192"/>
            <a:gd name="T91" fmla="*/ 55 h 186"/>
            <a:gd name="T92" fmla="*/ 154 w 192"/>
            <a:gd name="T93" fmla="*/ 37 h 186"/>
            <a:gd name="T94" fmla="*/ 154 w 192"/>
            <a:gd name="T95" fmla="*/ 22 h 186"/>
            <a:gd name="T96" fmla="*/ 159 w 192"/>
            <a:gd name="T97" fmla="*/ 137 h 186"/>
            <a:gd name="T98" fmla="*/ 178 w 192"/>
            <a:gd name="T99" fmla="*/ 137 h 186"/>
            <a:gd name="T100" fmla="*/ 159 w 192"/>
            <a:gd name="T101" fmla="*/ 88 h 186"/>
            <a:gd name="T102" fmla="*/ 178 w 192"/>
            <a:gd name="T103" fmla="*/ 70 h 186"/>
            <a:gd name="T104" fmla="*/ 178 w 192"/>
            <a:gd name="T105" fmla="*/ 55 h 186"/>
            <a:gd name="T106" fmla="*/ 159 w 192"/>
            <a:gd name="T107" fmla="*/ 37 h 186"/>
            <a:gd name="T108" fmla="*/ 178 w 192"/>
            <a:gd name="T109" fmla="*/ 37 h 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92" h="186">
              <a:moveTo>
                <a:pt x="189" y="176"/>
              </a:moveTo>
              <a:cubicBezTo>
                <a:pt x="186" y="176"/>
                <a:pt x="186" y="176"/>
                <a:pt x="186" y="176"/>
              </a:cubicBezTo>
              <a:cubicBezTo>
                <a:pt x="186" y="9"/>
                <a:pt x="186" y="9"/>
                <a:pt x="186" y="9"/>
              </a:cubicBezTo>
              <a:cubicBezTo>
                <a:pt x="124" y="9"/>
                <a:pt x="124" y="9"/>
                <a:pt x="124" y="9"/>
              </a:cubicBezTo>
              <a:cubicBezTo>
                <a:pt x="124" y="0"/>
                <a:pt x="124" y="0"/>
                <a:pt x="124" y="0"/>
              </a:cubicBezTo>
              <a:cubicBezTo>
                <a:pt x="18" y="0"/>
                <a:pt x="18" y="0"/>
                <a:pt x="18" y="0"/>
              </a:cubicBezTo>
              <a:cubicBezTo>
                <a:pt x="18" y="9"/>
                <a:pt x="18" y="9"/>
                <a:pt x="18" y="9"/>
              </a:cubicBezTo>
              <a:cubicBezTo>
                <a:pt x="7" y="9"/>
                <a:pt x="7" y="9"/>
                <a:pt x="7" y="9"/>
              </a:cubicBezTo>
              <a:cubicBezTo>
                <a:pt x="7" y="176"/>
                <a:pt x="7" y="176"/>
                <a:pt x="7" y="176"/>
              </a:cubicBezTo>
              <a:cubicBezTo>
                <a:pt x="3" y="176"/>
                <a:pt x="3" y="176"/>
                <a:pt x="3" y="176"/>
              </a:cubicBezTo>
              <a:cubicBezTo>
                <a:pt x="1" y="176"/>
                <a:pt x="0" y="177"/>
                <a:pt x="0" y="179"/>
              </a:cubicBezTo>
              <a:cubicBezTo>
                <a:pt x="0" y="186"/>
                <a:pt x="0" y="186"/>
                <a:pt x="0" y="186"/>
              </a:cubicBezTo>
              <a:cubicBezTo>
                <a:pt x="192" y="186"/>
                <a:pt x="192" y="186"/>
                <a:pt x="192" y="186"/>
              </a:cubicBezTo>
              <a:cubicBezTo>
                <a:pt x="192" y="179"/>
                <a:pt x="192" y="179"/>
                <a:pt x="192" y="179"/>
              </a:cubicBezTo>
              <a:cubicBezTo>
                <a:pt x="192" y="177"/>
                <a:pt x="191" y="176"/>
                <a:pt x="189" y="176"/>
              </a:cubicBezTo>
              <a:close/>
              <a:moveTo>
                <a:pt x="86" y="22"/>
              </a:moveTo>
              <a:cubicBezTo>
                <a:pt x="105" y="22"/>
                <a:pt x="105" y="22"/>
                <a:pt x="105" y="22"/>
              </a:cubicBezTo>
              <a:cubicBezTo>
                <a:pt x="105" y="37"/>
                <a:pt x="105" y="37"/>
                <a:pt x="105" y="37"/>
              </a:cubicBezTo>
              <a:cubicBezTo>
                <a:pt x="86" y="37"/>
                <a:pt x="86" y="37"/>
                <a:pt x="86" y="37"/>
              </a:cubicBezTo>
              <a:lnTo>
                <a:pt x="86" y="22"/>
              </a:lnTo>
              <a:close/>
              <a:moveTo>
                <a:pt x="86" y="55"/>
              </a:moveTo>
              <a:cubicBezTo>
                <a:pt x="105" y="55"/>
                <a:pt x="105" y="55"/>
                <a:pt x="105" y="55"/>
              </a:cubicBezTo>
              <a:cubicBezTo>
                <a:pt x="105" y="70"/>
                <a:pt x="105" y="70"/>
                <a:pt x="105" y="70"/>
              </a:cubicBezTo>
              <a:cubicBezTo>
                <a:pt x="86" y="70"/>
                <a:pt x="86" y="70"/>
                <a:pt x="86" y="70"/>
              </a:cubicBezTo>
              <a:lnTo>
                <a:pt x="86" y="55"/>
              </a:lnTo>
              <a:close/>
              <a:moveTo>
                <a:pt x="86" y="88"/>
              </a:moveTo>
              <a:cubicBezTo>
                <a:pt x="105" y="88"/>
                <a:pt x="105" y="88"/>
                <a:pt x="105" y="88"/>
              </a:cubicBezTo>
              <a:cubicBezTo>
                <a:pt x="105" y="103"/>
                <a:pt x="105" y="103"/>
                <a:pt x="105" y="103"/>
              </a:cubicBezTo>
              <a:cubicBezTo>
                <a:pt x="86" y="103"/>
                <a:pt x="86" y="103"/>
                <a:pt x="86" y="103"/>
              </a:cubicBezTo>
              <a:lnTo>
                <a:pt x="86" y="88"/>
              </a:lnTo>
              <a:close/>
              <a:moveTo>
                <a:pt x="86" y="122"/>
              </a:moveTo>
              <a:cubicBezTo>
                <a:pt x="105" y="122"/>
                <a:pt x="105" y="122"/>
                <a:pt x="105" y="122"/>
              </a:cubicBezTo>
              <a:cubicBezTo>
                <a:pt x="105" y="137"/>
                <a:pt x="105" y="137"/>
                <a:pt x="105" y="137"/>
              </a:cubicBezTo>
              <a:cubicBezTo>
                <a:pt x="86" y="137"/>
                <a:pt x="86" y="137"/>
                <a:pt x="86" y="137"/>
              </a:cubicBezTo>
              <a:lnTo>
                <a:pt x="86" y="122"/>
              </a:lnTo>
              <a:close/>
              <a:moveTo>
                <a:pt x="62" y="22"/>
              </a:moveTo>
              <a:cubicBezTo>
                <a:pt x="81" y="22"/>
                <a:pt x="81" y="22"/>
                <a:pt x="81" y="22"/>
              </a:cubicBezTo>
              <a:cubicBezTo>
                <a:pt x="81" y="37"/>
                <a:pt x="81" y="37"/>
                <a:pt x="81" y="37"/>
              </a:cubicBezTo>
              <a:cubicBezTo>
                <a:pt x="62" y="37"/>
                <a:pt x="62" y="37"/>
                <a:pt x="62" y="37"/>
              </a:cubicBezTo>
              <a:lnTo>
                <a:pt x="62" y="22"/>
              </a:lnTo>
              <a:close/>
              <a:moveTo>
                <a:pt x="62" y="55"/>
              </a:moveTo>
              <a:cubicBezTo>
                <a:pt x="81" y="55"/>
                <a:pt x="81" y="55"/>
                <a:pt x="81" y="55"/>
              </a:cubicBezTo>
              <a:cubicBezTo>
                <a:pt x="81" y="70"/>
                <a:pt x="81" y="70"/>
                <a:pt x="81" y="70"/>
              </a:cubicBezTo>
              <a:cubicBezTo>
                <a:pt x="62" y="70"/>
                <a:pt x="62" y="70"/>
                <a:pt x="62" y="70"/>
              </a:cubicBezTo>
              <a:lnTo>
                <a:pt x="62" y="55"/>
              </a:lnTo>
              <a:close/>
              <a:moveTo>
                <a:pt x="62" y="88"/>
              </a:moveTo>
              <a:cubicBezTo>
                <a:pt x="81" y="88"/>
                <a:pt x="81" y="88"/>
                <a:pt x="81" y="88"/>
              </a:cubicBezTo>
              <a:cubicBezTo>
                <a:pt x="81" y="103"/>
                <a:pt x="81" y="103"/>
                <a:pt x="81" y="103"/>
              </a:cubicBezTo>
              <a:cubicBezTo>
                <a:pt x="62" y="103"/>
                <a:pt x="62" y="103"/>
                <a:pt x="62" y="103"/>
              </a:cubicBezTo>
              <a:lnTo>
                <a:pt x="62" y="88"/>
              </a:lnTo>
              <a:close/>
              <a:moveTo>
                <a:pt x="32" y="137"/>
              </a:moveTo>
              <a:cubicBezTo>
                <a:pt x="16" y="137"/>
                <a:pt x="16" y="137"/>
                <a:pt x="16" y="137"/>
              </a:cubicBezTo>
              <a:cubicBezTo>
                <a:pt x="16" y="122"/>
                <a:pt x="16" y="122"/>
                <a:pt x="16" y="122"/>
              </a:cubicBezTo>
              <a:cubicBezTo>
                <a:pt x="32" y="122"/>
                <a:pt x="32" y="122"/>
                <a:pt x="32" y="122"/>
              </a:cubicBezTo>
              <a:lnTo>
                <a:pt x="32" y="137"/>
              </a:lnTo>
              <a:close/>
              <a:moveTo>
                <a:pt x="32" y="103"/>
              </a:moveTo>
              <a:cubicBezTo>
                <a:pt x="16" y="103"/>
                <a:pt x="16" y="103"/>
                <a:pt x="16" y="103"/>
              </a:cubicBezTo>
              <a:cubicBezTo>
                <a:pt x="16" y="88"/>
                <a:pt x="16" y="88"/>
                <a:pt x="16" y="88"/>
              </a:cubicBezTo>
              <a:cubicBezTo>
                <a:pt x="32" y="88"/>
                <a:pt x="32" y="88"/>
                <a:pt x="32" y="88"/>
              </a:cubicBezTo>
              <a:lnTo>
                <a:pt x="32" y="103"/>
              </a:lnTo>
              <a:close/>
              <a:moveTo>
                <a:pt x="32" y="70"/>
              </a:moveTo>
              <a:cubicBezTo>
                <a:pt x="16" y="70"/>
                <a:pt x="16" y="70"/>
                <a:pt x="16" y="70"/>
              </a:cubicBezTo>
              <a:cubicBezTo>
                <a:pt x="16" y="55"/>
                <a:pt x="16" y="55"/>
                <a:pt x="16" y="55"/>
              </a:cubicBezTo>
              <a:cubicBezTo>
                <a:pt x="32" y="55"/>
                <a:pt x="32" y="55"/>
                <a:pt x="32" y="55"/>
              </a:cubicBezTo>
              <a:lnTo>
                <a:pt x="32" y="70"/>
              </a:lnTo>
              <a:close/>
              <a:moveTo>
                <a:pt x="32" y="37"/>
              </a:moveTo>
              <a:cubicBezTo>
                <a:pt x="16" y="37"/>
                <a:pt x="16" y="37"/>
                <a:pt x="16" y="37"/>
              </a:cubicBezTo>
              <a:cubicBezTo>
                <a:pt x="16" y="22"/>
                <a:pt x="16" y="22"/>
                <a:pt x="16" y="22"/>
              </a:cubicBezTo>
              <a:cubicBezTo>
                <a:pt x="32" y="22"/>
                <a:pt x="32" y="22"/>
                <a:pt x="32" y="22"/>
              </a:cubicBezTo>
              <a:lnTo>
                <a:pt x="32" y="37"/>
              </a:lnTo>
              <a:close/>
              <a:moveTo>
                <a:pt x="57" y="137"/>
              </a:moveTo>
              <a:cubicBezTo>
                <a:pt x="38" y="137"/>
                <a:pt x="38" y="137"/>
                <a:pt x="38" y="137"/>
              </a:cubicBezTo>
              <a:cubicBezTo>
                <a:pt x="38" y="122"/>
                <a:pt x="38" y="122"/>
                <a:pt x="38" y="122"/>
              </a:cubicBezTo>
              <a:cubicBezTo>
                <a:pt x="57" y="122"/>
                <a:pt x="57" y="122"/>
                <a:pt x="57" y="122"/>
              </a:cubicBezTo>
              <a:lnTo>
                <a:pt x="57" y="137"/>
              </a:lnTo>
              <a:close/>
              <a:moveTo>
                <a:pt x="57" y="103"/>
              </a:moveTo>
              <a:cubicBezTo>
                <a:pt x="38" y="103"/>
                <a:pt x="38" y="103"/>
                <a:pt x="38" y="103"/>
              </a:cubicBezTo>
              <a:cubicBezTo>
                <a:pt x="38" y="88"/>
                <a:pt x="38" y="88"/>
                <a:pt x="38" y="88"/>
              </a:cubicBezTo>
              <a:cubicBezTo>
                <a:pt x="57" y="88"/>
                <a:pt x="57" y="88"/>
                <a:pt x="57" y="88"/>
              </a:cubicBezTo>
              <a:lnTo>
                <a:pt x="57" y="103"/>
              </a:lnTo>
              <a:close/>
              <a:moveTo>
                <a:pt x="57" y="70"/>
              </a:moveTo>
              <a:cubicBezTo>
                <a:pt x="38" y="70"/>
                <a:pt x="38" y="70"/>
                <a:pt x="38" y="70"/>
              </a:cubicBezTo>
              <a:cubicBezTo>
                <a:pt x="38" y="55"/>
                <a:pt x="38" y="55"/>
                <a:pt x="38" y="55"/>
              </a:cubicBezTo>
              <a:cubicBezTo>
                <a:pt x="57" y="55"/>
                <a:pt x="57" y="55"/>
                <a:pt x="57" y="55"/>
              </a:cubicBezTo>
              <a:lnTo>
                <a:pt x="57" y="70"/>
              </a:lnTo>
              <a:close/>
              <a:moveTo>
                <a:pt x="57" y="37"/>
              </a:moveTo>
              <a:cubicBezTo>
                <a:pt x="38" y="37"/>
                <a:pt x="38" y="37"/>
                <a:pt x="38" y="37"/>
              </a:cubicBezTo>
              <a:cubicBezTo>
                <a:pt x="38" y="22"/>
                <a:pt x="38" y="22"/>
                <a:pt x="38" y="22"/>
              </a:cubicBezTo>
              <a:cubicBezTo>
                <a:pt x="57" y="22"/>
                <a:pt x="57" y="22"/>
                <a:pt x="57" y="22"/>
              </a:cubicBezTo>
              <a:lnTo>
                <a:pt x="57" y="37"/>
              </a:lnTo>
              <a:close/>
              <a:moveTo>
                <a:pt x="62" y="122"/>
              </a:moveTo>
              <a:cubicBezTo>
                <a:pt x="81" y="122"/>
                <a:pt x="81" y="122"/>
                <a:pt x="81" y="122"/>
              </a:cubicBezTo>
              <a:cubicBezTo>
                <a:pt x="81" y="137"/>
                <a:pt x="81" y="137"/>
                <a:pt x="81" y="137"/>
              </a:cubicBezTo>
              <a:cubicBezTo>
                <a:pt x="62" y="137"/>
                <a:pt x="62" y="137"/>
                <a:pt x="62" y="137"/>
              </a:cubicBezTo>
              <a:lnTo>
                <a:pt x="62" y="122"/>
              </a:lnTo>
              <a:close/>
              <a:moveTo>
                <a:pt x="68" y="153"/>
              </a:moveTo>
              <a:cubicBezTo>
                <a:pt x="95" y="153"/>
                <a:pt x="95" y="153"/>
                <a:pt x="95" y="153"/>
              </a:cubicBezTo>
              <a:cubicBezTo>
                <a:pt x="95" y="176"/>
                <a:pt x="95" y="176"/>
                <a:pt x="95" y="176"/>
              </a:cubicBezTo>
              <a:cubicBezTo>
                <a:pt x="68" y="176"/>
                <a:pt x="68" y="176"/>
                <a:pt x="68" y="176"/>
              </a:cubicBezTo>
              <a:lnTo>
                <a:pt x="68" y="153"/>
              </a:lnTo>
              <a:close/>
              <a:moveTo>
                <a:pt x="124" y="176"/>
              </a:moveTo>
              <a:cubicBezTo>
                <a:pt x="97" y="176"/>
                <a:pt x="97" y="176"/>
                <a:pt x="97" y="176"/>
              </a:cubicBezTo>
              <a:cubicBezTo>
                <a:pt x="97" y="153"/>
                <a:pt x="97" y="153"/>
                <a:pt x="97" y="153"/>
              </a:cubicBezTo>
              <a:cubicBezTo>
                <a:pt x="124" y="153"/>
                <a:pt x="124" y="153"/>
                <a:pt x="124" y="153"/>
              </a:cubicBezTo>
              <a:lnTo>
                <a:pt x="124" y="176"/>
              </a:lnTo>
              <a:close/>
              <a:moveTo>
                <a:pt x="130" y="137"/>
              </a:moveTo>
              <a:cubicBezTo>
                <a:pt x="111" y="137"/>
                <a:pt x="111" y="137"/>
                <a:pt x="111" y="137"/>
              </a:cubicBezTo>
              <a:cubicBezTo>
                <a:pt x="111" y="122"/>
                <a:pt x="111" y="122"/>
                <a:pt x="111" y="122"/>
              </a:cubicBezTo>
              <a:cubicBezTo>
                <a:pt x="130" y="122"/>
                <a:pt x="130" y="122"/>
                <a:pt x="130" y="122"/>
              </a:cubicBezTo>
              <a:lnTo>
                <a:pt x="130" y="137"/>
              </a:lnTo>
              <a:close/>
              <a:moveTo>
                <a:pt x="130" y="103"/>
              </a:moveTo>
              <a:cubicBezTo>
                <a:pt x="111" y="103"/>
                <a:pt x="111" y="103"/>
                <a:pt x="111" y="103"/>
              </a:cubicBezTo>
              <a:cubicBezTo>
                <a:pt x="111" y="88"/>
                <a:pt x="111" y="88"/>
                <a:pt x="111" y="88"/>
              </a:cubicBezTo>
              <a:cubicBezTo>
                <a:pt x="130" y="88"/>
                <a:pt x="130" y="88"/>
                <a:pt x="130" y="88"/>
              </a:cubicBezTo>
              <a:lnTo>
                <a:pt x="130" y="103"/>
              </a:lnTo>
              <a:close/>
              <a:moveTo>
                <a:pt x="130" y="70"/>
              </a:moveTo>
              <a:cubicBezTo>
                <a:pt x="111" y="70"/>
                <a:pt x="111" y="70"/>
                <a:pt x="111" y="70"/>
              </a:cubicBezTo>
              <a:cubicBezTo>
                <a:pt x="111" y="55"/>
                <a:pt x="111" y="55"/>
                <a:pt x="111" y="55"/>
              </a:cubicBezTo>
              <a:cubicBezTo>
                <a:pt x="130" y="55"/>
                <a:pt x="130" y="55"/>
                <a:pt x="130" y="55"/>
              </a:cubicBezTo>
              <a:lnTo>
                <a:pt x="130" y="70"/>
              </a:lnTo>
              <a:close/>
              <a:moveTo>
                <a:pt x="130" y="37"/>
              </a:moveTo>
              <a:cubicBezTo>
                <a:pt x="111" y="37"/>
                <a:pt x="111" y="37"/>
                <a:pt x="111" y="37"/>
              </a:cubicBezTo>
              <a:cubicBezTo>
                <a:pt x="111" y="22"/>
                <a:pt x="111" y="22"/>
                <a:pt x="111" y="22"/>
              </a:cubicBezTo>
              <a:cubicBezTo>
                <a:pt x="130" y="22"/>
                <a:pt x="130" y="22"/>
                <a:pt x="130" y="22"/>
              </a:cubicBezTo>
              <a:lnTo>
                <a:pt x="130" y="37"/>
              </a:lnTo>
              <a:close/>
              <a:moveTo>
                <a:pt x="154" y="137"/>
              </a:moveTo>
              <a:cubicBezTo>
                <a:pt x="135" y="137"/>
                <a:pt x="135" y="137"/>
                <a:pt x="135" y="137"/>
              </a:cubicBezTo>
              <a:cubicBezTo>
                <a:pt x="135" y="122"/>
                <a:pt x="135" y="122"/>
                <a:pt x="135" y="122"/>
              </a:cubicBezTo>
              <a:cubicBezTo>
                <a:pt x="154" y="122"/>
                <a:pt x="154" y="122"/>
                <a:pt x="154" y="122"/>
              </a:cubicBezTo>
              <a:lnTo>
                <a:pt x="154" y="137"/>
              </a:lnTo>
              <a:close/>
              <a:moveTo>
                <a:pt x="154" y="103"/>
              </a:moveTo>
              <a:cubicBezTo>
                <a:pt x="135" y="103"/>
                <a:pt x="135" y="103"/>
                <a:pt x="135" y="103"/>
              </a:cubicBezTo>
              <a:cubicBezTo>
                <a:pt x="135" y="88"/>
                <a:pt x="135" y="88"/>
                <a:pt x="135" y="88"/>
              </a:cubicBezTo>
              <a:cubicBezTo>
                <a:pt x="154" y="88"/>
                <a:pt x="154" y="88"/>
                <a:pt x="154" y="88"/>
              </a:cubicBezTo>
              <a:lnTo>
                <a:pt x="154" y="103"/>
              </a:lnTo>
              <a:close/>
              <a:moveTo>
                <a:pt x="154" y="70"/>
              </a:moveTo>
              <a:cubicBezTo>
                <a:pt x="135" y="70"/>
                <a:pt x="135" y="70"/>
                <a:pt x="135" y="70"/>
              </a:cubicBezTo>
              <a:cubicBezTo>
                <a:pt x="135" y="55"/>
                <a:pt x="135" y="55"/>
                <a:pt x="135" y="55"/>
              </a:cubicBezTo>
              <a:cubicBezTo>
                <a:pt x="154" y="55"/>
                <a:pt x="154" y="55"/>
                <a:pt x="154" y="55"/>
              </a:cubicBezTo>
              <a:lnTo>
                <a:pt x="154" y="70"/>
              </a:lnTo>
              <a:close/>
              <a:moveTo>
                <a:pt x="154" y="37"/>
              </a:moveTo>
              <a:cubicBezTo>
                <a:pt x="135" y="37"/>
                <a:pt x="135" y="37"/>
                <a:pt x="135" y="37"/>
              </a:cubicBezTo>
              <a:cubicBezTo>
                <a:pt x="135" y="22"/>
                <a:pt x="135" y="22"/>
                <a:pt x="135" y="22"/>
              </a:cubicBezTo>
              <a:cubicBezTo>
                <a:pt x="154" y="22"/>
                <a:pt x="154" y="22"/>
                <a:pt x="154" y="22"/>
              </a:cubicBezTo>
              <a:lnTo>
                <a:pt x="154" y="37"/>
              </a:lnTo>
              <a:close/>
              <a:moveTo>
                <a:pt x="178" y="137"/>
              </a:moveTo>
              <a:cubicBezTo>
                <a:pt x="159" y="137"/>
                <a:pt x="159" y="137"/>
                <a:pt x="159" y="137"/>
              </a:cubicBezTo>
              <a:cubicBezTo>
                <a:pt x="159" y="122"/>
                <a:pt x="159" y="122"/>
                <a:pt x="159" y="122"/>
              </a:cubicBezTo>
              <a:cubicBezTo>
                <a:pt x="178" y="122"/>
                <a:pt x="178" y="122"/>
                <a:pt x="178" y="122"/>
              </a:cubicBezTo>
              <a:lnTo>
                <a:pt x="178" y="137"/>
              </a:lnTo>
              <a:close/>
              <a:moveTo>
                <a:pt x="178" y="103"/>
              </a:moveTo>
              <a:cubicBezTo>
                <a:pt x="159" y="103"/>
                <a:pt x="159" y="103"/>
                <a:pt x="159" y="103"/>
              </a:cubicBezTo>
              <a:cubicBezTo>
                <a:pt x="159" y="88"/>
                <a:pt x="159" y="88"/>
                <a:pt x="159" y="88"/>
              </a:cubicBezTo>
              <a:cubicBezTo>
                <a:pt x="178" y="88"/>
                <a:pt x="178" y="88"/>
                <a:pt x="178" y="88"/>
              </a:cubicBezTo>
              <a:lnTo>
                <a:pt x="178" y="103"/>
              </a:lnTo>
              <a:close/>
              <a:moveTo>
                <a:pt x="178" y="70"/>
              </a:moveTo>
              <a:cubicBezTo>
                <a:pt x="159" y="70"/>
                <a:pt x="159" y="70"/>
                <a:pt x="159" y="70"/>
              </a:cubicBezTo>
              <a:cubicBezTo>
                <a:pt x="159" y="55"/>
                <a:pt x="159" y="55"/>
                <a:pt x="159" y="55"/>
              </a:cubicBezTo>
              <a:cubicBezTo>
                <a:pt x="178" y="55"/>
                <a:pt x="178" y="55"/>
                <a:pt x="178" y="55"/>
              </a:cubicBezTo>
              <a:lnTo>
                <a:pt x="178" y="70"/>
              </a:lnTo>
              <a:close/>
              <a:moveTo>
                <a:pt x="178" y="37"/>
              </a:moveTo>
              <a:cubicBezTo>
                <a:pt x="159" y="37"/>
                <a:pt x="159" y="37"/>
                <a:pt x="159" y="37"/>
              </a:cubicBezTo>
              <a:cubicBezTo>
                <a:pt x="159" y="22"/>
                <a:pt x="159" y="22"/>
                <a:pt x="159" y="22"/>
              </a:cubicBezTo>
              <a:cubicBezTo>
                <a:pt x="178" y="22"/>
                <a:pt x="178" y="22"/>
                <a:pt x="178" y="22"/>
              </a:cubicBezTo>
              <a:lnTo>
                <a:pt x="178" y="37"/>
              </a:lnTo>
              <a:close/>
            </a:path>
          </a:pathLst>
        </a:custGeom>
        <a:solidFill>
          <a:srgbClr val="0070C0"/>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rgbClr val="009C89"/>
            </a:solidFill>
            <a:effectLst/>
            <a:uLnTx/>
            <a:uFillTx/>
            <a:latin typeface="Arial"/>
            <a:ea typeface="Meiryo UI"/>
          </a:endParaRPr>
        </a:p>
      </xdr:txBody>
    </xdr:sp>
    <xdr:clientData/>
  </xdr:twoCellAnchor>
  <xdr:twoCellAnchor>
    <xdr:from>
      <xdr:col>8</xdr:col>
      <xdr:colOff>183602</xdr:colOff>
      <xdr:row>92</xdr:row>
      <xdr:rowOff>201906</xdr:rowOff>
    </xdr:from>
    <xdr:to>
      <xdr:col>9</xdr:col>
      <xdr:colOff>976449</xdr:colOff>
      <xdr:row>94</xdr:row>
      <xdr:rowOff>65718</xdr:rowOff>
    </xdr:to>
    <xdr:sp macro="" textlink="">
      <xdr:nvSpPr>
        <xdr:cNvPr id="143" name="テキスト ボックス 41">
          <a:extLst>
            <a:ext uri="{FF2B5EF4-FFF2-40B4-BE49-F238E27FC236}">
              <a16:creationId xmlns:a16="http://schemas.microsoft.com/office/drawing/2014/main" id="{679836E1-FE38-40B6-B09F-139A864437AF}"/>
            </a:ext>
          </a:extLst>
        </xdr:cNvPr>
        <xdr:cNvSpPr txBox="1">
          <a:spLocks noChangeArrowheads="1"/>
        </xdr:cNvSpPr>
      </xdr:nvSpPr>
      <xdr:spPr bwMode="auto">
        <a:xfrm>
          <a:off x="7946477" y="21147381"/>
          <a:ext cx="1821547" cy="340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公共施設</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B</a:t>
          </a:r>
        </a:p>
      </xdr:txBody>
    </xdr:sp>
    <xdr:clientData/>
  </xdr:twoCellAnchor>
  <xdr:twoCellAnchor>
    <xdr:from>
      <xdr:col>9</xdr:col>
      <xdr:colOff>35903</xdr:colOff>
      <xdr:row>79</xdr:row>
      <xdr:rowOff>76185</xdr:rowOff>
    </xdr:from>
    <xdr:to>
      <xdr:col>10</xdr:col>
      <xdr:colOff>440448</xdr:colOff>
      <xdr:row>81</xdr:row>
      <xdr:rowOff>184333</xdr:rowOff>
    </xdr:to>
    <xdr:grpSp>
      <xdr:nvGrpSpPr>
        <xdr:cNvPr id="144" name="グループ化 143">
          <a:extLst>
            <a:ext uri="{FF2B5EF4-FFF2-40B4-BE49-F238E27FC236}">
              <a16:creationId xmlns:a16="http://schemas.microsoft.com/office/drawing/2014/main" id="{230C5911-6C87-44E8-8A7B-2D5E59CFD649}"/>
            </a:ext>
          </a:extLst>
        </xdr:cNvPr>
        <xdr:cNvGrpSpPr/>
      </xdr:nvGrpSpPr>
      <xdr:grpSpPr>
        <a:xfrm>
          <a:off x="8827478" y="17830785"/>
          <a:ext cx="1433245" cy="562173"/>
          <a:chOff x="7524327" y="483966"/>
          <a:chExt cx="622720" cy="622720"/>
        </a:xfrm>
        <a:solidFill>
          <a:schemeClr val="accent2">
            <a:lumMod val="20000"/>
            <a:lumOff val="80000"/>
          </a:schemeClr>
        </a:solidFill>
      </xdr:grpSpPr>
      <xdr:sp macro="" textlink="">
        <xdr:nvSpPr>
          <xdr:cNvPr id="145" name="円/楕円 29">
            <a:extLst>
              <a:ext uri="{FF2B5EF4-FFF2-40B4-BE49-F238E27FC236}">
                <a16:creationId xmlns:a16="http://schemas.microsoft.com/office/drawing/2014/main" id="{0B7D5764-6217-DAD9-5394-A0723D165501}"/>
              </a:ext>
            </a:extLst>
          </xdr:cNvPr>
          <xdr:cNvSpPr>
            <a:spLocks noChangeAspect="1"/>
          </xdr:cNvSpPr>
        </xdr:nvSpPr>
        <xdr:spPr>
          <a:xfrm flipH="1">
            <a:off x="7524327" y="483966"/>
            <a:ext cx="622720" cy="622720"/>
          </a:xfrm>
          <a:prstGeom prst="ellipse">
            <a:avLst/>
          </a:prstGeom>
          <a:grpFill/>
          <a:ln>
            <a:solidFill>
              <a:schemeClr val="tx2">
                <a:lumMod val="90000"/>
              </a:schemeClr>
            </a:solidFill>
          </a:ln>
        </xdr:spPr>
        <xdr:style>
          <a:lnRef idx="1">
            <a:schemeClr val="accent5"/>
          </a:lnRef>
          <a:fillRef idx="2">
            <a:schemeClr val="accent5"/>
          </a:fillRef>
          <a:effectRef idx="1">
            <a:schemeClr val="accent5"/>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defTabSz="342891">
              <a:spcBef>
                <a:spcPct val="30000"/>
              </a:spcBef>
            </a:pPr>
            <a:endParaRPr lang="ja-JP" altLang="en-US" sz="1600">
              <a:solidFill>
                <a:schemeClr val="bg1"/>
              </a:solidFill>
              <a:effectLst>
                <a:outerShdw blurRad="50800" dist="38100" dir="2700000" algn="tl" rotWithShape="0">
                  <a:prstClr val="black">
                    <a:alpha val="40000"/>
                  </a:prstClr>
                </a:outerShdw>
              </a:effectLst>
              <a:latin typeface="ＭＳ Ｐゴシック" panose="020B0600070205080204" pitchFamily="50" charset="-128"/>
              <a:ea typeface="ＭＳ Ｐゴシック" panose="020B0600070205080204" pitchFamily="50" charset="-128"/>
            </a:endParaRPr>
          </a:p>
        </xdr:txBody>
      </xdr:sp>
      <xdr:sp macro="" textlink="">
        <xdr:nvSpPr>
          <xdr:cNvPr id="146" name="テキスト ボックス 277">
            <a:extLst>
              <a:ext uri="{FF2B5EF4-FFF2-40B4-BE49-F238E27FC236}">
                <a16:creationId xmlns:a16="http://schemas.microsoft.com/office/drawing/2014/main" id="{5906619A-A609-BA38-46A1-3263BEBA6C72}"/>
              </a:ext>
            </a:extLst>
          </xdr:cNvPr>
          <xdr:cNvSpPr txBox="1"/>
        </xdr:nvSpPr>
        <xdr:spPr>
          <a:xfrm>
            <a:off x="7587601" y="626049"/>
            <a:ext cx="496174" cy="47594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400">
                <a:solidFill>
                  <a:schemeClr val="tx1">
                    <a:lumMod val="65000"/>
                    <a:lumOff val="35000"/>
                  </a:schemeClr>
                </a:solidFill>
                <a:latin typeface="ＭＳ Ｐゴシック" panose="020B0600070205080204" pitchFamily="50" charset="-128"/>
              </a:rPr>
              <a:t>○○○</a:t>
            </a:r>
            <a:r>
              <a:rPr lang="en-US" altLang="ja-JP" sz="1400">
                <a:solidFill>
                  <a:schemeClr val="tx1">
                    <a:lumMod val="65000"/>
                    <a:lumOff val="35000"/>
                  </a:schemeClr>
                </a:solidFill>
                <a:latin typeface="ＭＳ Ｐゴシック" panose="020B0600070205080204" pitchFamily="50" charset="-128"/>
              </a:rPr>
              <a:t>GWh</a:t>
            </a:r>
            <a:endParaRPr lang="ja-JP" altLang="en-US" sz="1400">
              <a:solidFill>
                <a:schemeClr val="tx1">
                  <a:lumMod val="65000"/>
                  <a:lumOff val="35000"/>
                </a:schemeClr>
              </a:solidFill>
              <a:latin typeface="ＭＳ Ｐゴシック" panose="020B0600070205080204" pitchFamily="50" charset="-128"/>
            </a:endParaRPr>
          </a:p>
        </xdr:txBody>
      </xdr:sp>
    </xdr:grpSp>
    <xdr:clientData/>
  </xdr:twoCellAnchor>
  <xdr:twoCellAnchor>
    <xdr:from>
      <xdr:col>8</xdr:col>
      <xdr:colOff>929879</xdr:colOff>
      <xdr:row>97</xdr:row>
      <xdr:rowOff>720</xdr:rowOff>
    </xdr:from>
    <xdr:to>
      <xdr:col>10</xdr:col>
      <xdr:colOff>270952</xdr:colOff>
      <xdr:row>99</xdr:row>
      <xdr:rowOff>108868</xdr:rowOff>
    </xdr:to>
    <xdr:grpSp>
      <xdr:nvGrpSpPr>
        <xdr:cNvPr id="147" name="グループ化 146">
          <a:extLst>
            <a:ext uri="{FF2B5EF4-FFF2-40B4-BE49-F238E27FC236}">
              <a16:creationId xmlns:a16="http://schemas.microsoft.com/office/drawing/2014/main" id="{84AC1275-ADA8-47B6-BE25-D4C99063598F}"/>
            </a:ext>
          </a:extLst>
        </xdr:cNvPr>
        <xdr:cNvGrpSpPr/>
      </xdr:nvGrpSpPr>
      <xdr:grpSpPr>
        <a:xfrm>
          <a:off x="8689579" y="21870120"/>
          <a:ext cx="1404823" cy="562173"/>
          <a:chOff x="7524327" y="483966"/>
          <a:chExt cx="622720" cy="622720"/>
        </a:xfrm>
        <a:solidFill>
          <a:schemeClr val="accent2">
            <a:lumMod val="20000"/>
            <a:lumOff val="80000"/>
          </a:schemeClr>
        </a:solidFill>
      </xdr:grpSpPr>
      <xdr:sp macro="" textlink="">
        <xdr:nvSpPr>
          <xdr:cNvPr id="148" name="円/楕円 29">
            <a:extLst>
              <a:ext uri="{FF2B5EF4-FFF2-40B4-BE49-F238E27FC236}">
                <a16:creationId xmlns:a16="http://schemas.microsoft.com/office/drawing/2014/main" id="{CE724BF9-85BC-6CFE-0D83-7794DCFD1BC0}"/>
              </a:ext>
            </a:extLst>
          </xdr:cNvPr>
          <xdr:cNvSpPr>
            <a:spLocks noChangeAspect="1"/>
          </xdr:cNvSpPr>
        </xdr:nvSpPr>
        <xdr:spPr>
          <a:xfrm flipH="1">
            <a:off x="7524327" y="483966"/>
            <a:ext cx="622720" cy="622720"/>
          </a:xfrm>
          <a:prstGeom prst="ellipse">
            <a:avLst/>
          </a:prstGeom>
          <a:grpFill/>
          <a:ln>
            <a:solidFill>
              <a:schemeClr val="tx2">
                <a:lumMod val="90000"/>
              </a:schemeClr>
            </a:solidFill>
          </a:ln>
        </xdr:spPr>
        <xdr:style>
          <a:lnRef idx="1">
            <a:schemeClr val="accent5"/>
          </a:lnRef>
          <a:fillRef idx="2">
            <a:schemeClr val="accent5"/>
          </a:fillRef>
          <a:effectRef idx="1">
            <a:schemeClr val="accent5"/>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defTabSz="342891">
              <a:spcBef>
                <a:spcPct val="30000"/>
              </a:spcBef>
            </a:pPr>
            <a:endParaRPr lang="ja-JP" altLang="en-US" sz="1600">
              <a:solidFill>
                <a:schemeClr val="bg1"/>
              </a:solidFill>
              <a:effectLst>
                <a:outerShdw blurRad="50800" dist="38100" dir="2700000" algn="tl" rotWithShape="0">
                  <a:prstClr val="black">
                    <a:alpha val="40000"/>
                  </a:prstClr>
                </a:outerShdw>
              </a:effectLst>
              <a:latin typeface="ＭＳ Ｐゴシック" panose="020B0600070205080204" pitchFamily="50" charset="-128"/>
              <a:ea typeface="ＭＳ Ｐゴシック" panose="020B0600070205080204" pitchFamily="50" charset="-128"/>
            </a:endParaRPr>
          </a:p>
        </xdr:txBody>
      </xdr:sp>
      <xdr:sp macro="" textlink="">
        <xdr:nvSpPr>
          <xdr:cNvPr id="149" name="テキスト ボックス 282">
            <a:extLst>
              <a:ext uri="{FF2B5EF4-FFF2-40B4-BE49-F238E27FC236}">
                <a16:creationId xmlns:a16="http://schemas.microsoft.com/office/drawing/2014/main" id="{B12DEEB5-3211-CC17-FDB6-2B7111550A47}"/>
              </a:ext>
            </a:extLst>
          </xdr:cNvPr>
          <xdr:cNvSpPr txBox="1"/>
        </xdr:nvSpPr>
        <xdr:spPr>
          <a:xfrm>
            <a:off x="7587601" y="626049"/>
            <a:ext cx="496174" cy="46988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400">
                <a:solidFill>
                  <a:schemeClr val="tx1">
                    <a:lumMod val="65000"/>
                    <a:lumOff val="35000"/>
                  </a:schemeClr>
                </a:solidFill>
                <a:latin typeface="ＭＳ Ｐゴシック" panose="020B0600070205080204" pitchFamily="50" charset="-128"/>
              </a:rPr>
              <a:t>○○○</a:t>
            </a:r>
            <a:r>
              <a:rPr lang="en-US" altLang="ja-JP" sz="1400">
                <a:solidFill>
                  <a:schemeClr val="tx1">
                    <a:lumMod val="65000"/>
                    <a:lumOff val="35000"/>
                  </a:schemeClr>
                </a:solidFill>
                <a:latin typeface="ＭＳ Ｐゴシック" panose="020B0600070205080204" pitchFamily="50" charset="-128"/>
              </a:rPr>
              <a:t>GWh</a:t>
            </a:r>
            <a:endParaRPr lang="ja-JP" altLang="en-US" sz="1400">
              <a:solidFill>
                <a:schemeClr val="tx1">
                  <a:lumMod val="65000"/>
                  <a:lumOff val="35000"/>
                </a:schemeClr>
              </a:solidFill>
              <a:latin typeface="ＭＳ Ｐゴシック" panose="020B0600070205080204" pitchFamily="50" charset="-128"/>
            </a:endParaRPr>
          </a:p>
        </xdr:txBody>
      </xdr:sp>
    </xdr:grpSp>
    <xdr:clientData/>
  </xdr:twoCellAnchor>
  <xdr:twoCellAnchor>
    <xdr:from>
      <xdr:col>9</xdr:col>
      <xdr:colOff>293231</xdr:colOff>
      <xdr:row>100</xdr:row>
      <xdr:rowOff>183365</xdr:rowOff>
    </xdr:from>
    <xdr:to>
      <xdr:col>10</xdr:col>
      <xdr:colOff>158856</xdr:colOff>
      <xdr:row>104</xdr:row>
      <xdr:rowOff>68667</xdr:rowOff>
    </xdr:to>
    <xdr:grpSp>
      <xdr:nvGrpSpPr>
        <xdr:cNvPr id="150" name="グループ化 149">
          <a:extLst>
            <a:ext uri="{FF2B5EF4-FFF2-40B4-BE49-F238E27FC236}">
              <a16:creationId xmlns:a16="http://schemas.microsoft.com/office/drawing/2014/main" id="{1B558DC8-198A-46BE-BA46-F7DFE9E26F4D}"/>
            </a:ext>
          </a:extLst>
        </xdr:cNvPr>
        <xdr:cNvGrpSpPr>
          <a:grpSpLocks noChangeAspect="1"/>
        </xdr:cNvGrpSpPr>
      </xdr:nvGrpSpPr>
      <xdr:grpSpPr>
        <a:xfrm>
          <a:off x="9087981" y="22735390"/>
          <a:ext cx="894325" cy="799702"/>
          <a:chOff x="0" y="0"/>
          <a:chExt cx="2187868" cy="1815464"/>
        </a:xfrm>
        <a:solidFill>
          <a:srgbClr val="0070C0"/>
        </a:solidFill>
      </xdr:grpSpPr>
      <xdr:sp macro="" textlink="">
        <xdr:nvSpPr>
          <xdr:cNvPr id="151" name="Freeform 38">
            <a:extLst>
              <a:ext uri="{FF2B5EF4-FFF2-40B4-BE49-F238E27FC236}">
                <a16:creationId xmlns:a16="http://schemas.microsoft.com/office/drawing/2014/main" id="{28623608-1996-A269-F0FF-01B80F16B8EC}"/>
              </a:ext>
            </a:extLst>
          </xdr:cNvPr>
          <xdr:cNvSpPr>
            <a:spLocks noEditPoints="1"/>
          </xdr:cNvSpPr>
        </xdr:nvSpPr>
        <xdr:spPr bwMode="auto">
          <a:xfrm>
            <a:off x="93101" y="756443"/>
            <a:ext cx="2013304" cy="1059021"/>
          </a:xfrm>
          <a:custGeom>
            <a:avLst/>
            <a:gdLst>
              <a:gd name="T0" fmla="*/ 0 w 173"/>
              <a:gd name="T1" fmla="*/ 0 h 91"/>
              <a:gd name="T2" fmla="*/ 0 w 173"/>
              <a:gd name="T3" fmla="*/ 91 h 91"/>
              <a:gd name="T4" fmla="*/ 173 w 173"/>
              <a:gd name="T5" fmla="*/ 91 h 91"/>
              <a:gd name="T6" fmla="*/ 173 w 173"/>
              <a:gd name="T7" fmla="*/ 0 h 91"/>
              <a:gd name="T8" fmla="*/ 0 w 173"/>
              <a:gd name="T9" fmla="*/ 0 h 91"/>
              <a:gd name="T10" fmla="*/ 0 w 173"/>
              <a:gd name="T11" fmla="*/ 0 h 91"/>
              <a:gd name="T12" fmla="*/ 0 w 173"/>
              <a:gd name="T13" fmla="*/ 0 h 91"/>
              <a:gd name="T14" fmla="*/ 0 w 173"/>
              <a:gd name="T15" fmla="*/ 0 h 91"/>
              <a:gd name="T16" fmla="*/ 0 w 173"/>
              <a:gd name="T17" fmla="*/ 0 h 91"/>
              <a:gd name="T18" fmla="*/ 84 w 173"/>
              <a:gd name="T19" fmla="*/ 85 h 91"/>
              <a:gd name="T20" fmla="*/ 59 w 173"/>
              <a:gd name="T21" fmla="*/ 85 h 91"/>
              <a:gd name="T22" fmla="*/ 59 w 173"/>
              <a:gd name="T23" fmla="*/ 25 h 91"/>
              <a:gd name="T24" fmla="*/ 84 w 173"/>
              <a:gd name="T25" fmla="*/ 25 h 91"/>
              <a:gd name="T26" fmla="*/ 84 w 173"/>
              <a:gd name="T27" fmla="*/ 85 h 91"/>
              <a:gd name="T28" fmla="*/ 84 w 173"/>
              <a:gd name="T29" fmla="*/ 85 h 91"/>
              <a:gd name="T30" fmla="*/ 84 w 173"/>
              <a:gd name="T31" fmla="*/ 85 h 91"/>
              <a:gd name="T32" fmla="*/ 84 w 173"/>
              <a:gd name="T33" fmla="*/ 85 h 91"/>
              <a:gd name="T34" fmla="*/ 84 w 173"/>
              <a:gd name="T35" fmla="*/ 85 h 91"/>
              <a:gd name="T36" fmla="*/ 115 w 173"/>
              <a:gd name="T37" fmla="*/ 85 h 91"/>
              <a:gd name="T38" fmla="*/ 89 w 173"/>
              <a:gd name="T39" fmla="*/ 85 h 91"/>
              <a:gd name="T40" fmla="*/ 89 w 173"/>
              <a:gd name="T41" fmla="*/ 25 h 91"/>
              <a:gd name="T42" fmla="*/ 115 w 173"/>
              <a:gd name="T43" fmla="*/ 25 h 91"/>
              <a:gd name="T44" fmla="*/ 115 w 173"/>
              <a:gd name="T45" fmla="*/ 85 h 91"/>
              <a:gd name="T46" fmla="*/ 115 w 173"/>
              <a:gd name="T47" fmla="*/ 85 h 91"/>
              <a:gd name="T48" fmla="*/ 115 w 173"/>
              <a:gd name="T49" fmla="*/ 85 h 91"/>
              <a:gd name="T50" fmla="*/ 115 w 173"/>
              <a:gd name="T51" fmla="*/ 85 h 91"/>
              <a:gd name="T52" fmla="*/ 115 w 173"/>
              <a:gd name="T53" fmla="*/ 85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73" h="91">
                <a:moveTo>
                  <a:pt x="0" y="0"/>
                </a:moveTo>
                <a:lnTo>
                  <a:pt x="0" y="91"/>
                </a:lnTo>
                <a:lnTo>
                  <a:pt x="173" y="91"/>
                </a:lnTo>
                <a:lnTo>
                  <a:pt x="173" y="0"/>
                </a:lnTo>
                <a:lnTo>
                  <a:pt x="0" y="0"/>
                </a:lnTo>
                <a:lnTo>
                  <a:pt x="0" y="0"/>
                </a:lnTo>
                <a:lnTo>
                  <a:pt x="0" y="0"/>
                </a:lnTo>
                <a:lnTo>
                  <a:pt x="0" y="0"/>
                </a:lnTo>
                <a:lnTo>
                  <a:pt x="0" y="0"/>
                </a:lnTo>
                <a:close/>
                <a:moveTo>
                  <a:pt x="84" y="85"/>
                </a:moveTo>
                <a:lnTo>
                  <a:pt x="59" y="85"/>
                </a:lnTo>
                <a:lnTo>
                  <a:pt x="59" y="25"/>
                </a:lnTo>
                <a:lnTo>
                  <a:pt x="84" y="25"/>
                </a:lnTo>
                <a:lnTo>
                  <a:pt x="84" y="85"/>
                </a:lnTo>
                <a:lnTo>
                  <a:pt x="84" y="85"/>
                </a:lnTo>
                <a:lnTo>
                  <a:pt x="84" y="85"/>
                </a:lnTo>
                <a:lnTo>
                  <a:pt x="84" y="85"/>
                </a:lnTo>
                <a:lnTo>
                  <a:pt x="84" y="85"/>
                </a:lnTo>
                <a:close/>
                <a:moveTo>
                  <a:pt x="115" y="85"/>
                </a:moveTo>
                <a:lnTo>
                  <a:pt x="89" y="85"/>
                </a:lnTo>
                <a:lnTo>
                  <a:pt x="89" y="25"/>
                </a:lnTo>
                <a:lnTo>
                  <a:pt x="115" y="25"/>
                </a:lnTo>
                <a:lnTo>
                  <a:pt x="115" y="85"/>
                </a:lnTo>
                <a:lnTo>
                  <a:pt x="115" y="85"/>
                </a:lnTo>
                <a:lnTo>
                  <a:pt x="115" y="85"/>
                </a:lnTo>
                <a:lnTo>
                  <a:pt x="115" y="85"/>
                </a:lnTo>
                <a:lnTo>
                  <a:pt x="115" y="8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2" name="Freeform 39">
            <a:extLst>
              <a:ext uri="{FF2B5EF4-FFF2-40B4-BE49-F238E27FC236}">
                <a16:creationId xmlns:a16="http://schemas.microsoft.com/office/drawing/2014/main" id="{B9A7C05D-0401-08FC-7910-06457814C4E9}"/>
              </a:ext>
            </a:extLst>
          </xdr:cNvPr>
          <xdr:cNvSpPr>
            <a:spLocks/>
          </xdr:cNvSpPr>
        </xdr:nvSpPr>
        <xdr:spPr bwMode="auto">
          <a:xfrm>
            <a:off x="977558" y="1349961"/>
            <a:ext cx="69826" cy="128014"/>
          </a:xfrm>
          <a:custGeom>
            <a:avLst/>
            <a:gdLst>
              <a:gd name="T0" fmla="*/ 2 w 5"/>
              <a:gd name="T1" fmla="*/ 9 h 9"/>
              <a:gd name="T2" fmla="*/ 2 w 5"/>
              <a:gd name="T3" fmla="*/ 9 h 9"/>
              <a:gd name="T4" fmla="*/ 0 w 5"/>
              <a:gd name="T5" fmla="*/ 7 h 9"/>
              <a:gd name="T6" fmla="*/ 0 w 5"/>
              <a:gd name="T7" fmla="*/ 2 h 9"/>
              <a:gd name="T8" fmla="*/ 2 w 5"/>
              <a:gd name="T9" fmla="*/ 0 h 9"/>
              <a:gd name="T10" fmla="*/ 2 w 5"/>
              <a:gd name="T11" fmla="*/ 0 h 9"/>
              <a:gd name="T12" fmla="*/ 5 w 5"/>
              <a:gd name="T13" fmla="*/ 2 h 9"/>
              <a:gd name="T14" fmla="*/ 5 w 5"/>
              <a:gd name="T15" fmla="*/ 7 h 9"/>
              <a:gd name="T16" fmla="*/ 2 w 5"/>
              <a:gd name="T17" fmla="*/ 9 h 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 h="9">
                <a:moveTo>
                  <a:pt x="2" y="9"/>
                </a:moveTo>
                <a:cubicBezTo>
                  <a:pt x="2" y="9"/>
                  <a:pt x="2" y="9"/>
                  <a:pt x="2" y="9"/>
                </a:cubicBezTo>
                <a:cubicBezTo>
                  <a:pt x="1" y="9"/>
                  <a:pt x="0" y="8"/>
                  <a:pt x="0" y="7"/>
                </a:cubicBezTo>
                <a:cubicBezTo>
                  <a:pt x="0" y="2"/>
                  <a:pt x="0" y="2"/>
                  <a:pt x="0" y="2"/>
                </a:cubicBezTo>
                <a:cubicBezTo>
                  <a:pt x="0" y="1"/>
                  <a:pt x="1" y="0"/>
                  <a:pt x="2" y="0"/>
                </a:cubicBezTo>
                <a:cubicBezTo>
                  <a:pt x="2" y="0"/>
                  <a:pt x="2" y="0"/>
                  <a:pt x="2" y="0"/>
                </a:cubicBezTo>
                <a:cubicBezTo>
                  <a:pt x="4" y="0"/>
                  <a:pt x="5" y="1"/>
                  <a:pt x="5" y="2"/>
                </a:cubicBezTo>
                <a:cubicBezTo>
                  <a:pt x="5" y="7"/>
                  <a:pt x="5" y="7"/>
                  <a:pt x="5" y="7"/>
                </a:cubicBezTo>
                <a:cubicBezTo>
                  <a:pt x="5" y="8"/>
                  <a:pt x="4" y="9"/>
                  <a:pt x="2" y="9"/>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3" name="Freeform 40">
            <a:extLst>
              <a:ext uri="{FF2B5EF4-FFF2-40B4-BE49-F238E27FC236}">
                <a16:creationId xmlns:a16="http://schemas.microsoft.com/office/drawing/2014/main" id="{798EF0EF-D0F3-C498-8A82-41600FE9E03B}"/>
              </a:ext>
            </a:extLst>
          </xdr:cNvPr>
          <xdr:cNvSpPr>
            <a:spLocks/>
          </xdr:cNvSpPr>
        </xdr:nvSpPr>
        <xdr:spPr bwMode="auto">
          <a:xfrm>
            <a:off x="1163760" y="1349961"/>
            <a:ext cx="58188" cy="128014"/>
          </a:xfrm>
          <a:custGeom>
            <a:avLst/>
            <a:gdLst>
              <a:gd name="T0" fmla="*/ 2 w 4"/>
              <a:gd name="T1" fmla="*/ 9 h 9"/>
              <a:gd name="T2" fmla="*/ 2 w 4"/>
              <a:gd name="T3" fmla="*/ 9 h 9"/>
              <a:gd name="T4" fmla="*/ 0 w 4"/>
              <a:gd name="T5" fmla="*/ 7 h 9"/>
              <a:gd name="T6" fmla="*/ 0 w 4"/>
              <a:gd name="T7" fmla="*/ 2 h 9"/>
              <a:gd name="T8" fmla="*/ 2 w 4"/>
              <a:gd name="T9" fmla="*/ 0 h 9"/>
              <a:gd name="T10" fmla="*/ 2 w 4"/>
              <a:gd name="T11" fmla="*/ 0 h 9"/>
              <a:gd name="T12" fmla="*/ 4 w 4"/>
              <a:gd name="T13" fmla="*/ 2 h 9"/>
              <a:gd name="T14" fmla="*/ 4 w 4"/>
              <a:gd name="T15" fmla="*/ 7 h 9"/>
              <a:gd name="T16" fmla="*/ 2 w 4"/>
              <a:gd name="T17" fmla="*/ 9 h 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4" h="9">
                <a:moveTo>
                  <a:pt x="2" y="9"/>
                </a:moveTo>
                <a:cubicBezTo>
                  <a:pt x="2" y="9"/>
                  <a:pt x="2" y="9"/>
                  <a:pt x="2" y="9"/>
                </a:cubicBezTo>
                <a:cubicBezTo>
                  <a:pt x="1" y="9"/>
                  <a:pt x="0" y="8"/>
                  <a:pt x="0" y="7"/>
                </a:cubicBezTo>
                <a:cubicBezTo>
                  <a:pt x="0" y="2"/>
                  <a:pt x="0" y="2"/>
                  <a:pt x="0" y="2"/>
                </a:cubicBezTo>
                <a:cubicBezTo>
                  <a:pt x="0" y="1"/>
                  <a:pt x="1" y="0"/>
                  <a:pt x="2" y="0"/>
                </a:cubicBezTo>
                <a:cubicBezTo>
                  <a:pt x="2" y="0"/>
                  <a:pt x="2" y="0"/>
                  <a:pt x="2" y="0"/>
                </a:cubicBezTo>
                <a:cubicBezTo>
                  <a:pt x="3" y="0"/>
                  <a:pt x="4" y="1"/>
                  <a:pt x="4" y="2"/>
                </a:cubicBezTo>
                <a:cubicBezTo>
                  <a:pt x="4" y="7"/>
                  <a:pt x="4" y="7"/>
                  <a:pt x="4" y="7"/>
                </a:cubicBezTo>
                <a:cubicBezTo>
                  <a:pt x="4" y="8"/>
                  <a:pt x="3" y="9"/>
                  <a:pt x="2" y="9"/>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4" name="Freeform 41">
            <a:extLst>
              <a:ext uri="{FF2B5EF4-FFF2-40B4-BE49-F238E27FC236}">
                <a16:creationId xmlns:a16="http://schemas.microsoft.com/office/drawing/2014/main" id="{5E1F44B0-CF9B-3212-13B0-EB3251104AD0}"/>
              </a:ext>
            </a:extLst>
          </xdr:cNvPr>
          <xdr:cNvSpPr>
            <a:spLocks noEditPoints="1"/>
          </xdr:cNvSpPr>
        </xdr:nvSpPr>
        <xdr:spPr bwMode="auto">
          <a:xfrm>
            <a:off x="0" y="0"/>
            <a:ext cx="2187868" cy="674981"/>
          </a:xfrm>
          <a:custGeom>
            <a:avLst/>
            <a:gdLst>
              <a:gd name="T0" fmla="*/ 152 w 159"/>
              <a:gd name="T1" fmla="*/ 28 h 49"/>
              <a:gd name="T2" fmla="*/ 152 w 159"/>
              <a:gd name="T3" fmla="*/ 28 h 49"/>
              <a:gd name="T4" fmla="*/ 152 w 159"/>
              <a:gd name="T5" fmla="*/ 7 h 49"/>
              <a:gd name="T6" fmla="*/ 146 w 159"/>
              <a:gd name="T7" fmla="*/ 0 h 49"/>
              <a:gd name="T8" fmla="*/ 13 w 159"/>
              <a:gd name="T9" fmla="*/ 0 h 49"/>
              <a:gd name="T10" fmla="*/ 7 w 159"/>
              <a:gd name="T11" fmla="*/ 7 h 49"/>
              <a:gd name="T12" fmla="*/ 7 w 159"/>
              <a:gd name="T13" fmla="*/ 28 h 49"/>
              <a:gd name="T14" fmla="*/ 7 w 159"/>
              <a:gd name="T15" fmla="*/ 28 h 49"/>
              <a:gd name="T16" fmla="*/ 0 w 159"/>
              <a:gd name="T17" fmla="*/ 49 h 49"/>
              <a:gd name="T18" fmla="*/ 158 w 159"/>
              <a:gd name="T19" fmla="*/ 49 h 49"/>
              <a:gd name="T20" fmla="*/ 159 w 159"/>
              <a:gd name="T21" fmla="*/ 49 h 49"/>
              <a:gd name="T22" fmla="*/ 152 w 159"/>
              <a:gd name="T23" fmla="*/ 28 h 49"/>
              <a:gd name="T24" fmla="*/ 45 w 159"/>
              <a:gd name="T25" fmla="*/ 12 h 49"/>
              <a:gd name="T26" fmla="*/ 115 w 159"/>
              <a:gd name="T27" fmla="*/ 12 h 49"/>
              <a:gd name="T28" fmla="*/ 115 w 159"/>
              <a:gd name="T29" fmla="*/ 34 h 49"/>
              <a:gd name="T30" fmla="*/ 45 w 159"/>
              <a:gd name="T31" fmla="*/ 34 h 49"/>
              <a:gd name="T32" fmla="*/ 45 w 159"/>
              <a:gd name="T33" fmla="*/ 12 h 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9" h="49">
                <a:moveTo>
                  <a:pt x="152" y="28"/>
                </a:moveTo>
                <a:cubicBezTo>
                  <a:pt x="152" y="28"/>
                  <a:pt x="152" y="28"/>
                  <a:pt x="152" y="28"/>
                </a:cubicBezTo>
                <a:cubicBezTo>
                  <a:pt x="152" y="7"/>
                  <a:pt x="152" y="7"/>
                  <a:pt x="152" y="7"/>
                </a:cubicBezTo>
                <a:cubicBezTo>
                  <a:pt x="152" y="3"/>
                  <a:pt x="150" y="0"/>
                  <a:pt x="146" y="0"/>
                </a:cubicBezTo>
                <a:cubicBezTo>
                  <a:pt x="13" y="0"/>
                  <a:pt x="13" y="0"/>
                  <a:pt x="13" y="0"/>
                </a:cubicBezTo>
                <a:cubicBezTo>
                  <a:pt x="9" y="0"/>
                  <a:pt x="7" y="3"/>
                  <a:pt x="7" y="7"/>
                </a:cubicBezTo>
                <a:cubicBezTo>
                  <a:pt x="7" y="28"/>
                  <a:pt x="7" y="28"/>
                  <a:pt x="7" y="28"/>
                </a:cubicBezTo>
                <a:cubicBezTo>
                  <a:pt x="7" y="28"/>
                  <a:pt x="7" y="28"/>
                  <a:pt x="7" y="28"/>
                </a:cubicBezTo>
                <a:cubicBezTo>
                  <a:pt x="0" y="49"/>
                  <a:pt x="0" y="49"/>
                  <a:pt x="0" y="49"/>
                </a:cubicBezTo>
                <a:cubicBezTo>
                  <a:pt x="158" y="49"/>
                  <a:pt x="158" y="49"/>
                  <a:pt x="158" y="49"/>
                </a:cubicBezTo>
                <a:cubicBezTo>
                  <a:pt x="159" y="49"/>
                  <a:pt x="159" y="49"/>
                  <a:pt x="159" y="49"/>
                </a:cubicBezTo>
                <a:lnTo>
                  <a:pt x="152" y="28"/>
                </a:lnTo>
                <a:close/>
                <a:moveTo>
                  <a:pt x="45" y="12"/>
                </a:moveTo>
                <a:cubicBezTo>
                  <a:pt x="115" y="12"/>
                  <a:pt x="115" y="12"/>
                  <a:pt x="115" y="12"/>
                </a:cubicBezTo>
                <a:cubicBezTo>
                  <a:pt x="115" y="34"/>
                  <a:pt x="115" y="34"/>
                  <a:pt x="115" y="34"/>
                </a:cubicBezTo>
                <a:cubicBezTo>
                  <a:pt x="45" y="34"/>
                  <a:pt x="45" y="34"/>
                  <a:pt x="45" y="34"/>
                </a:cubicBezTo>
                <a:lnTo>
                  <a:pt x="45" y="1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5" name="Freeform 42">
            <a:extLst>
              <a:ext uri="{FF2B5EF4-FFF2-40B4-BE49-F238E27FC236}">
                <a16:creationId xmlns:a16="http://schemas.microsoft.com/office/drawing/2014/main" id="{6E1DEB73-414F-1AD3-8741-00D69A990C07}"/>
              </a:ext>
            </a:extLst>
          </xdr:cNvPr>
          <xdr:cNvSpPr>
            <a:spLocks/>
          </xdr:cNvSpPr>
        </xdr:nvSpPr>
        <xdr:spPr bwMode="auto">
          <a:xfrm>
            <a:off x="744807" y="221114"/>
            <a:ext cx="128014" cy="197839"/>
          </a:xfrm>
          <a:custGeom>
            <a:avLst/>
            <a:gdLst>
              <a:gd name="T0" fmla="*/ 6 w 10"/>
              <a:gd name="T1" fmla="*/ 6 h 14"/>
              <a:gd name="T2" fmla="*/ 4 w 10"/>
              <a:gd name="T3" fmla="*/ 5 h 14"/>
              <a:gd name="T4" fmla="*/ 3 w 10"/>
              <a:gd name="T5" fmla="*/ 4 h 14"/>
              <a:gd name="T6" fmla="*/ 4 w 10"/>
              <a:gd name="T7" fmla="*/ 2 h 14"/>
              <a:gd name="T8" fmla="*/ 6 w 10"/>
              <a:gd name="T9" fmla="*/ 2 h 14"/>
              <a:gd name="T10" fmla="*/ 9 w 10"/>
              <a:gd name="T11" fmla="*/ 3 h 14"/>
              <a:gd name="T12" fmla="*/ 9 w 10"/>
              <a:gd name="T13" fmla="*/ 0 h 14"/>
              <a:gd name="T14" fmla="*/ 6 w 10"/>
              <a:gd name="T15" fmla="*/ 0 h 14"/>
              <a:gd name="T16" fmla="*/ 2 w 10"/>
              <a:gd name="T17" fmla="*/ 1 h 14"/>
              <a:gd name="T18" fmla="*/ 0 w 10"/>
              <a:gd name="T19" fmla="*/ 4 h 14"/>
              <a:gd name="T20" fmla="*/ 4 w 10"/>
              <a:gd name="T21" fmla="*/ 8 h 14"/>
              <a:gd name="T22" fmla="*/ 6 w 10"/>
              <a:gd name="T23" fmla="*/ 9 h 14"/>
              <a:gd name="T24" fmla="*/ 7 w 10"/>
              <a:gd name="T25" fmla="*/ 10 h 14"/>
              <a:gd name="T26" fmla="*/ 6 w 10"/>
              <a:gd name="T27" fmla="*/ 11 h 14"/>
              <a:gd name="T28" fmla="*/ 4 w 10"/>
              <a:gd name="T29" fmla="*/ 12 h 14"/>
              <a:gd name="T30" fmla="*/ 0 w 10"/>
              <a:gd name="T31" fmla="*/ 10 h 14"/>
              <a:gd name="T32" fmla="*/ 0 w 10"/>
              <a:gd name="T33" fmla="*/ 13 h 14"/>
              <a:gd name="T34" fmla="*/ 4 w 10"/>
              <a:gd name="T35" fmla="*/ 14 h 14"/>
              <a:gd name="T36" fmla="*/ 8 w 10"/>
              <a:gd name="T37" fmla="*/ 13 h 14"/>
              <a:gd name="T38" fmla="*/ 10 w 10"/>
              <a:gd name="T39" fmla="*/ 10 h 14"/>
              <a:gd name="T40" fmla="*/ 9 w 10"/>
              <a:gd name="T41" fmla="*/ 8 h 14"/>
              <a:gd name="T42" fmla="*/ 6 w 10"/>
              <a:gd name="T43" fmla="*/ 6 h 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Lst>
            <a:rect l="0" t="0" r="r" b="b"/>
            <a:pathLst>
              <a:path w="10" h="14">
                <a:moveTo>
                  <a:pt x="6" y="6"/>
                </a:moveTo>
                <a:cubicBezTo>
                  <a:pt x="5" y="5"/>
                  <a:pt x="4" y="5"/>
                  <a:pt x="4" y="5"/>
                </a:cubicBezTo>
                <a:cubicBezTo>
                  <a:pt x="4" y="4"/>
                  <a:pt x="3" y="4"/>
                  <a:pt x="3" y="4"/>
                </a:cubicBezTo>
                <a:cubicBezTo>
                  <a:pt x="3" y="3"/>
                  <a:pt x="4" y="3"/>
                  <a:pt x="4" y="2"/>
                </a:cubicBezTo>
                <a:cubicBezTo>
                  <a:pt x="5" y="2"/>
                  <a:pt x="5" y="2"/>
                  <a:pt x="6" y="2"/>
                </a:cubicBezTo>
                <a:cubicBezTo>
                  <a:pt x="7" y="2"/>
                  <a:pt x="8" y="2"/>
                  <a:pt x="9" y="3"/>
                </a:cubicBezTo>
                <a:cubicBezTo>
                  <a:pt x="9" y="0"/>
                  <a:pt x="9" y="0"/>
                  <a:pt x="9" y="0"/>
                </a:cubicBezTo>
                <a:cubicBezTo>
                  <a:pt x="8" y="0"/>
                  <a:pt x="7" y="0"/>
                  <a:pt x="6" y="0"/>
                </a:cubicBezTo>
                <a:cubicBezTo>
                  <a:pt x="4" y="0"/>
                  <a:pt x="3" y="0"/>
                  <a:pt x="2" y="1"/>
                </a:cubicBezTo>
                <a:cubicBezTo>
                  <a:pt x="1" y="2"/>
                  <a:pt x="0" y="3"/>
                  <a:pt x="0" y="4"/>
                </a:cubicBezTo>
                <a:cubicBezTo>
                  <a:pt x="0" y="6"/>
                  <a:pt x="1" y="7"/>
                  <a:pt x="4" y="8"/>
                </a:cubicBezTo>
                <a:cubicBezTo>
                  <a:pt x="5" y="8"/>
                  <a:pt x="6" y="9"/>
                  <a:pt x="6" y="9"/>
                </a:cubicBezTo>
                <a:cubicBezTo>
                  <a:pt x="7" y="10"/>
                  <a:pt x="7" y="10"/>
                  <a:pt x="7" y="10"/>
                </a:cubicBezTo>
                <a:cubicBezTo>
                  <a:pt x="7" y="11"/>
                  <a:pt x="6" y="11"/>
                  <a:pt x="6" y="11"/>
                </a:cubicBezTo>
                <a:cubicBezTo>
                  <a:pt x="6" y="12"/>
                  <a:pt x="5" y="12"/>
                  <a:pt x="4" y="12"/>
                </a:cubicBezTo>
                <a:cubicBezTo>
                  <a:pt x="3" y="12"/>
                  <a:pt x="2" y="11"/>
                  <a:pt x="0" y="10"/>
                </a:cubicBezTo>
                <a:cubicBezTo>
                  <a:pt x="0" y="13"/>
                  <a:pt x="0" y="13"/>
                  <a:pt x="0" y="13"/>
                </a:cubicBezTo>
                <a:cubicBezTo>
                  <a:pt x="1" y="14"/>
                  <a:pt x="3" y="14"/>
                  <a:pt x="4" y="14"/>
                </a:cubicBezTo>
                <a:cubicBezTo>
                  <a:pt x="6" y="14"/>
                  <a:pt x="7" y="14"/>
                  <a:pt x="8" y="13"/>
                </a:cubicBezTo>
                <a:cubicBezTo>
                  <a:pt x="9" y="12"/>
                  <a:pt x="10" y="11"/>
                  <a:pt x="10" y="10"/>
                </a:cubicBezTo>
                <a:cubicBezTo>
                  <a:pt x="10" y="9"/>
                  <a:pt x="10" y="8"/>
                  <a:pt x="9" y="8"/>
                </a:cubicBezTo>
                <a:cubicBezTo>
                  <a:pt x="9" y="7"/>
                  <a:pt x="8" y="6"/>
                  <a:pt x="6" y="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6" name="Freeform 43">
            <a:extLst>
              <a:ext uri="{FF2B5EF4-FFF2-40B4-BE49-F238E27FC236}">
                <a16:creationId xmlns:a16="http://schemas.microsoft.com/office/drawing/2014/main" id="{DB0A177B-8180-4A93-8E88-40E52A81569A}"/>
              </a:ext>
            </a:extLst>
          </xdr:cNvPr>
          <xdr:cNvSpPr>
            <a:spLocks/>
          </xdr:cNvSpPr>
        </xdr:nvSpPr>
        <xdr:spPr bwMode="auto">
          <a:xfrm>
            <a:off x="907733" y="221114"/>
            <a:ext cx="162926" cy="197839"/>
          </a:xfrm>
          <a:custGeom>
            <a:avLst/>
            <a:gdLst>
              <a:gd name="T0" fmla="*/ 10 w 14"/>
              <a:gd name="T1" fmla="*/ 7 h 17"/>
              <a:gd name="T2" fmla="*/ 3 w 14"/>
              <a:gd name="T3" fmla="*/ 7 h 17"/>
              <a:gd name="T4" fmla="*/ 3 w 14"/>
              <a:gd name="T5" fmla="*/ 0 h 17"/>
              <a:gd name="T6" fmla="*/ 0 w 14"/>
              <a:gd name="T7" fmla="*/ 0 h 17"/>
              <a:gd name="T8" fmla="*/ 0 w 14"/>
              <a:gd name="T9" fmla="*/ 17 h 17"/>
              <a:gd name="T10" fmla="*/ 3 w 14"/>
              <a:gd name="T11" fmla="*/ 17 h 17"/>
              <a:gd name="T12" fmla="*/ 3 w 14"/>
              <a:gd name="T13" fmla="*/ 9 h 17"/>
              <a:gd name="T14" fmla="*/ 10 w 14"/>
              <a:gd name="T15" fmla="*/ 9 h 17"/>
              <a:gd name="T16" fmla="*/ 10 w 14"/>
              <a:gd name="T17" fmla="*/ 17 h 17"/>
              <a:gd name="T18" fmla="*/ 14 w 14"/>
              <a:gd name="T19" fmla="*/ 17 h 17"/>
              <a:gd name="T20" fmla="*/ 14 w 14"/>
              <a:gd name="T21" fmla="*/ 0 h 17"/>
              <a:gd name="T22" fmla="*/ 10 w 14"/>
              <a:gd name="T23" fmla="*/ 0 h 17"/>
              <a:gd name="T24" fmla="*/ 10 w 14"/>
              <a:gd name="T25" fmla="*/ 7 h 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14" h="17">
                <a:moveTo>
                  <a:pt x="10" y="7"/>
                </a:moveTo>
                <a:lnTo>
                  <a:pt x="3" y="7"/>
                </a:lnTo>
                <a:lnTo>
                  <a:pt x="3" y="0"/>
                </a:lnTo>
                <a:lnTo>
                  <a:pt x="0" y="0"/>
                </a:lnTo>
                <a:lnTo>
                  <a:pt x="0" y="17"/>
                </a:lnTo>
                <a:lnTo>
                  <a:pt x="3" y="17"/>
                </a:lnTo>
                <a:lnTo>
                  <a:pt x="3" y="9"/>
                </a:lnTo>
                <a:lnTo>
                  <a:pt x="10" y="9"/>
                </a:lnTo>
                <a:lnTo>
                  <a:pt x="10" y="17"/>
                </a:lnTo>
                <a:lnTo>
                  <a:pt x="14" y="17"/>
                </a:lnTo>
                <a:lnTo>
                  <a:pt x="14" y="0"/>
                </a:lnTo>
                <a:lnTo>
                  <a:pt x="10" y="0"/>
                </a:lnTo>
                <a:lnTo>
                  <a:pt x="10" y="7"/>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7" name="Freeform 44">
            <a:extLst>
              <a:ext uri="{FF2B5EF4-FFF2-40B4-BE49-F238E27FC236}">
                <a16:creationId xmlns:a16="http://schemas.microsoft.com/office/drawing/2014/main" id="{65A2711A-60B1-5F74-85C7-9025A6EA8D0A}"/>
              </a:ext>
            </a:extLst>
          </xdr:cNvPr>
          <xdr:cNvSpPr>
            <a:spLocks noEditPoints="1"/>
          </xdr:cNvSpPr>
        </xdr:nvSpPr>
        <xdr:spPr bwMode="auto">
          <a:xfrm>
            <a:off x="1093934" y="221114"/>
            <a:ext cx="197839" cy="197839"/>
          </a:xfrm>
          <a:custGeom>
            <a:avLst/>
            <a:gdLst>
              <a:gd name="T0" fmla="*/ 7 w 14"/>
              <a:gd name="T1" fmla="*/ 0 h 14"/>
              <a:gd name="T2" fmla="*/ 2 w 14"/>
              <a:gd name="T3" fmla="*/ 2 h 14"/>
              <a:gd name="T4" fmla="*/ 0 w 14"/>
              <a:gd name="T5" fmla="*/ 7 h 14"/>
              <a:gd name="T6" fmla="*/ 2 w 14"/>
              <a:gd name="T7" fmla="*/ 12 h 14"/>
              <a:gd name="T8" fmla="*/ 7 w 14"/>
              <a:gd name="T9" fmla="*/ 14 h 14"/>
              <a:gd name="T10" fmla="*/ 12 w 14"/>
              <a:gd name="T11" fmla="*/ 12 h 14"/>
              <a:gd name="T12" fmla="*/ 14 w 14"/>
              <a:gd name="T13" fmla="*/ 7 h 14"/>
              <a:gd name="T14" fmla="*/ 12 w 14"/>
              <a:gd name="T15" fmla="*/ 2 h 14"/>
              <a:gd name="T16" fmla="*/ 7 w 14"/>
              <a:gd name="T17" fmla="*/ 0 h 14"/>
              <a:gd name="T18" fmla="*/ 10 w 14"/>
              <a:gd name="T19" fmla="*/ 10 h 14"/>
              <a:gd name="T20" fmla="*/ 7 w 14"/>
              <a:gd name="T21" fmla="*/ 12 h 14"/>
              <a:gd name="T22" fmla="*/ 4 w 14"/>
              <a:gd name="T23" fmla="*/ 10 h 14"/>
              <a:gd name="T24" fmla="*/ 3 w 14"/>
              <a:gd name="T25" fmla="*/ 7 h 14"/>
              <a:gd name="T26" fmla="*/ 4 w 14"/>
              <a:gd name="T27" fmla="*/ 4 h 14"/>
              <a:gd name="T28" fmla="*/ 7 w 14"/>
              <a:gd name="T29" fmla="*/ 2 h 14"/>
              <a:gd name="T30" fmla="*/ 10 w 14"/>
              <a:gd name="T31" fmla="*/ 4 h 14"/>
              <a:gd name="T32" fmla="*/ 11 w 14"/>
              <a:gd name="T33" fmla="*/ 7 h 14"/>
              <a:gd name="T34" fmla="*/ 10 w 14"/>
              <a:gd name="T35" fmla="*/ 10 h 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4" h="14">
                <a:moveTo>
                  <a:pt x="7" y="0"/>
                </a:moveTo>
                <a:cubicBezTo>
                  <a:pt x="5" y="0"/>
                  <a:pt x="4" y="0"/>
                  <a:pt x="2" y="2"/>
                </a:cubicBezTo>
                <a:cubicBezTo>
                  <a:pt x="1" y="3"/>
                  <a:pt x="0" y="5"/>
                  <a:pt x="0" y="7"/>
                </a:cubicBezTo>
                <a:cubicBezTo>
                  <a:pt x="0" y="9"/>
                  <a:pt x="1" y="11"/>
                  <a:pt x="2" y="12"/>
                </a:cubicBezTo>
                <a:cubicBezTo>
                  <a:pt x="3" y="13"/>
                  <a:pt x="5" y="14"/>
                  <a:pt x="7" y="14"/>
                </a:cubicBezTo>
                <a:cubicBezTo>
                  <a:pt x="9" y="14"/>
                  <a:pt x="11" y="13"/>
                  <a:pt x="12" y="12"/>
                </a:cubicBezTo>
                <a:cubicBezTo>
                  <a:pt x="13" y="11"/>
                  <a:pt x="14" y="9"/>
                  <a:pt x="14" y="7"/>
                </a:cubicBezTo>
                <a:cubicBezTo>
                  <a:pt x="14" y="5"/>
                  <a:pt x="13" y="3"/>
                  <a:pt x="12" y="2"/>
                </a:cubicBezTo>
                <a:cubicBezTo>
                  <a:pt x="11" y="0"/>
                  <a:pt x="9" y="0"/>
                  <a:pt x="7" y="0"/>
                </a:cubicBezTo>
                <a:close/>
                <a:moveTo>
                  <a:pt x="10" y="10"/>
                </a:moveTo>
                <a:cubicBezTo>
                  <a:pt x="9" y="11"/>
                  <a:pt x="8" y="12"/>
                  <a:pt x="7" y="12"/>
                </a:cubicBezTo>
                <a:cubicBezTo>
                  <a:pt x="6" y="12"/>
                  <a:pt x="5" y="11"/>
                  <a:pt x="4" y="10"/>
                </a:cubicBezTo>
                <a:cubicBezTo>
                  <a:pt x="4" y="9"/>
                  <a:pt x="3" y="8"/>
                  <a:pt x="3" y="7"/>
                </a:cubicBezTo>
                <a:cubicBezTo>
                  <a:pt x="3" y="6"/>
                  <a:pt x="4" y="4"/>
                  <a:pt x="4" y="4"/>
                </a:cubicBezTo>
                <a:cubicBezTo>
                  <a:pt x="5" y="3"/>
                  <a:pt x="6" y="2"/>
                  <a:pt x="7" y="2"/>
                </a:cubicBezTo>
                <a:cubicBezTo>
                  <a:pt x="8" y="2"/>
                  <a:pt x="9" y="3"/>
                  <a:pt x="10" y="4"/>
                </a:cubicBezTo>
                <a:cubicBezTo>
                  <a:pt x="11" y="4"/>
                  <a:pt x="11" y="6"/>
                  <a:pt x="11" y="7"/>
                </a:cubicBezTo>
                <a:cubicBezTo>
                  <a:pt x="11" y="8"/>
                  <a:pt x="11" y="9"/>
                  <a:pt x="10" y="10"/>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58" name="Freeform 45">
            <a:extLst>
              <a:ext uri="{FF2B5EF4-FFF2-40B4-BE49-F238E27FC236}">
                <a16:creationId xmlns:a16="http://schemas.microsoft.com/office/drawing/2014/main" id="{261AD754-BB21-BD32-2BA2-20F24A31A727}"/>
              </a:ext>
            </a:extLst>
          </xdr:cNvPr>
          <xdr:cNvSpPr>
            <a:spLocks noEditPoints="1"/>
          </xdr:cNvSpPr>
        </xdr:nvSpPr>
        <xdr:spPr bwMode="auto">
          <a:xfrm>
            <a:off x="1315049" y="221114"/>
            <a:ext cx="139651" cy="197839"/>
          </a:xfrm>
          <a:custGeom>
            <a:avLst/>
            <a:gdLst>
              <a:gd name="T0" fmla="*/ 5 w 10"/>
              <a:gd name="T1" fmla="*/ 0 h 14"/>
              <a:gd name="T2" fmla="*/ 0 w 10"/>
              <a:gd name="T3" fmla="*/ 0 h 14"/>
              <a:gd name="T4" fmla="*/ 0 w 10"/>
              <a:gd name="T5" fmla="*/ 14 h 14"/>
              <a:gd name="T6" fmla="*/ 3 w 10"/>
              <a:gd name="T7" fmla="*/ 14 h 14"/>
              <a:gd name="T8" fmla="*/ 3 w 10"/>
              <a:gd name="T9" fmla="*/ 9 h 14"/>
              <a:gd name="T10" fmla="*/ 5 w 10"/>
              <a:gd name="T11" fmla="*/ 9 h 14"/>
              <a:gd name="T12" fmla="*/ 9 w 10"/>
              <a:gd name="T13" fmla="*/ 8 h 14"/>
              <a:gd name="T14" fmla="*/ 10 w 10"/>
              <a:gd name="T15" fmla="*/ 4 h 14"/>
              <a:gd name="T16" fmla="*/ 5 w 10"/>
              <a:gd name="T17" fmla="*/ 0 h 14"/>
              <a:gd name="T18" fmla="*/ 5 w 10"/>
              <a:gd name="T19" fmla="*/ 7 h 14"/>
              <a:gd name="T20" fmla="*/ 3 w 10"/>
              <a:gd name="T21" fmla="*/ 7 h 14"/>
              <a:gd name="T22" fmla="*/ 3 w 10"/>
              <a:gd name="T23" fmla="*/ 2 h 14"/>
              <a:gd name="T24" fmla="*/ 5 w 10"/>
              <a:gd name="T25" fmla="*/ 2 h 14"/>
              <a:gd name="T26" fmla="*/ 7 w 10"/>
              <a:gd name="T27" fmla="*/ 4 h 14"/>
              <a:gd name="T28" fmla="*/ 5 w 10"/>
              <a:gd name="T29" fmla="*/ 7 h 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0" h="14">
                <a:moveTo>
                  <a:pt x="5" y="0"/>
                </a:moveTo>
                <a:cubicBezTo>
                  <a:pt x="0" y="0"/>
                  <a:pt x="0" y="0"/>
                  <a:pt x="0" y="0"/>
                </a:cubicBezTo>
                <a:cubicBezTo>
                  <a:pt x="0" y="14"/>
                  <a:pt x="0" y="14"/>
                  <a:pt x="0" y="14"/>
                </a:cubicBezTo>
                <a:cubicBezTo>
                  <a:pt x="3" y="14"/>
                  <a:pt x="3" y="14"/>
                  <a:pt x="3" y="14"/>
                </a:cubicBezTo>
                <a:cubicBezTo>
                  <a:pt x="3" y="9"/>
                  <a:pt x="3" y="9"/>
                  <a:pt x="3" y="9"/>
                </a:cubicBezTo>
                <a:cubicBezTo>
                  <a:pt x="5" y="9"/>
                  <a:pt x="5" y="9"/>
                  <a:pt x="5" y="9"/>
                </a:cubicBezTo>
                <a:cubicBezTo>
                  <a:pt x="6" y="9"/>
                  <a:pt x="8" y="9"/>
                  <a:pt x="9" y="8"/>
                </a:cubicBezTo>
                <a:cubicBezTo>
                  <a:pt x="10" y="7"/>
                  <a:pt x="10" y="6"/>
                  <a:pt x="10" y="4"/>
                </a:cubicBezTo>
                <a:cubicBezTo>
                  <a:pt x="10" y="1"/>
                  <a:pt x="9" y="0"/>
                  <a:pt x="5" y="0"/>
                </a:cubicBezTo>
                <a:close/>
                <a:moveTo>
                  <a:pt x="5" y="7"/>
                </a:moveTo>
                <a:cubicBezTo>
                  <a:pt x="3" y="7"/>
                  <a:pt x="3" y="7"/>
                  <a:pt x="3" y="7"/>
                </a:cubicBezTo>
                <a:cubicBezTo>
                  <a:pt x="3" y="2"/>
                  <a:pt x="3" y="2"/>
                  <a:pt x="3" y="2"/>
                </a:cubicBezTo>
                <a:cubicBezTo>
                  <a:pt x="5" y="2"/>
                  <a:pt x="5" y="2"/>
                  <a:pt x="5" y="2"/>
                </a:cubicBezTo>
                <a:cubicBezTo>
                  <a:pt x="6" y="2"/>
                  <a:pt x="7" y="3"/>
                  <a:pt x="7" y="4"/>
                </a:cubicBezTo>
                <a:cubicBezTo>
                  <a:pt x="7" y="6"/>
                  <a:pt x="6" y="7"/>
                  <a:pt x="5" y="7"/>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7</xdr:col>
      <xdr:colOff>790847</xdr:colOff>
      <xdr:row>104</xdr:row>
      <xdr:rowOff>68231</xdr:rowOff>
    </xdr:from>
    <xdr:to>
      <xdr:col>9</xdr:col>
      <xdr:colOff>528941</xdr:colOff>
      <xdr:row>105</xdr:row>
      <xdr:rowOff>195647</xdr:rowOff>
    </xdr:to>
    <xdr:sp macro="" textlink="">
      <xdr:nvSpPr>
        <xdr:cNvPr id="159" name="テキスト ボックス 41">
          <a:extLst>
            <a:ext uri="{FF2B5EF4-FFF2-40B4-BE49-F238E27FC236}">
              <a16:creationId xmlns:a16="http://schemas.microsoft.com/office/drawing/2014/main" id="{B821EEFA-1E71-4ECB-9B19-535CB16CD4F7}"/>
            </a:ext>
          </a:extLst>
        </xdr:cNvPr>
        <xdr:cNvSpPr txBox="1">
          <a:spLocks noChangeArrowheads="1"/>
        </xdr:cNvSpPr>
      </xdr:nvSpPr>
      <xdr:spPr bwMode="auto">
        <a:xfrm>
          <a:off x="7525022" y="23871206"/>
          <a:ext cx="1795494" cy="365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民間施設</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a:t>
          </a:r>
        </a:p>
      </xdr:txBody>
    </xdr:sp>
    <xdr:clientData/>
  </xdr:twoCellAnchor>
  <xdr:twoCellAnchor>
    <xdr:from>
      <xdr:col>8</xdr:col>
      <xdr:colOff>879981</xdr:colOff>
      <xdr:row>104</xdr:row>
      <xdr:rowOff>69224</xdr:rowOff>
    </xdr:from>
    <xdr:to>
      <xdr:col>10</xdr:col>
      <xdr:colOff>647329</xdr:colOff>
      <xdr:row>105</xdr:row>
      <xdr:rowOff>196640</xdr:rowOff>
    </xdr:to>
    <xdr:sp macro="" textlink="">
      <xdr:nvSpPr>
        <xdr:cNvPr id="160" name="テキスト ボックス 41">
          <a:extLst>
            <a:ext uri="{FF2B5EF4-FFF2-40B4-BE49-F238E27FC236}">
              <a16:creationId xmlns:a16="http://schemas.microsoft.com/office/drawing/2014/main" id="{41E392BA-86B0-4DFD-A241-6B87776D896A}"/>
            </a:ext>
          </a:extLst>
        </xdr:cNvPr>
        <xdr:cNvSpPr txBox="1">
          <a:spLocks noChangeArrowheads="1"/>
        </xdr:cNvSpPr>
      </xdr:nvSpPr>
      <xdr:spPr bwMode="auto">
        <a:xfrm>
          <a:off x="8642856" y="23872199"/>
          <a:ext cx="1824748" cy="365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民間施設</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B</a:t>
          </a:r>
        </a:p>
      </xdr:txBody>
    </xdr:sp>
    <xdr:clientData/>
  </xdr:twoCellAnchor>
  <xdr:twoCellAnchor>
    <xdr:from>
      <xdr:col>9</xdr:col>
      <xdr:colOff>888584</xdr:colOff>
      <xdr:row>102</xdr:row>
      <xdr:rowOff>92620</xdr:rowOff>
    </xdr:from>
    <xdr:to>
      <xdr:col>11</xdr:col>
      <xdr:colOff>383976</xdr:colOff>
      <xdr:row>104</xdr:row>
      <xdr:rowOff>220152</xdr:rowOff>
    </xdr:to>
    <xdr:grpSp>
      <xdr:nvGrpSpPr>
        <xdr:cNvPr id="161" name="グループ化 160">
          <a:extLst>
            <a:ext uri="{FF2B5EF4-FFF2-40B4-BE49-F238E27FC236}">
              <a16:creationId xmlns:a16="http://schemas.microsoft.com/office/drawing/2014/main" id="{7B5C9ACA-072C-475A-9854-0AB0C7222120}"/>
            </a:ext>
          </a:extLst>
        </xdr:cNvPr>
        <xdr:cNvGrpSpPr/>
      </xdr:nvGrpSpPr>
      <xdr:grpSpPr>
        <a:xfrm>
          <a:off x="9676984" y="23105020"/>
          <a:ext cx="1555967" cy="581557"/>
          <a:chOff x="12824082" y="2239871"/>
          <a:chExt cx="1821521" cy="547299"/>
        </a:xfrm>
      </xdr:grpSpPr>
      <xdr:sp macro="" textlink="">
        <xdr:nvSpPr>
          <xdr:cNvPr id="162" name="矢印: 左 161">
            <a:extLst>
              <a:ext uri="{FF2B5EF4-FFF2-40B4-BE49-F238E27FC236}">
                <a16:creationId xmlns:a16="http://schemas.microsoft.com/office/drawing/2014/main" id="{8C1CE199-AFD2-C2EC-5517-BE9EE1BC25E9}"/>
              </a:ext>
            </a:extLst>
          </xdr:cNvPr>
          <xdr:cNvSpPr/>
        </xdr:nvSpPr>
        <xdr:spPr>
          <a:xfrm>
            <a:off x="13150971" y="2239871"/>
            <a:ext cx="1056199" cy="547299"/>
          </a:xfrm>
          <a:prstGeom prst="leftArrow">
            <a:avLst/>
          </a:prstGeom>
          <a:solidFill>
            <a:schemeClr val="accent6">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63" name="テキスト ボックス 41">
            <a:extLst>
              <a:ext uri="{FF2B5EF4-FFF2-40B4-BE49-F238E27FC236}">
                <a16:creationId xmlns:a16="http://schemas.microsoft.com/office/drawing/2014/main" id="{7C626550-AE02-B768-0B55-1A11DDB6F810}"/>
              </a:ext>
            </a:extLst>
          </xdr:cNvPr>
          <xdr:cNvSpPr txBox="1">
            <a:spLocks noChangeArrowheads="1"/>
          </xdr:cNvSpPr>
        </xdr:nvSpPr>
        <xdr:spPr bwMode="auto">
          <a:xfrm>
            <a:off x="12824082" y="2340581"/>
            <a:ext cx="1821521" cy="397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kWh</a:t>
            </a:r>
          </a:p>
        </xdr:txBody>
      </xdr:sp>
    </xdr:grpSp>
    <xdr:clientData/>
  </xdr:twoCellAnchor>
  <xdr:twoCellAnchor>
    <xdr:from>
      <xdr:col>10</xdr:col>
      <xdr:colOff>478685</xdr:colOff>
      <xdr:row>81</xdr:row>
      <xdr:rowOff>197646</xdr:rowOff>
    </xdr:from>
    <xdr:to>
      <xdr:col>12</xdr:col>
      <xdr:colOff>36764</xdr:colOff>
      <xdr:row>87</xdr:row>
      <xdr:rowOff>74513</xdr:rowOff>
    </xdr:to>
    <xdr:sp macro="" textlink="">
      <xdr:nvSpPr>
        <xdr:cNvPr id="164" name="テキスト ボックス 41">
          <a:extLst>
            <a:ext uri="{FF2B5EF4-FFF2-40B4-BE49-F238E27FC236}">
              <a16:creationId xmlns:a16="http://schemas.microsoft.com/office/drawing/2014/main" id="{B150ED55-EDA8-4801-A87C-44BD26DBA0F5}"/>
            </a:ext>
          </a:extLst>
        </xdr:cNvPr>
        <xdr:cNvSpPr txBox="1">
          <a:spLocks noChangeArrowheads="1"/>
        </xdr:cNvSpPr>
      </xdr:nvSpPr>
      <xdr:spPr bwMode="auto">
        <a:xfrm>
          <a:off x="10298960" y="18523746"/>
          <a:ext cx="1615479" cy="1305617"/>
        </a:xfrm>
        <a:prstGeom prst="rect">
          <a:avLst/>
        </a:prstGeom>
        <a:noFill/>
        <a:ln w="9525">
          <a:solidFill>
            <a:srgbClr val="000000"/>
          </a:solidFill>
          <a:prstDash val="lgDash"/>
          <a:miter lim="800000"/>
          <a:headEnd/>
          <a:tailEnd/>
        </a:ln>
        <a:extLst>
          <a:ext uri="{909E8E84-426E-40DD-AFC4-6F175D3DCCD1}">
            <a14:hiddenFill xmlns:a14="http://schemas.microsoft.com/office/drawing/2010/main">
              <a:solidFill>
                <a:srgbClr val="FFFFFF"/>
              </a:solidFill>
            </a14:hiddenFill>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清掃工場</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lang="en-US" altLang="ja-JP" sz="1400">
            <a:solidFill>
              <a:prstClr val="black"/>
            </a:solidFill>
            <a:latin typeface="Meiryo UI" panose="020B0604030504040204" pitchFamily="50" charset="-128"/>
            <a:ea typeface="Meiryo UI" panose="020B0604030504040204" pitchFamily="50" charset="-128"/>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自家消費</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10</xdr:col>
      <xdr:colOff>535875</xdr:colOff>
      <xdr:row>83</xdr:row>
      <xdr:rowOff>114295</xdr:rowOff>
    </xdr:from>
    <xdr:to>
      <xdr:col>11</xdr:col>
      <xdr:colOff>956068</xdr:colOff>
      <xdr:row>85</xdr:row>
      <xdr:rowOff>81290</xdr:rowOff>
    </xdr:to>
    <xdr:grpSp>
      <xdr:nvGrpSpPr>
        <xdr:cNvPr id="165" name="グループ化 164">
          <a:extLst>
            <a:ext uri="{FF2B5EF4-FFF2-40B4-BE49-F238E27FC236}">
              <a16:creationId xmlns:a16="http://schemas.microsoft.com/office/drawing/2014/main" id="{25D0CFAD-99E8-4475-B7E3-31013980EF8D}"/>
            </a:ext>
          </a:extLst>
        </xdr:cNvPr>
        <xdr:cNvGrpSpPr/>
      </xdr:nvGrpSpPr>
      <xdr:grpSpPr>
        <a:xfrm>
          <a:off x="10356150" y="18783295"/>
          <a:ext cx="1452068" cy="427370"/>
          <a:chOff x="7524327" y="483966"/>
          <a:chExt cx="622720" cy="721761"/>
        </a:xfrm>
        <a:solidFill>
          <a:schemeClr val="accent6">
            <a:lumMod val="60000"/>
            <a:lumOff val="40000"/>
          </a:schemeClr>
        </a:solidFill>
      </xdr:grpSpPr>
      <xdr:sp macro="" textlink="">
        <xdr:nvSpPr>
          <xdr:cNvPr id="166" name="円/楕円 29">
            <a:extLst>
              <a:ext uri="{FF2B5EF4-FFF2-40B4-BE49-F238E27FC236}">
                <a16:creationId xmlns:a16="http://schemas.microsoft.com/office/drawing/2014/main" id="{18116EAD-185F-3828-2D71-0D014CF4B007}"/>
              </a:ext>
            </a:extLst>
          </xdr:cNvPr>
          <xdr:cNvSpPr>
            <a:spLocks noChangeAspect="1"/>
          </xdr:cNvSpPr>
        </xdr:nvSpPr>
        <xdr:spPr>
          <a:xfrm flipH="1">
            <a:off x="7524327" y="483966"/>
            <a:ext cx="622720" cy="622720"/>
          </a:xfrm>
          <a:prstGeom prst="ellipse">
            <a:avLst/>
          </a:prstGeom>
          <a:grpFill/>
          <a:ln>
            <a:solidFill>
              <a:schemeClr val="tx2">
                <a:lumMod val="90000"/>
              </a:schemeClr>
            </a:solidFill>
          </a:ln>
        </xdr:spPr>
        <xdr:style>
          <a:lnRef idx="1">
            <a:schemeClr val="accent5"/>
          </a:lnRef>
          <a:fillRef idx="2">
            <a:schemeClr val="accent5"/>
          </a:fillRef>
          <a:effectRef idx="1">
            <a:schemeClr val="accent5"/>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defTabSz="342891">
              <a:spcBef>
                <a:spcPct val="30000"/>
              </a:spcBef>
            </a:pPr>
            <a:endParaRPr lang="ja-JP" altLang="en-US" sz="1600">
              <a:solidFill>
                <a:schemeClr val="bg1"/>
              </a:solidFill>
              <a:effectLst>
                <a:outerShdw blurRad="50800" dist="38100" dir="2700000" algn="tl" rotWithShape="0">
                  <a:prstClr val="black">
                    <a:alpha val="40000"/>
                  </a:prstClr>
                </a:outerShdw>
              </a:effectLst>
              <a:latin typeface="ＭＳ Ｐゴシック" panose="020B0600070205080204" pitchFamily="50" charset="-128"/>
              <a:ea typeface="ＭＳ Ｐゴシック" panose="020B0600070205080204" pitchFamily="50" charset="-128"/>
            </a:endParaRPr>
          </a:p>
        </xdr:txBody>
      </xdr:sp>
      <xdr:sp macro="" textlink="">
        <xdr:nvSpPr>
          <xdr:cNvPr id="167" name="テキスト ボックス 297">
            <a:extLst>
              <a:ext uri="{FF2B5EF4-FFF2-40B4-BE49-F238E27FC236}">
                <a16:creationId xmlns:a16="http://schemas.microsoft.com/office/drawing/2014/main" id="{1C1AAF5C-8073-DAE9-3C00-52F64BAA13FF}"/>
              </a:ext>
            </a:extLst>
          </xdr:cNvPr>
          <xdr:cNvSpPr txBox="1"/>
        </xdr:nvSpPr>
        <xdr:spPr>
          <a:xfrm>
            <a:off x="7587601" y="504499"/>
            <a:ext cx="496174" cy="701228"/>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400">
                <a:solidFill>
                  <a:schemeClr val="tx1">
                    <a:lumMod val="65000"/>
                    <a:lumOff val="35000"/>
                  </a:schemeClr>
                </a:solidFill>
                <a:latin typeface="ＭＳ Ｐゴシック" panose="020B0600070205080204" pitchFamily="50" charset="-128"/>
              </a:rPr>
              <a:t>○○○</a:t>
            </a:r>
            <a:r>
              <a:rPr lang="en-US" altLang="ja-JP" sz="1400">
                <a:solidFill>
                  <a:schemeClr val="tx1">
                    <a:lumMod val="65000"/>
                    <a:lumOff val="35000"/>
                  </a:schemeClr>
                </a:solidFill>
                <a:latin typeface="ＭＳ Ｐゴシック" panose="020B0600070205080204" pitchFamily="50" charset="-128"/>
              </a:rPr>
              <a:t>GWh</a:t>
            </a:r>
            <a:endParaRPr lang="ja-JP" altLang="en-US" sz="1400">
              <a:solidFill>
                <a:schemeClr val="tx1">
                  <a:lumMod val="65000"/>
                  <a:lumOff val="35000"/>
                </a:schemeClr>
              </a:solidFill>
              <a:latin typeface="ＭＳ Ｐゴシック" panose="020B0600070205080204" pitchFamily="50" charset="-128"/>
            </a:endParaRPr>
          </a:p>
        </xdr:txBody>
      </xdr:sp>
    </xdr:grpSp>
    <xdr:clientData/>
  </xdr:twoCellAnchor>
  <xdr:twoCellAnchor>
    <xdr:from>
      <xdr:col>10</xdr:col>
      <xdr:colOff>508871</xdr:colOff>
      <xdr:row>88</xdr:row>
      <xdr:rowOff>93094</xdr:rowOff>
    </xdr:from>
    <xdr:to>
      <xdr:col>12</xdr:col>
      <xdr:colOff>63802</xdr:colOff>
      <xdr:row>93</xdr:row>
      <xdr:rowOff>208460</xdr:rowOff>
    </xdr:to>
    <xdr:sp macro="" textlink="">
      <xdr:nvSpPr>
        <xdr:cNvPr id="168" name="テキスト ボックス 41">
          <a:extLst>
            <a:ext uri="{FF2B5EF4-FFF2-40B4-BE49-F238E27FC236}">
              <a16:creationId xmlns:a16="http://schemas.microsoft.com/office/drawing/2014/main" id="{70653D98-30EB-446C-994C-16F2CCBBB4AD}"/>
            </a:ext>
          </a:extLst>
        </xdr:cNvPr>
        <xdr:cNvSpPr txBox="1">
          <a:spLocks noChangeArrowheads="1"/>
        </xdr:cNvSpPr>
      </xdr:nvSpPr>
      <xdr:spPr bwMode="auto">
        <a:xfrm>
          <a:off x="10329146" y="20086069"/>
          <a:ext cx="1612331" cy="1305991"/>
        </a:xfrm>
        <a:prstGeom prst="rect">
          <a:avLst/>
        </a:prstGeom>
        <a:noFill/>
        <a:ln w="9525">
          <a:solidFill>
            <a:srgbClr val="000000"/>
          </a:solidFill>
          <a:prstDash val="lgDash"/>
          <a:miter lim="800000"/>
          <a:headEnd/>
          <a:tailEnd/>
        </a:ln>
        <a:extLst>
          <a:ext uri="{909E8E84-426E-40DD-AFC4-6F175D3DCCD1}">
            <a14:hiddenFill xmlns:a14="http://schemas.microsoft.com/office/drawing/2010/main">
              <a:solidFill>
                <a:srgbClr val="FFFFFF"/>
              </a:solidFill>
            </a14:hiddenFill>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需要家敷地内</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lang="en-US" altLang="ja-JP" sz="1400">
            <a:solidFill>
              <a:prstClr val="black"/>
            </a:solidFill>
            <a:latin typeface="Meiryo UI" panose="020B0604030504040204" pitchFamily="50" charset="-128"/>
            <a:ea typeface="Meiryo UI" panose="020B0604030504040204" pitchFamily="50" charset="-128"/>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屋根上</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PV</a:t>
          </a:r>
        </a:p>
      </xdr:txBody>
    </xdr:sp>
    <xdr:clientData/>
  </xdr:twoCellAnchor>
  <xdr:twoCellAnchor>
    <xdr:from>
      <xdr:col>9</xdr:col>
      <xdr:colOff>235968</xdr:colOff>
      <xdr:row>90</xdr:row>
      <xdr:rowOff>34174</xdr:rowOff>
    </xdr:from>
    <xdr:to>
      <xdr:col>10</xdr:col>
      <xdr:colOff>1000240</xdr:colOff>
      <xdr:row>92</xdr:row>
      <xdr:rowOff>149004</xdr:rowOff>
    </xdr:to>
    <xdr:grpSp>
      <xdr:nvGrpSpPr>
        <xdr:cNvPr id="169" name="グループ化 168">
          <a:extLst>
            <a:ext uri="{FF2B5EF4-FFF2-40B4-BE49-F238E27FC236}">
              <a16:creationId xmlns:a16="http://schemas.microsoft.com/office/drawing/2014/main" id="{255E3BA9-6FC5-4CA7-8078-DDED564E47C5}"/>
            </a:ext>
          </a:extLst>
        </xdr:cNvPr>
        <xdr:cNvGrpSpPr/>
      </xdr:nvGrpSpPr>
      <xdr:grpSpPr>
        <a:xfrm>
          <a:off x="9030718" y="20300199"/>
          <a:ext cx="1786622" cy="572030"/>
          <a:chOff x="12824082" y="2239871"/>
          <a:chExt cx="1821521" cy="547299"/>
        </a:xfrm>
      </xdr:grpSpPr>
      <xdr:sp macro="" textlink="">
        <xdr:nvSpPr>
          <xdr:cNvPr id="170" name="矢印: 左 169">
            <a:extLst>
              <a:ext uri="{FF2B5EF4-FFF2-40B4-BE49-F238E27FC236}">
                <a16:creationId xmlns:a16="http://schemas.microsoft.com/office/drawing/2014/main" id="{0660A5EB-EFB8-0F48-00D2-43440E9F6317}"/>
              </a:ext>
            </a:extLst>
          </xdr:cNvPr>
          <xdr:cNvSpPr/>
        </xdr:nvSpPr>
        <xdr:spPr>
          <a:xfrm>
            <a:off x="13150971" y="2239871"/>
            <a:ext cx="1056199" cy="547299"/>
          </a:xfrm>
          <a:prstGeom prst="leftArrow">
            <a:avLst/>
          </a:prstGeom>
          <a:solidFill>
            <a:schemeClr val="accent6">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71" name="テキスト ボックス 41">
            <a:extLst>
              <a:ext uri="{FF2B5EF4-FFF2-40B4-BE49-F238E27FC236}">
                <a16:creationId xmlns:a16="http://schemas.microsoft.com/office/drawing/2014/main" id="{4BC87BDD-D250-BAFF-476A-EEEF40C74376}"/>
              </a:ext>
            </a:extLst>
          </xdr:cNvPr>
          <xdr:cNvSpPr txBox="1">
            <a:spLocks noChangeArrowheads="1"/>
          </xdr:cNvSpPr>
        </xdr:nvSpPr>
        <xdr:spPr bwMode="auto">
          <a:xfrm>
            <a:off x="12824082" y="2340580"/>
            <a:ext cx="1821521" cy="404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kWh</a:t>
            </a:r>
          </a:p>
        </xdr:txBody>
      </xdr:sp>
    </xdr:grpSp>
    <xdr:clientData/>
  </xdr:twoCellAnchor>
  <xdr:twoCellAnchor>
    <xdr:from>
      <xdr:col>11</xdr:col>
      <xdr:colOff>183935</xdr:colOff>
      <xdr:row>102</xdr:row>
      <xdr:rowOff>201043</xdr:rowOff>
    </xdr:from>
    <xdr:to>
      <xdr:col>11</xdr:col>
      <xdr:colOff>570295</xdr:colOff>
      <xdr:row>104</xdr:row>
      <xdr:rowOff>49024</xdr:rowOff>
    </xdr:to>
    <xdr:sp macro="" textlink="">
      <xdr:nvSpPr>
        <xdr:cNvPr id="172" name="Freeform 41">
          <a:extLst>
            <a:ext uri="{FF2B5EF4-FFF2-40B4-BE49-F238E27FC236}">
              <a16:creationId xmlns:a16="http://schemas.microsoft.com/office/drawing/2014/main" id="{AC92CAA4-1D8F-477C-BAE1-1CEEC116A665}"/>
            </a:ext>
          </a:extLst>
        </xdr:cNvPr>
        <xdr:cNvSpPr>
          <a:spLocks noChangeAspect="1" noEditPoints="1"/>
        </xdr:cNvSpPr>
      </xdr:nvSpPr>
      <xdr:spPr bwMode="auto">
        <a:xfrm>
          <a:off x="11032910" y="23527768"/>
          <a:ext cx="386360" cy="324231"/>
        </a:xfrm>
        <a:custGeom>
          <a:avLst/>
          <a:gdLst>
            <a:gd name="T0" fmla="*/ 331 w 398"/>
            <a:gd name="T1" fmla="*/ 3 h 277"/>
            <a:gd name="T2" fmla="*/ 56 w 398"/>
            <a:gd name="T3" fmla="*/ 0 h 277"/>
            <a:gd name="T4" fmla="*/ 53 w 398"/>
            <a:gd name="T5" fmla="*/ 6 h 277"/>
            <a:gd name="T6" fmla="*/ 0 w 398"/>
            <a:gd name="T7" fmla="*/ 119 h 277"/>
            <a:gd name="T8" fmla="*/ 0 w 398"/>
            <a:gd name="T9" fmla="*/ 240 h 277"/>
            <a:gd name="T10" fmla="*/ 111 w 398"/>
            <a:gd name="T11" fmla="*/ 277 h 277"/>
            <a:gd name="T12" fmla="*/ 376 w 398"/>
            <a:gd name="T13" fmla="*/ 277 h 277"/>
            <a:gd name="T14" fmla="*/ 380 w 398"/>
            <a:gd name="T15" fmla="*/ 155 h 277"/>
            <a:gd name="T16" fmla="*/ 397 w 398"/>
            <a:gd name="T17" fmla="*/ 153 h 277"/>
            <a:gd name="T18" fmla="*/ 334 w 398"/>
            <a:gd name="T19" fmla="*/ 83 h 277"/>
            <a:gd name="T20" fmla="*/ 353 w 398"/>
            <a:gd name="T21" fmla="*/ 124 h 277"/>
            <a:gd name="T22" fmla="*/ 299 w 398"/>
            <a:gd name="T23" fmla="*/ 126 h 277"/>
            <a:gd name="T24" fmla="*/ 279 w 398"/>
            <a:gd name="T25" fmla="*/ 85 h 277"/>
            <a:gd name="T26" fmla="*/ 334 w 398"/>
            <a:gd name="T27" fmla="*/ 83 h 277"/>
            <a:gd name="T28" fmla="*/ 204 w 398"/>
            <a:gd name="T29" fmla="*/ 82 h 277"/>
            <a:gd name="T30" fmla="*/ 265 w 398"/>
            <a:gd name="T31" fmla="*/ 84 h 277"/>
            <a:gd name="T32" fmla="*/ 282 w 398"/>
            <a:gd name="T33" fmla="*/ 126 h 277"/>
            <a:gd name="T34" fmla="*/ 221 w 398"/>
            <a:gd name="T35" fmla="*/ 125 h 277"/>
            <a:gd name="T36" fmla="*/ 203 w 398"/>
            <a:gd name="T37" fmla="*/ 126 h 277"/>
            <a:gd name="T38" fmla="*/ 145 w 398"/>
            <a:gd name="T39" fmla="*/ 124 h 277"/>
            <a:gd name="T40" fmla="*/ 128 w 398"/>
            <a:gd name="T41" fmla="*/ 81 h 277"/>
            <a:gd name="T42" fmla="*/ 187 w 398"/>
            <a:gd name="T43" fmla="*/ 83 h 277"/>
            <a:gd name="T44" fmla="*/ 203 w 398"/>
            <a:gd name="T45" fmla="*/ 126 h 277"/>
            <a:gd name="T46" fmla="*/ 308 w 398"/>
            <a:gd name="T47" fmla="*/ 24 h 277"/>
            <a:gd name="T48" fmla="*/ 328 w 398"/>
            <a:gd name="T49" fmla="*/ 65 h 277"/>
            <a:gd name="T50" fmla="*/ 273 w 398"/>
            <a:gd name="T51" fmla="*/ 68 h 277"/>
            <a:gd name="T52" fmla="*/ 253 w 398"/>
            <a:gd name="T53" fmla="*/ 26 h 277"/>
            <a:gd name="T54" fmla="*/ 179 w 398"/>
            <a:gd name="T55" fmla="*/ 23 h 277"/>
            <a:gd name="T56" fmla="*/ 239 w 398"/>
            <a:gd name="T57" fmla="*/ 25 h 277"/>
            <a:gd name="T58" fmla="*/ 256 w 398"/>
            <a:gd name="T59" fmla="*/ 67 h 277"/>
            <a:gd name="T60" fmla="*/ 195 w 398"/>
            <a:gd name="T61" fmla="*/ 66 h 277"/>
            <a:gd name="T62" fmla="*/ 179 w 398"/>
            <a:gd name="T63" fmla="*/ 23 h 277"/>
            <a:gd name="T64" fmla="*/ 8 w 398"/>
            <a:gd name="T65" fmla="*/ 236 h 277"/>
            <a:gd name="T66" fmla="*/ 57 w 398"/>
            <a:gd name="T67" fmla="*/ 19 h 277"/>
            <a:gd name="T68" fmla="*/ 107 w 398"/>
            <a:gd name="T69" fmla="*/ 153 h 277"/>
            <a:gd name="T70" fmla="*/ 102 w 398"/>
            <a:gd name="T71" fmla="*/ 25 h 277"/>
            <a:gd name="T72" fmla="*/ 159 w 398"/>
            <a:gd name="T73" fmla="*/ 23 h 277"/>
            <a:gd name="T74" fmla="*/ 179 w 398"/>
            <a:gd name="T75" fmla="*/ 64 h 277"/>
            <a:gd name="T76" fmla="*/ 121 w 398"/>
            <a:gd name="T77" fmla="*/ 66 h 277"/>
            <a:gd name="T78" fmla="*/ 102 w 398"/>
            <a:gd name="T79" fmla="*/ 25 h 277"/>
            <a:gd name="T80" fmla="*/ 132 w 398"/>
            <a:gd name="T81" fmla="*/ 269 h 277"/>
            <a:gd name="T82" fmla="*/ 116 w 398"/>
            <a:gd name="T83" fmla="*/ 269 h 277"/>
            <a:gd name="T84" fmla="*/ 124 w 398"/>
            <a:gd name="T85" fmla="*/ 155 h 277"/>
            <a:gd name="T86" fmla="*/ 372 w 398"/>
            <a:gd name="T87" fmla="*/ 155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Lst>
          <a:rect l="0" t="0" r="r" b="b"/>
          <a:pathLst>
            <a:path w="398" h="277">
              <a:moveTo>
                <a:pt x="398" y="149"/>
              </a:moveTo>
              <a:cubicBezTo>
                <a:pt x="331" y="3"/>
                <a:pt x="331" y="3"/>
                <a:pt x="331" y="3"/>
              </a:cubicBezTo>
              <a:cubicBezTo>
                <a:pt x="330" y="2"/>
                <a:pt x="329" y="0"/>
                <a:pt x="327" y="0"/>
              </a:cubicBezTo>
              <a:cubicBezTo>
                <a:pt x="56" y="0"/>
                <a:pt x="56" y="0"/>
                <a:pt x="56" y="0"/>
              </a:cubicBezTo>
              <a:cubicBezTo>
                <a:pt x="55" y="0"/>
                <a:pt x="54" y="1"/>
                <a:pt x="53" y="2"/>
              </a:cubicBezTo>
              <a:cubicBezTo>
                <a:pt x="52" y="3"/>
                <a:pt x="52" y="5"/>
                <a:pt x="53" y="6"/>
              </a:cubicBezTo>
              <a:cubicBezTo>
                <a:pt x="53" y="9"/>
                <a:pt x="53" y="9"/>
                <a:pt x="53" y="9"/>
              </a:cubicBezTo>
              <a:cubicBezTo>
                <a:pt x="0" y="119"/>
                <a:pt x="0" y="119"/>
                <a:pt x="0" y="119"/>
              </a:cubicBezTo>
              <a:cubicBezTo>
                <a:pt x="0" y="119"/>
                <a:pt x="0" y="120"/>
                <a:pt x="0" y="120"/>
              </a:cubicBezTo>
              <a:cubicBezTo>
                <a:pt x="0" y="240"/>
                <a:pt x="0" y="240"/>
                <a:pt x="0" y="240"/>
              </a:cubicBezTo>
              <a:cubicBezTo>
                <a:pt x="0" y="242"/>
                <a:pt x="1" y="244"/>
                <a:pt x="4" y="244"/>
              </a:cubicBezTo>
              <a:cubicBezTo>
                <a:pt x="111" y="277"/>
                <a:pt x="111" y="277"/>
                <a:pt x="111" y="277"/>
              </a:cubicBezTo>
              <a:cubicBezTo>
                <a:pt x="128" y="277"/>
                <a:pt x="128" y="277"/>
                <a:pt x="128" y="277"/>
              </a:cubicBezTo>
              <a:cubicBezTo>
                <a:pt x="376" y="277"/>
                <a:pt x="376" y="277"/>
                <a:pt x="376" y="277"/>
              </a:cubicBezTo>
              <a:cubicBezTo>
                <a:pt x="379" y="277"/>
                <a:pt x="380" y="276"/>
                <a:pt x="380" y="273"/>
              </a:cubicBezTo>
              <a:cubicBezTo>
                <a:pt x="380" y="155"/>
                <a:pt x="380" y="155"/>
                <a:pt x="380" y="155"/>
              </a:cubicBezTo>
              <a:cubicBezTo>
                <a:pt x="394" y="155"/>
                <a:pt x="394" y="155"/>
                <a:pt x="394" y="155"/>
              </a:cubicBezTo>
              <a:cubicBezTo>
                <a:pt x="395" y="155"/>
                <a:pt x="397" y="154"/>
                <a:pt x="397" y="153"/>
              </a:cubicBezTo>
              <a:cubicBezTo>
                <a:pt x="398" y="152"/>
                <a:pt x="398" y="151"/>
                <a:pt x="398" y="149"/>
              </a:cubicBezTo>
              <a:close/>
              <a:moveTo>
                <a:pt x="334" y="83"/>
              </a:moveTo>
              <a:cubicBezTo>
                <a:pt x="334" y="83"/>
                <a:pt x="335" y="83"/>
                <a:pt x="335" y="84"/>
              </a:cubicBezTo>
              <a:cubicBezTo>
                <a:pt x="353" y="124"/>
                <a:pt x="353" y="124"/>
                <a:pt x="353" y="124"/>
              </a:cubicBezTo>
              <a:cubicBezTo>
                <a:pt x="354" y="125"/>
                <a:pt x="353" y="127"/>
                <a:pt x="352" y="127"/>
              </a:cubicBezTo>
              <a:cubicBezTo>
                <a:pt x="299" y="126"/>
                <a:pt x="299" y="126"/>
                <a:pt x="299" y="126"/>
              </a:cubicBezTo>
              <a:cubicBezTo>
                <a:pt x="298" y="126"/>
                <a:pt x="298" y="126"/>
                <a:pt x="297" y="125"/>
              </a:cubicBezTo>
              <a:cubicBezTo>
                <a:pt x="279" y="85"/>
                <a:pt x="279" y="85"/>
                <a:pt x="279" y="85"/>
              </a:cubicBezTo>
              <a:cubicBezTo>
                <a:pt x="278" y="84"/>
                <a:pt x="279" y="83"/>
                <a:pt x="281" y="83"/>
              </a:cubicBezTo>
              <a:lnTo>
                <a:pt x="334" y="83"/>
              </a:lnTo>
              <a:close/>
              <a:moveTo>
                <a:pt x="203" y="85"/>
              </a:moveTo>
              <a:cubicBezTo>
                <a:pt x="202" y="83"/>
                <a:pt x="203" y="82"/>
                <a:pt x="204" y="82"/>
              </a:cubicBezTo>
              <a:cubicBezTo>
                <a:pt x="263" y="82"/>
                <a:pt x="263" y="82"/>
                <a:pt x="263" y="82"/>
              </a:cubicBezTo>
              <a:cubicBezTo>
                <a:pt x="264" y="82"/>
                <a:pt x="265" y="83"/>
                <a:pt x="265" y="84"/>
              </a:cubicBezTo>
              <a:cubicBezTo>
                <a:pt x="283" y="124"/>
                <a:pt x="283" y="124"/>
                <a:pt x="283" y="124"/>
              </a:cubicBezTo>
              <a:cubicBezTo>
                <a:pt x="284" y="125"/>
                <a:pt x="283" y="126"/>
                <a:pt x="282" y="126"/>
              </a:cubicBezTo>
              <a:cubicBezTo>
                <a:pt x="223" y="126"/>
                <a:pt x="223" y="126"/>
                <a:pt x="223" y="126"/>
              </a:cubicBezTo>
              <a:cubicBezTo>
                <a:pt x="222" y="126"/>
                <a:pt x="221" y="125"/>
                <a:pt x="221" y="125"/>
              </a:cubicBezTo>
              <a:lnTo>
                <a:pt x="203" y="85"/>
              </a:lnTo>
              <a:close/>
              <a:moveTo>
                <a:pt x="203" y="126"/>
              </a:moveTo>
              <a:cubicBezTo>
                <a:pt x="146" y="125"/>
                <a:pt x="146" y="125"/>
                <a:pt x="146" y="125"/>
              </a:cubicBezTo>
              <a:cubicBezTo>
                <a:pt x="146" y="125"/>
                <a:pt x="145" y="125"/>
                <a:pt x="145" y="124"/>
              </a:cubicBezTo>
              <a:cubicBezTo>
                <a:pt x="127" y="84"/>
                <a:pt x="127" y="84"/>
                <a:pt x="127" y="84"/>
              </a:cubicBezTo>
              <a:cubicBezTo>
                <a:pt x="126" y="83"/>
                <a:pt x="127" y="81"/>
                <a:pt x="128" y="81"/>
              </a:cubicBezTo>
              <a:cubicBezTo>
                <a:pt x="185" y="82"/>
                <a:pt x="185" y="82"/>
                <a:pt x="185" y="82"/>
              </a:cubicBezTo>
              <a:cubicBezTo>
                <a:pt x="186" y="82"/>
                <a:pt x="186" y="82"/>
                <a:pt x="187" y="83"/>
              </a:cubicBezTo>
              <a:cubicBezTo>
                <a:pt x="205" y="123"/>
                <a:pt x="205" y="123"/>
                <a:pt x="205" y="123"/>
              </a:cubicBezTo>
              <a:cubicBezTo>
                <a:pt x="206" y="124"/>
                <a:pt x="205" y="126"/>
                <a:pt x="203" y="126"/>
              </a:cubicBezTo>
              <a:close/>
              <a:moveTo>
                <a:pt x="255" y="24"/>
              </a:moveTo>
              <a:cubicBezTo>
                <a:pt x="308" y="24"/>
                <a:pt x="308" y="24"/>
                <a:pt x="308" y="24"/>
              </a:cubicBezTo>
              <a:cubicBezTo>
                <a:pt x="309" y="24"/>
                <a:pt x="310" y="25"/>
                <a:pt x="310" y="25"/>
              </a:cubicBezTo>
              <a:cubicBezTo>
                <a:pt x="328" y="65"/>
                <a:pt x="328" y="65"/>
                <a:pt x="328" y="65"/>
              </a:cubicBezTo>
              <a:cubicBezTo>
                <a:pt x="329" y="67"/>
                <a:pt x="328" y="68"/>
                <a:pt x="326" y="68"/>
              </a:cubicBezTo>
              <a:cubicBezTo>
                <a:pt x="273" y="68"/>
                <a:pt x="273" y="68"/>
                <a:pt x="273" y="68"/>
              </a:cubicBezTo>
              <a:cubicBezTo>
                <a:pt x="273" y="68"/>
                <a:pt x="272" y="67"/>
                <a:pt x="272" y="66"/>
              </a:cubicBezTo>
              <a:cubicBezTo>
                <a:pt x="253" y="26"/>
                <a:pt x="253" y="26"/>
                <a:pt x="253" y="26"/>
              </a:cubicBezTo>
              <a:cubicBezTo>
                <a:pt x="253" y="25"/>
                <a:pt x="254" y="24"/>
                <a:pt x="255" y="24"/>
              </a:cubicBezTo>
              <a:close/>
              <a:moveTo>
                <a:pt x="179" y="23"/>
              </a:moveTo>
              <a:cubicBezTo>
                <a:pt x="238" y="24"/>
                <a:pt x="238" y="24"/>
                <a:pt x="238" y="24"/>
              </a:cubicBezTo>
              <a:cubicBezTo>
                <a:pt x="238" y="24"/>
                <a:pt x="239" y="24"/>
                <a:pt x="239" y="25"/>
              </a:cubicBezTo>
              <a:cubicBezTo>
                <a:pt x="258" y="65"/>
                <a:pt x="258" y="65"/>
                <a:pt x="258" y="65"/>
              </a:cubicBezTo>
              <a:cubicBezTo>
                <a:pt x="258" y="66"/>
                <a:pt x="257" y="67"/>
                <a:pt x="256" y="67"/>
              </a:cubicBezTo>
              <a:cubicBezTo>
                <a:pt x="197" y="67"/>
                <a:pt x="197" y="67"/>
                <a:pt x="197" y="67"/>
              </a:cubicBezTo>
              <a:cubicBezTo>
                <a:pt x="196" y="67"/>
                <a:pt x="196" y="67"/>
                <a:pt x="195" y="66"/>
              </a:cubicBezTo>
              <a:cubicBezTo>
                <a:pt x="177" y="26"/>
                <a:pt x="177" y="26"/>
                <a:pt x="177" y="26"/>
              </a:cubicBezTo>
              <a:cubicBezTo>
                <a:pt x="176" y="25"/>
                <a:pt x="177" y="23"/>
                <a:pt x="179" y="23"/>
              </a:cubicBezTo>
              <a:close/>
              <a:moveTo>
                <a:pt x="107" y="269"/>
              </a:moveTo>
              <a:cubicBezTo>
                <a:pt x="8" y="236"/>
                <a:pt x="8" y="236"/>
                <a:pt x="8" y="236"/>
              </a:cubicBezTo>
              <a:cubicBezTo>
                <a:pt x="8" y="121"/>
                <a:pt x="8" y="121"/>
                <a:pt x="8" y="121"/>
              </a:cubicBezTo>
              <a:cubicBezTo>
                <a:pt x="57" y="19"/>
                <a:pt x="57" y="19"/>
                <a:pt x="57" y="19"/>
              </a:cubicBezTo>
              <a:cubicBezTo>
                <a:pt x="107" y="152"/>
                <a:pt x="107" y="152"/>
                <a:pt x="107" y="152"/>
              </a:cubicBezTo>
              <a:cubicBezTo>
                <a:pt x="107" y="153"/>
                <a:pt x="107" y="153"/>
                <a:pt x="107" y="153"/>
              </a:cubicBezTo>
              <a:lnTo>
                <a:pt x="107" y="269"/>
              </a:lnTo>
              <a:close/>
              <a:moveTo>
                <a:pt x="102" y="25"/>
              </a:moveTo>
              <a:cubicBezTo>
                <a:pt x="101" y="24"/>
                <a:pt x="102" y="23"/>
                <a:pt x="103" y="23"/>
              </a:cubicBezTo>
              <a:cubicBezTo>
                <a:pt x="159" y="23"/>
                <a:pt x="159" y="23"/>
                <a:pt x="159" y="23"/>
              </a:cubicBezTo>
              <a:cubicBezTo>
                <a:pt x="160" y="23"/>
                <a:pt x="161" y="23"/>
                <a:pt x="161" y="24"/>
              </a:cubicBezTo>
              <a:cubicBezTo>
                <a:pt x="179" y="64"/>
                <a:pt x="179" y="64"/>
                <a:pt x="179" y="64"/>
              </a:cubicBezTo>
              <a:cubicBezTo>
                <a:pt x="180" y="65"/>
                <a:pt x="179" y="67"/>
                <a:pt x="178" y="67"/>
              </a:cubicBezTo>
              <a:cubicBezTo>
                <a:pt x="121" y="66"/>
                <a:pt x="121" y="66"/>
                <a:pt x="121" y="66"/>
              </a:cubicBezTo>
              <a:cubicBezTo>
                <a:pt x="120" y="66"/>
                <a:pt x="120" y="66"/>
                <a:pt x="120" y="65"/>
              </a:cubicBezTo>
              <a:lnTo>
                <a:pt x="102" y="25"/>
              </a:lnTo>
              <a:close/>
              <a:moveTo>
                <a:pt x="372" y="269"/>
              </a:moveTo>
              <a:cubicBezTo>
                <a:pt x="132" y="269"/>
                <a:pt x="132" y="269"/>
                <a:pt x="132" y="269"/>
              </a:cubicBezTo>
              <a:cubicBezTo>
                <a:pt x="124" y="269"/>
                <a:pt x="124" y="269"/>
                <a:pt x="124" y="269"/>
              </a:cubicBezTo>
              <a:cubicBezTo>
                <a:pt x="116" y="269"/>
                <a:pt x="116" y="269"/>
                <a:pt x="116" y="269"/>
              </a:cubicBezTo>
              <a:cubicBezTo>
                <a:pt x="116" y="155"/>
                <a:pt x="116" y="155"/>
                <a:pt x="116" y="155"/>
              </a:cubicBezTo>
              <a:cubicBezTo>
                <a:pt x="124" y="155"/>
                <a:pt x="124" y="155"/>
                <a:pt x="124" y="155"/>
              </a:cubicBezTo>
              <a:cubicBezTo>
                <a:pt x="132" y="155"/>
                <a:pt x="132" y="155"/>
                <a:pt x="132" y="155"/>
              </a:cubicBezTo>
              <a:cubicBezTo>
                <a:pt x="372" y="155"/>
                <a:pt x="372" y="155"/>
                <a:pt x="372" y="155"/>
              </a:cubicBezTo>
              <a:lnTo>
                <a:pt x="372" y="269"/>
              </a:lnTo>
              <a:close/>
            </a:path>
          </a:pathLst>
        </a:custGeom>
        <a:solidFill>
          <a:srgbClr val="0070C0"/>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clientData/>
  </xdr:twoCellAnchor>
  <xdr:twoCellAnchor>
    <xdr:from>
      <xdr:col>10</xdr:col>
      <xdr:colOff>508871</xdr:colOff>
      <xdr:row>96</xdr:row>
      <xdr:rowOff>220198</xdr:rowOff>
    </xdr:from>
    <xdr:to>
      <xdr:col>12</xdr:col>
      <xdr:colOff>80684</xdr:colOff>
      <xdr:row>100</xdr:row>
      <xdr:rowOff>182331</xdr:rowOff>
    </xdr:to>
    <xdr:sp macro="" textlink="">
      <xdr:nvSpPr>
        <xdr:cNvPr id="173" name="テキスト ボックス 41">
          <a:extLst>
            <a:ext uri="{FF2B5EF4-FFF2-40B4-BE49-F238E27FC236}">
              <a16:creationId xmlns:a16="http://schemas.microsoft.com/office/drawing/2014/main" id="{B0C3AAAB-4547-479C-BC1A-15AD8BCC8520}"/>
            </a:ext>
          </a:extLst>
        </xdr:cNvPr>
        <xdr:cNvSpPr txBox="1">
          <a:spLocks noChangeArrowheads="1"/>
        </xdr:cNvSpPr>
      </xdr:nvSpPr>
      <xdr:spPr bwMode="auto">
        <a:xfrm>
          <a:off x="10329146" y="22118173"/>
          <a:ext cx="1629213" cy="914633"/>
        </a:xfrm>
        <a:prstGeom prst="rect">
          <a:avLst/>
        </a:prstGeom>
        <a:noFill/>
        <a:ln w="9525">
          <a:solidFill>
            <a:srgbClr val="000000"/>
          </a:solidFill>
          <a:prstDash val="lgDash"/>
          <a:miter lim="800000"/>
          <a:headEnd/>
          <a:tailEnd/>
        </a:ln>
        <a:extLst>
          <a:ext uri="{909E8E84-426E-40DD-AFC4-6F175D3DCCD1}">
            <a14:hiddenFill xmlns:a14="http://schemas.microsoft.com/office/drawing/2010/main">
              <a:solidFill>
                <a:srgbClr val="FFFFFF"/>
              </a:solidFill>
            </a14:hiddenFill>
          </a:ext>
        </a:ex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lang="ja-JP" altLang="en-US" sz="1400">
              <a:solidFill>
                <a:prstClr val="black"/>
              </a:solidFill>
              <a:latin typeface="Meiryo UI" panose="020B0604030504040204" pitchFamily="50" charset="-128"/>
              <a:ea typeface="Meiryo UI" panose="020B0604030504040204" pitchFamily="50" charset="-128"/>
            </a:rPr>
            <a:t>事業者</a:t>
          </a:r>
          <a:r>
            <a:rPr lang="en-US" altLang="ja-JP" sz="1400">
              <a:solidFill>
                <a:prstClr val="black"/>
              </a:solidFill>
              <a:latin typeface="Meiryo UI" panose="020B0604030504040204" pitchFamily="50" charset="-128"/>
              <a:ea typeface="Meiryo UI" panose="020B0604030504040204" pitchFamily="50" charset="-128"/>
            </a:rPr>
            <a:t>C</a:t>
          </a:r>
          <a:r>
            <a:rPr lang="ja-JP" altLang="en-US" sz="1200">
              <a:solidFill>
                <a:prstClr val="black"/>
              </a:solidFill>
              <a:latin typeface="Meiryo UI" panose="020B0604030504040204" pitchFamily="50" charset="-128"/>
              <a:ea typeface="Meiryo UI" panose="020B0604030504040204" pitchFamily="50" charset="-128"/>
            </a:rPr>
            <a:t>（協議中）</a:t>
          </a:r>
          <a:endParaRPr lang="en-US" altLang="ja-JP" sz="1200">
            <a:solidFill>
              <a:prstClr val="black"/>
            </a:solidFill>
            <a:latin typeface="Meiryo UI" panose="020B0604030504040204" pitchFamily="50" charset="-128"/>
            <a:ea typeface="Meiryo UI" panose="020B0604030504040204" pitchFamily="50" charset="-128"/>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endParaRPr lang="en-US" altLang="ja-JP" sz="1200">
            <a:solidFill>
              <a:prstClr val="black"/>
            </a:solidFill>
            <a:latin typeface="Meiryo UI" panose="020B0604030504040204" pitchFamily="50" charset="-128"/>
            <a:ea typeface="Meiryo UI" panose="020B0604030504040204" pitchFamily="50" charset="-128"/>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環境証書</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10</xdr:col>
      <xdr:colOff>728141</xdr:colOff>
      <xdr:row>98</xdr:row>
      <xdr:rowOff>51155</xdr:rowOff>
    </xdr:from>
    <xdr:to>
      <xdr:col>11</xdr:col>
      <xdr:colOff>858237</xdr:colOff>
      <xdr:row>100</xdr:row>
      <xdr:rowOff>51171</xdr:rowOff>
    </xdr:to>
    <xdr:grpSp>
      <xdr:nvGrpSpPr>
        <xdr:cNvPr id="174" name="グループ化 173">
          <a:extLst>
            <a:ext uri="{FF2B5EF4-FFF2-40B4-BE49-F238E27FC236}">
              <a16:creationId xmlns:a16="http://schemas.microsoft.com/office/drawing/2014/main" id="{375A0823-38BB-4B58-BB78-C944CA00B365}"/>
            </a:ext>
          </a:extLst>
        </xdr:cNvPr>
        <xdr:cNvGrpSpPr/>
      </xdr:nvGrpSpPr>
      <xdr:grpSpPr>
        <a:xfrm>
          <a:off x="10551591" y="22145980"/>
          <a:ext cx="1155621" cy="457216"/>
          <a:chOff x="12868234" y="4617230"/>
          <a:chExt cx="1415218" cy="626189"/>
        </a:xfrm>
        <a:solidFill>
          <a:schemeClr val="accent6">
            <a:lumMod val="60000"/>
            <a:lumOff val="40000"/>
          </a:schemeClr>
        </a:solidFill>
      </xdr:grpSpPr>
      <xdr:sp macro="" textlink="">
        <xdr:nvSpPr>
          <xdr:cNvPr id="175" name="円/楕円 29">
            <a:extLst>
              <a:ext uri="{FF2B5EF4-FFF2-40B4-BE49-F238E27FC236}">
                <a16:creationId xmlns:a16="http://schemas.microsoft.com/office/drawing/2014/main" id="{15EC19DC-22E7-6421-EC2B-FB73739B9CDD}"/>
              </a:ext>
            </a:extLst>
          </xdr:cNvPr>
          <xdr:cNvSpPr>
            <a:spLocks noChangeAspect="1"/>
          </xdr:cNvSpPr>
        </xdr:nvSpPr>
        <xdr:spPr>
          <a:xfrm flipH="1">
            <a:off x="12868234" y="4617230"/>
            <a:ext cx="1396833" cy="532984"/>
          </a:xfrm>
          <a:prstGeom prst="ellipse">
            <a:avLst/>
          </a:prstGeom>
          <a:grpFill/>
          <a:ln>
            <a:solidFill>
              <a:schemeClr val="tx2">
                <a:lumMod val="90000"/>
              </a:schemeClr>
            </a:solidFill>
          </a:ln>
        </xdr:spPr>
        <xdr:style>
          <a:lnRef idx="1">
            <a:schemeClr val="accent5"/>
          </a:lnRef>
          <a:fillRef idx="2">
            <a:schemeClr val="accent5"/>
          </a:fillRef>
          <a:effectRef idx="1">
            <a:schemeClr val="accent5"/>
          </a:effectRef>
          <a:fontRef idx="minor">
            <a:schemeClr val="dk1"/>
          </a:fontRef>
        </xdr:style>
        <xdr:txBody>
          <a:bodyPr wrap="square" rtlCol="0" anchor="ct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defTabSz="342891">
              <a:spcBef>
                <a:spcPct val="30000"/>
              </a:spcBef>
            </a:pPr>
            <a:endParaRPr lang="ja-JP" altLang="en-US" sz="1600">
              <a:solidFill>
                <a:schemeClr val="bg1"/>
              </a:solidFill>
              <a:effectLst>
                <a:outerShdw blurRad="50800" dist="38100" dir="2700000" algn="tl" rotWithShape="0">
                  <a:prstClr val="black">
                    <a:alpha val="40000"/>
                  </a:prstClr>
                </a:outerShdw>
              </a:effectLst>
              <a:latin typeface="ＭＳ Ｐゴシック" panose="020B0600070205080204" pitchFamily="50" charset="-128"/>
              <a:ea typeface="ＭＳ Ｐゴシック" panose="020B0600070205080204" pitchFamily="50" charset="-128"/>
            </a:endParaRPr>
          </a:p>
        </xdr:txBody>
      </xdr:sp>
      <xdr:sp macro="" textlink="">
        <xdr:nvSpPr>
          <xdr:cNvPr id="176" name="テキスト ボックス 308">
            <a:extLst>
              <a:ext uri="{FF2B5EF4-FFF2-40B4-BE49-F238E27FC236}">
                <a16:creationId xmlns:a16="http://schemas.microsoft.com/office/drawing/2014/main" id="{018DE40A-5CEE-9185-930E-835F85A3145F}"/>
              </a:ext>
            </a:extLst>
          </xdr:cNvPr>
          <xdr:cNvSpPr txBox="1"/>
        </xdr:nvSpPr>
        <xdr:spPr>
          <a:xfrm>
            <a:off x="12869134" y="4655879"/>
            <a:ext cx="1414318" cy="58754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400">
                <a:solidFill>
                  <a:schemeClr val="tx1">
                    <a:lumMod val="65000"/>
                    <a:lumOff val="35000"/>
                  </a:schemeClr>
                </a:solidFill>
                <a:latin typeface="ＭＳ Ｐゴシック" panose="020B0600070205080204" pitchFamily="50" charset="-128"/>
              </a:rPr>
              <a:t>○○○</a:t>
            </a:r>
            <a:r>
              <a:rPr lang="en-US" altLang="ja-JP" sz="1400">
                <a:solidFill>
                  <a:schemeClr val="tx1">
                    <a:lumMod val="65000"/>
                    <a:lumOff val="35000"/>
                  </a:schemeClr>
                </a:solidFill>
                <a:latin typeface="ＭＳ Ｐゴシック" panose="020B0600070205080204" pitchFamily="50" charset="-128"/>
              </a:rPr>
              <a:t>GWh</a:t>
            </a:r>
            <a:endParaRPr lang="ja-JP" altLang="en-US" sz="1400">
              <a:solidFill>
                <a:schemeClr val="tx1">
                  <a:lumMod val="65000"/>
                  <a:lumOff val="35000"/>
                </a:schemeClr>
              </a:solidFill>
              <a:latin typeface="ＭＳ Ｐゴシック" panose="020B0600070205080204" pitchFamily="50" charset="-128"/>
            </a:endParaRPr>
          </a:p>
        </xdr:txBody>
      </xdr:sp>
    </xdr:grpSp>
    <xdr:clientData/>
  </xdr:twoCellAnchor>
  <xdr:twoCellAnchor>
    <xdr:from>
      <xdr:col>10</xdr:col>
      <xdr:colOff>842415</xdr:colOff>
      <xdr:row>101</xdr:row>
      <xdr:rowOff>122239</xdr:rowOff>
    </xdr:from>
    <xdr:to>
      <xdr:col>12</xdr:col>
      <xdr:colOff>72125</xdr:colOff>
      <xdr:row>106</xdr:row>
      <xdr:rowOff>36256</xdr:rowOff>
    </xdr:to>
    <xdr:sp macro="" textlink="">
      <xdr:nvSpPr>
        <xdr:cNvPr id="177" name="テキスト ボックス 41">
          <a:extLst>
            <a:ext uri="{FF2B5EF4-FFF2-40B4-BE49-F238E27FC236}">
              <a16:creationId xmlns:a16="http://schemas.microsoft.com/office/drawing/2014/main" id="{1A4400DA-74C3-4B93-AA98-27A9FB8D3D10}"/>
            </a:ext>
          </a:extLst>
        </xdr:cNvPr>
        <xdr:cNvSpPr txBox="1">
          <a:spLocks noChangeArrowheads="1"/>
        </xdr:cNvSpPr>
      </xdr:nvSpPr>
      <xdr:spPr bwMode="auto">
        <a:xfrm>
          <a:off x="10662690" y="23210839"/>
          <a:ext cx="1287110" cy="1104642"/>
        </a:xfrm>
        <a:prstGeom prst="rect">
          <a:avLst/>
        </a:prstGeom>
        <a:noFill/>
        <a:ln w="9525">
          <a:solidFill>
            <a:srgbClr val="000000"/>
          </a:solidFill>
          <a:prstDash val="lgDash"/>
          <a:miter lim="800000"/>
          <a:headEnd/>
          <a:tailEnd/>
        </a:ln>
        <a:extLst>
          <a:ext uri="{909E8E84-426E-40DD-AFC4-6F175D3DCCD1}">
            <a14:hiddenFill xmlns:a14="http://schemas.microsoft.com/office/drawing/2010/main">
              <a:solidFill>
                <a:srgbClr val="FFFFFF"/>
              </a:solidFill>
            </a14:hiddenFill>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需要家敷地内</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屋根上</a:t>
          </a:r>
          <a:r>
            <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PV</a:t>
          </a:r>
        </a:p>
      </xdr:txBody>
    </xdr:sp>
    <xdr:clientData/>
  </xdr:twoCellAnchor>
  <xdr:twoCellAnchor>
    <xdr:from>
      <xdr:col>10</xdr:col>
      <xdr:colOff>956580</xdr:colOff>
      <xdr:row>90</xdr:row>
      <xdr:rowOff>43478</xdr:rowOff>
    </xdr:from>
    <xdr:to>
      <xdr:col>11</xdr:col>
      <xdr:colOff>584391</xdr:colOff>
      <xdr:row>92</xdr:row>
      <xdr:rowOff>92462</xdr:rowOff>
    </xdr:to>
    <xdr:sp macro="" textlink="">
      <xdr:nvSpPr>
        <xdr:cNvPr id="178" name="Freeform 41">
          <a:extLst>
            <a:ext uri="{FF2B5EF4-FFF2-40B4-BE49-F238E27FC236}">
              <a16:creationId xmlns:a16="http://schemas.microsoft.com/office/drawing/2014/main" id="{187B318B-B3C5-40E1-A03E-F0BB14F83D4E}"/>
            </a:ext>
          </a:extLst>
        </xdr:cNvPr>
        <xdr:cNvSpPr>
          <a:spLocks noChangeAspect="1" noEditPoints="1"/>
        </xdr:cNvSpPr>
      </xdr:nvSpPr>
      <xdr:spPr bwMode="auto">
        <a:xfrm>
          <a:off x="10776855" y="20512703"/>
          <a:ext cx="656511" cy="525234"/>
        </a:xfrm>
        <a:custGeom>
          <a:avLst/>
          <a:gdLst>
            <a:gd name="T0" fmla="*/ 331 w 398"/>
            <a:gd name="T1" fmla="*/ 3 h 277"/>
            <a:gd name="T2" fmla="*/ 56 w 398"/>
            <a:gd name="T3" fmla="*/ 0 h 277"/>
            <a:gd name="T4" fmla="*/ 53 w 398"/>
            <a:gd name="T5" fmla="*/ 6 h 277"/>
            <a:gd name="T6" fmla="*/ 0 w 398"/>
            <a:gd name="T7" fmla="*/ 119 h 277"/>
            <a:gd name="T8" fmla="*/ 0 w 398"/>
            <a:gd name="T9" fmla="*/ 240 h 277"/>
            <a:gd name="T10" fmla="*/ 111 w 398"/>
            <a:gd name="T11" fmla="*/ 277 h 277"/>
            <a:gd name="T12" fmla="*/ 376 w 398"/>
            <a:gd name="T13" fmla="*/ 277 h 277"/>
            <a:gd name="T14" fmla="*/ 380 w 398"/>
            <a:gd name="T15" fmla="*/ 155 h 277"/>
            <a:gd name="T16" fmla="*/ 397 w 398"/>
            <a:gd name="T17" fmla="*/ 153 h 277"/>
            <a:gd name="T18" fmla="*/ 334 w 398"/>
            <a:gd name="T19" fmla="*/ 83 h 277"/>
            <a:gd name="T20" fmla="*/ 353 w 398"/>
            <a:gd name="T21" fmla="*/ 124 h 277"/>
            <a:gd name="T22" fmla="*/ 299 w 398"/>
            <a:gd name="T23" fmla="*/ 126 h 277"/>
            <a:gd name="T24" fmla="*/ 279 w 398"/>
            <a:gd name="T25" fmla="*/ 85 h 277"/>
            <a:gd name="T26" fmla="*/ 334 w 398"/>
            <a:gd name="T27" fmla="*/ 83 h 277"/>
            <a:gd name="T28" fmla="*/ 204 w 398"/>
            <a:gd name="T29" fmla="*/ 82 h 277"/>
            <a:gd name="T30" fmla="*/ 265 w 398"/>
            <a:gd name="T31" fmla="*/ 84 h 277"/>
            <a:gd name="T32" fmla="*/ 282 w 398"/>
            <a:gd name="T33" fmla="*/ 126 h 277"/>
            <a:gd name="T34" fmla="*/ 221 w 398"/>
            <a:gd name="T35" fmla="*/ 125 h 277"/>
            <a:gd name="T36" fmla="*/ 203 w 398"/>
            <a:gd name="T37" fmla="*/ 126 h 277"/>
            <a:gd name="T38" fmla="*/ 145 w 398"/>
            <a:gd name="T39" fmla="*/ 124 h 277"/>
            <a:gd name="T40" fmla="*/ 128 w 398"/>
            <a:gd name="T41" fmla="*/ 81 h 277"/>
            <a:gd name="T42" fmla="*/ 187 w 398"/>
            <a:gd name="T43" fmla="*/ 83 h 277"/>
            <a:gd name="T44" fmla="*/ 203 w 398"/>
            <a:gd name="T45" fmla="*/ 126 h 277"/>
            <a:gd name="T46" fmla="*/ 308 w 398"/>
            <a:gd name="T47" fmla="*/ 24 h 277"/>
            <a:gd name="T48" fmla="*/ 328 w 398"/>
            <a:gd name="T49" fmla="*/ 65 h 277"/>
            <a:gd name="T50" fmla="*/ 273 w 398"/>
            <a:gd name="T51" fmla="*/ 68 h 277"/>
            <a:gd name="T52" fmla="*/ 253 w 398"/>
            <a:gd name="T53" fmla="*/ 26 h 277"/>
            <a:gd name="T54" fmla="*/ 179 w 398"/>
            <a:gd name="T55" fmla="*/ 23 h 277"/>
            <a:gd name="T56" fmla="*/ 239 w 398"/>
            <a:gd name="T57" fmla="*/ 25 h 277"/>
            <a:gd name="T58" fmla="*/ 256 w 398"/>
            <a:gd name="T59" fmla="*/ 67 h 277"/>
            <a:gd name="T60" fmla="*/ 195 w 398"/>
            <a:gd name="T61" fmla="*/ 66 h 277"/>
            <a:gd name="T62" fmla="*/ 179 w 398"/>
            <a:gd name="T63" fmla="*/ 23 h 277"/>
            <a:gd name="T64" fmla="*/ 8 w 398"/>
            <a:gd name="T65" fmla="*/ 236 h 277"/>
            <a:gd name="T66" fmla="*/ 57 w 398"/>
            <a:gd name="T67" fmla="*/ 19 h 277"/>
            <a:gd name="T68" fmla="*/ 107 w 398"/>
            <a:gd name="T69" fmla="*/ 153 h 277"/>
            <a:gd name="T70" fmla="*/ 102 w 398"/>
            <a:gd name="T71" fmla="*/ 25 h 277"/>
            <a:gd name="T72" fmla="*/ 159 w 398"/>
            <a:gd name="T73" fmla="*/ 23 h 277"/>
            <a:gd name="T74" fmla="*/ 179 w 398"/>
            <a:gd name="T75" fmla="*/ 64 h 277"/>
            <a:gd name="T76" fmla="*/ 121 w 398"/>
            <a:gd name="T77" fmla="*/ 66 h 277"/>
            <a:gd name="T78" fmla="*/ 102 w 398"/>
            <a:gd name="T79" fmla="*/ 25 h 277"/>
            <a:gd name="T80" fmla="*/ 132 w 398"/>
            <a:gd name="T81" fmla="*/ 269 h 277"/>
            <a:gd name="T82" fmla="*/ 116 w 398"/>
            <a:gd name="T83" fmla="*/ 269 h 277"/>
            <a:gd name="T84" fmla="*/ 124 w 398"/>
            <a:gd name="T85" fmla="*/ 155 h 277"/>
            <a:gd name="T86" fmla="*/ 372 w 398"/>
            <a:gd name="T87" fmla="*/ 155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Lst>
          <a:rect l="0" t="0" r="r" b="b"/>
          <a:pathLst>
            <a:path w="398" h="277">
              <a:moveTo>
                <a:pt x="398" y="149"/>
              </a:moveTo>
              <a:cubicBezTo>
                <a:pt x="331" y="3"/>
                <a:pt x="331" y="3"/>
                <a:pt x="331" y="3"/>
              </a:cubicBezTo>
              <a:cubicBezTo>
                <a:pt x="330" y="2"/>
                <a:pt x="329" y="0"/>
                <a:pt x="327" y="0"/>
              </a:cubicBezTo>
              <a:cubicBezTo>
                <a:pt x="56" y="0"/>
                <a:pt x="56" y="0"/>
                <a:pt x="56" y="0"/>
              </a:cubicBezTo>
              <a:cubicBezTo>
                <a:pt x="55" y="0"/>
                <a:pt x="54" y="1"/>
                <a:pt x="53" y="2"/>
              </a:cubicBezTo>
              <a:cubicBezTo>
                <a:pt x="52" y="3"/>
                <a:pt x="52" y="5"/>
                <a:pt x="53" y="6"/>
              </a:cubicBezTo>
              <a:cubicBezTo>
                <a:pt x="53" y="9"/>
                <a:pt x="53" y="9"/>
                <a:pt x="53" y="9"/>
              </a:cubicBezTo>
              <a:cubicBezTo>
                <a:pt x="0" y="119"/>
                <a:pt x="0" y="119"/>
                <a:pt x="0" y="119"/>
              </a:cubicBezTo>
              <a:cubicBezTo>
                <a:pt x="0" y="119"/>
                <a:pt x="0" y="120"/>
                <a:pt x="0" y="120"/>
              </a:cubicBezTo>
              <a:cubicBezTo>
                <a:pt x="0" y="240"/>
                <a:pt x="0" y="240"/>
                <a:pt x="0" y="240"/>
              </a:cubicBezTo>
              <a:cubicBezTo>
                <a:pt x="0" y="242"/>
                <a:pt x="1" y="244"/>
                <a:pt x="4" y="244"/>
              </a:cubicBezTo>
              <a:cubicBezTo>
                <a:pt x="111" y="277"/>
                <a:pt x="111" y="277"/>
                <a:pt x="111" y="277"/>
              </a:cubicBezTo>
              <a:cubicBezTo>
                <a:pt x="128" y="277"/>
                <a:pt x="128" y="277"/>
                <a:pt x="128" y="277"/>
              </a:cubicBezTo>
              <a:cubicBezTo>
                <a:pt x="376" y="277"/>
                <a:pt x="376" y="277"/>
                <a:pt x="376" y="277"/>
              </a:cubicBezTo>
              <a:cubicBezTo>
                <a:pt x="379" y="277"/>
                <a:pt x="380" y="276"/>
                <a:pt x="380" y="273"/>
              </a:cubicBezTo>
              <a:cubicBezTo>
                <a:pt x="380" y="155"/>
                <a:pt x="380" y="155"/>
                <a:pt x="380" y="155"/>
              </a:cubicBezTo>
              <a:cubicBezTo>
                <a:pt x="394" y="155"/>
                <a:pt x="394" y="155"/>
                <a:pt x="394" y="155"/>
              </a:cubicBezTo>
              <a:cubicBezTo>
                <a:pt x="395" y="155"/>
                <a:pt x="397" y="154"/>
                <a:pt x="397" y="153"/>
              </a:cubicBezTo>
              <a:cubicBezTo>
                <a:pt x="398" y="152"/>
                <a:pt x="398" y="151"/>
                <a:pt x="398" y="149"/>
              </a:cubicBezTo>
              <a:close/>
              <a:moveTo>
                <a:pt x="334" y="83"/>
              </a:moveTo>
              <a:cubicBezTo>
                <a:pt x="334" y="83"/>
                <a:pt x="335" y="83"/>
                <a:pt x="335" y="84"/>
              </a:cubicBezTo>
              <a:cubicBezTo>
                <a:pt x="353" y="124"/>
                <a:pt x="353" y="124"/>
                <a:pt x="353" y="124"/>
              </a:cubicBezTo>
              <a:cubicBezTo>
                <a:pt x="354" y="125"/>
                <a:pt x="353" y="127"/>
                <a:pt x="352" y="127"/>
              </a:cubicBezTo>
              <a:cubicBezTo>
                <a:pt x="299" y="126"/>
                <a:pt x="299" y="126"/>
                <a:pt x="299" y="126"/>
              </a:cubicBezTo>
              <a:cubicBezTo>
                <a:pt x="298" y="126"/>
                <a:pt x="298" y="126"/>
                <a:pt x="297" y="125"/>
              </a:cubicBezTo>
              <a:cubicBezTo>
                <a:pt x="279" y="85"/>
                <a:pt x="279" y="85"/>
                <a:pt x="279" y="85"/>
              </a:cubicBezTo>
              <a:cubicBezTo>
                <a:pt x="278" y="84"/>
                <a:pt x="279" y="83"/>
                <a:pt x="281" y="83"/>
              </a:cubicBezTo>
              <a:lnTo>
                <a:pt x="334" y="83"/>
              </a:lnTo>
              <a:close/>
              <a:moveTo>
                <a:pt x="203" y="85"/>
              </a:moveTo>
              <a:cubicBezTo>
                <a:pt x="202" y="83"/>
                <a:pt x="203" y="82"/>
                <a:pt x="204" y="82"/>
              </a:cubicBezTo>
              <a:cubicBezTo>
                <a:pt x="263" y="82"/>
                <a:pt x="263" y="82"/>
                <a:pt x="263" y="82"/>
              </a:cubicBezTo>
              <a:cubicBezTo>
                <a:pt x="264" y="82"/>
                <a:pt x="265" y="83"/>
                <a:pt x="265" y="84"/>
              </a:cubicBezTo>
              <a:cubicBezTo>
                <a:pt x="283" y="124"/>
                <a:pt x="283" y="124"/>
                <a:pt x="283" y="124"/>
              </a:cubicBezTo>
              <a:cubicBezTo>
                <a:pt x="284" y="125"/>
                <a:pt x="283" y="126"/>
                <a:pt x="282" y="126"/>
              </a:cubicBezTo>
              <a:cubicBezTo>
                <a:pt x="223" y="126"/>
                <a:pt x="223" y="126"/>
                <a:pt x="223" y="126"/>
              </a:cubicBezTo>
              <a:cubicBezTo>
                <a:pt x="222" y="126"/>
                <a:pt x="221" y="125"/>
                <a:pt x="221" y="125"/>
              </a:cubicBezTo>
              <a:lnTo>
                <a:pt x="203" y="85"/>
              </a:lnTo>
              <a:close/>
              <a:moveTo>
                <a:pt x="203" y="126"/>
              </a:moveTo>
              <a:cubicBezTo>
                <a:pt x="146" y="125"/>
                <a:pt x="146" y="125"/>
                <a:pt x="146" y="125"/>
              </a:cubicBezTo>
              <a:cubicBezTo>
                <a:pt x="146" y="125"/>
                <a:pt x="145" y="125"/>
                <a:pt x="145" y="124"/>
              </a:cubicBezTo>
              <a:cubicBezTo>
                <a:pt x="127" y="84"/>
                <a:pt x="127" y="84"/>
                <a:pt x="127" y="84"/>
              </a:cubicBezTo>
              <a:cubicBezTo>
                <a:pt x="126" y="83"/>
                <a:pt x="127" y="81"/>
                <a:pt x="128" y="81"/>
              </a:cubicBezTo>
              <a:cubicBezTo>
                <a:pt x="185" y="82"/>
                <a:pt x="185" y="82"/>
                <a:pt x="185" y="82"/>
              </a:cubicBezTo>
              <a:cubicBezTo>
                <a:pt x="186" y="82"/>
                <a:pt x="186" y="82"/>
                <a:pt x="187" y="83"/>
              </a:cubicBezTo>
              <a:cubicBezTo>
                <a:pt x="205" y="123"/>
                <a:pt x="205" y="123"/>
                <a:pt x="205" y="123"/>
              </a:cubicBezTo>
              <a:cubicBezTo>
                <a:pt x="206" y="124"/>
                <a:pt x="205" y="126"/>
                <a:pt x="203" y="126"/>
              </a:cubicBezTo>
              <a:close/>
              <a:moveTo>
                <a:pt x="255" y="24"/>
              </a:moveTo>
              <a:cubicBezTo>
                <a:pt x="308" y="24"/>
                <a:pt x="308" y="24"/>
                <a:pt x="308" y="24"/>
              </a:cubicBezTo>
              <a:cubicBezTo>
                <a:pt x="309" y="24"/>
                <a:pt x="310" y="25"/>
                <a:pt x="310" y="25"/>
              </a:cubicBezTo>
              <a:cubicBezTo>
                <a:pt x="328" y="65"/>
                <a:pt x="328" y="65"/>
                <a:pt x="328" y="65"/>
              </a:cubicBezTo>
              <a:cubicBezTo>
                <a:pt x="329" y="67"/>
                <a:pt x="328" y="68"/>
                <a:pt x="326" y="68"/>
              </a:cubicBezTo>
              <a:cubicBezTo>
                <a:pt x="273" y="68"/>
                <a:pt x="273" y="68"/>
                <a:pt x="273" y="68"/>
              </a:cubicBezTo>
              <a:cubicBezTo>
                <a:pt x="273" y="68"/>
                <a:pt x="272" y="67"/>
                <a:pt x="272" y="66"/>
              </a:cubicBezTo>
              <a:cubicBezTo>
                <a:pt x="253" y="26"/>
                <a:pt x="253" y="26"/>
                <a:pt x="253" y="26"/>
              </a:cubicBezTo>
              <a:cubicBezTo>
                <a:pt x="253" y="25"/>
                <a:pt x="254" y="24"/>
                <a:pt x="255" y="24"/>
              </a:cubicBezTo>
              <a:close/>
              <a:moveTo>
                <a:pt x="179" y="23"/>
              </a:moveTo>
              <a:cubicBezTo>
                <a:pt x="238" y="24"/>
                <a:pt x="238" y="24"/>
                <a:pt x="238" y="24"/>
              </a:cubicBezTo>
              <a:cubicBezTo>
                <a:pt x="238" y="24"/>
                <a:pt x="239" y="24"/>
                <a:pt x="239" y="25"/>
              </a:cubicBezTo>
              <a:cubicBezTo>
                <a:pt x="258" y="65"/>
                <a:pt x="258" y="65"/>
                <a:pt x="258" y="65"/>
              </a:cubicBezTo>
              <a:cubicBezTo>
                <a:pt x="258" y="66"/>
                <a:pt x="257" y="67"/>
                <a:pt x="256" y="67"/>
              </a:cubicBezTo>
              <a:cubicBezTo>
                <a:pt x="197" y="67"/>
                <a:pt x="197" y="67"/>
                <a:pt x="197" y="67"/>
              </a:cubicBezTo>
              <a:cubicBezTo>
                <a:pt x="196" y="67"/>
                <a:pt x="196" y="67"/>
                <a:pt x="195" y="66"/>
              </a:cubicBezTo>
              <a:cubicBezTo>
                <a:pt x="177" y="26"/>
                <a:pt x="177" y="26"/>
                <a:pt x="177" y="26"/>
              </a:cubicBezTo>
              <a:cubicBezTo>
                <a:pt x="176" y="25"/>
                <a:pt x="177" y="23"/>
                <a:pt x="179" y="23"/>
              </a:cubicBezTo>
              <a:close/>
              <a:moveTo>
                <a:pt x="107" y="269"/>
              </a:moveTo>
              <a:cubicBezTo>
                <a:pt x="8" y="236"/>
                <a:pt x="8" y="236"/>
                <a:pt x="8" y="236"/>
              </a:cubicBezTo>
              <a:cubicBezTo>
                <a:pt x="8" y="121"/>
                <a:pt x="8" y="121"/>
                <a:pt x="8" y="121"/>
              </a:cubicBezTo>
              <a:cubicBezTo>
                <a:pt x="57" y="19"/>
                <a:pt x="57" y="19"/>
                <a:pt x="57" y="19"/>
              </a:cubicBezTo>
              <a:cubicBezTo>
                <a:pt x="107" y="152"/>
                <a:pt x="107" y="152"/>
                <a:pt x="107" y="152"/>
              </a:cubicBezTo>
              <a:cubicBezTo>
                <a:pt x="107" y="153"/>
                <a:pt x="107" y="153"/>
                <a:pt x="107" y="153"/>
              </a:cubicBezTo>
              <a:lnTo>
                <a:pt x="107" y="269"/>
              </a:lnTo>
              <a:close/>
              <a:moveTo>
                <a:pt x="102" y="25"/>
              </a:moveTo>
              <a:cubicBezTo>
                <a:pt x="101" y="24"/>
                <a:pt x="102" y="23"/>
                <a:pt x="103" y="23"/>
              </a:cubicBezTo>
              <a:cubicBezTo>
                <a:pt x="159" y="23"/>
                <a:pt x="159" y="23"/>
                <a:pt x="159" y="23"/>
              </a:cubicBezTo>
              <a:cubicBezTo>
                <a:pt x="160" y="23"/>
                <a:pt x="161" y="23"/>
                <a:pt x="161" y="24"/>
              </a:cubicBezTo>
              <a:cubicBezTo>
                <a:pt x="179" y="64"/>
                <a:pt x="179" y="64"/>
                <a:pt x="179" y="64"/>
              </a:cubicBezTo>
              <a:cubicBezTo>
                <a:pt x="180" y="65"/>
                <a:pt x="179" y="67"/>
                <a:pt x="178" y="67"/>
              </a:cubicBezTo>
              <a:cubicBezTo>
                <a:pt x="121" y="66"/>
                <a:pt x="121" y="66"/>
                <a:pt x="121" y="66"/>
              </a:cubicBezTo>
              <a:cubicBezTo>
                <a:pt x="120" y="66"/>
                <a:pt x="120" y="66"/>
                <a:pt x="120" y="65"/>
              </a:cubicBezTo>
              <a:lnTo>
                <a:pt x="102" y="25"/>
              </a:lnTo>
              <a:close/>
              <a:moveTo>
                <a:pt x="372" y="269"/>
              </a:moveTo>
              <a:cubicBezTo>
                <a:pt x="132" y="269"/>
                <a:pt x="132" y="269"/>
                <a:pt x="132" y="269"/>
              </a:cubicBezTo>
              <a:cubicBezTo>
                <a:pt x="124" y="269"/>
                <a:pt x="124" y="269"/>
                <a:pt x="124" y="269"/>
              </a:cubicBezTo>
              <a:cubicBezTo>
                <a:pt x="116" y="269"/>
                <a:pt x="116" y="269"/>
                <a:pt x="116" y="269"/>
              </a:cubicBezTo>
              <a:cubicBezTo>
                <a:pt x="116" y="155"/>
                <a:pt x="116" y="155"/>
                <a:pt x="116" y="155"/>
              </a:cubicBezTo>
              <a:cubicBezTo>
                <a:pt x="124" y="155"/>
                <a:pt x="124" y="155"/>
                <a:pt x="124" y="155"/>
              </a:cubicBezTo>
              <a:cubicBezTo>
                <a:pt x="132" y="155"/>
                <a:pt x="132" y="155"/>
                <a:pt x="132" y="155"/>
              </a:cubicBezTo>
              <a:cubicBezTo>
                <a:pt x="372" y="155"/>
                <a:pt x="372" y="155"/>
                <a:pt x="372" y="155"/>
              </a:cubicBezTo>
              <a:lnTo>
                <a:pt x="372" y="269"/>
              </a:lnTo>
              <a:close/>
            </a:path>
          </a:pathLst>
        </a:custGeom>
        <a:solidFill>
          <a:srgbClr val="0070C0"/>
        </a:solidFill>
        <a:ln>
          <a:noFill/>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81700" rtl="0" eaLnBrk="1" fontAlgn="auto" latinLnBrk="0" hangingPunct="1">
            <a:lnSpc>
              <a:spcPct val="100000"/>
            </a:lnSpc>
            <a:spcBef>
              <a:spcPts val="0"/>
            </a:spcBef>
            <a:spcAft>
              <a:spcPts val="0"/>
            </a:spcAft>
            <a:buClrTx/>
            <a:buSzTx/>
            <a:buFontTx/>
            <a:buNone/>
            <a:tabLst/>
            <a:defRPr/>
          </a:pPr>
          <a:endParaRPr kumimoji="1" lang="ja-JP" altLang="en-US" sz="1932" b="0" i="0" u="none" strike="noStrike" kern="1200" cap="none" spc="0" normalizeH="0" baseline="0">
            <a:ln>
              <a:noFill/>
            </a:ln>
            <a:solidFill>
              <a:sysClr val="windowText" lastClr="000000"/>
            </a:solidFill>
            <a:effectLst/>
            <a:uLnTx/>
            <a:uFillTx/>
            <a:latin typeface="Arial"/>
            <a:ea typeface="Meiryo UI"/>
          </a:endParaRPr>
        </a:p>
      </xdr:txBody>
    </xdr:sp>
    <xdr:clientData/>
  </xdr:twoCellAnchor>
  <xdr:twoCellAnchor>
    <xdr:from>
      <xdr:col>2</xdr:col>
      <xdr:colOff>104740</xdr:colOff>
      <xdr:row>94</xdr:row>
      <xdr:rowOff>143501</xdr:rowOff>
    </xdr:from>
    <xdr:to>
      <xdr:col>3</xdr:col>
      <xdr:colOff>1085366</xdr:colOff>
      <xdr:row>100</xdr:row>
      <xdr:rowOff>113130</xdr:rowOff>
    </xdr:to>
    <xdr:sp macro="" textlink="">
      <xdr:nvSpPr>
        <xdr:cNvPr id="179" name="テキスト ボックス 41">
          <a:extLst>
            <a:ext uri="{FF2B5EF4-FFF2-40B4-BE49-F238E27FC236}">
              <a16:creationId xmlns:a16="http://schemas.microsoft.com/office/drawing/2014/main" id="{40171B8B-950F-442A-91EF-F23AEB6FE3DF}"/>
            </a:ext>
          </a:extLst>
        </xdr:cNvPr>
        <xdr:cNvSpPr txBox="1">
          <a:spLocks noChangeArrowheads="1"/>
        </xdr:cNvSpPr>
      </xdr:nvSpPr>
      <xdr:spPr bwMode="auto">
        <a:xfrm>
          <a:off x="647665" y="21565226"/>
          <a:ext cx="1580701" cy="1398379"/>
        </a:xfrm>
        <a:prstGeom prst="rect">
          <a:avLst/>
        </a:prstGeom>
        <a:noFill/>
        <a:ln w="9525">
          <a:solidFill>
            <a:srgbClr val="000000"/>
          </a:solidFill>
          <a:prstDash val="lgDash"/>
          <a:miter lim="800000"/>
          <a:headEnd/>
          <a:tailEnd/>
        </a:ln>
        <a:extLst>
          <a:ext uri="{909E8E84-426E-40DD-AFC4-6F175D3DCCD1}">
            <a14:hiddenFill xmlns:a14="http://schemas.microsoft.com/office/drawing/2010/main">
              <a:solidFill>
                <a:srgbClr val="FFFFFF"/>
              </a:solidFill>
            </a14:hiddenFill>
          </a:ext>
        </a:ex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lang="en-US" altLang="ja-JP" sz="1400">
            <a:solidFill>
              <a:prstClr val="black"/>
            </a:solidFill>
            <a:latin typeface="Meiryo UI" panose="020B0604030504040204" pitchFamily="50" charset="-128"/>
            <a:ea typeface="Meiryo UI" panose="020B0604030504040204" pitchFamily="50" charset="-128"/>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endParaRPr lang="en-US" altLang="ja-JP" sz="1400">
            <a:solidFill>
              <a:prstClr val="black"/>
            </a:solidFill>
            <a:latin typeface="Meiryo UI" panose="020B0604030504040204" pitchFamily="50" charset="-128"/>
            <a:ea typeface="Meiryo UI" panose="020B0604030504040204" pitchFamily="50" charset="-128"/>
          </a:endParaRPr>
        </a:p>
      </xdr:txBody>
    </xdr:sp>
    <xdr:clientData/>
  </xdr:twoCellAnchor>
  <xdr:twoCellAnchor>
    <xdr:from>
      <xdr:col>2</xdr:col>
      <xdr:colOff>10021</xdr:colOff>
      <xdr:row>97</xdr:row>
      <xdr:rowOff>216193</xdr:rowOff>
    </xdr:from>
    <xdr:to>
      <xdr:col>3</xdr:col>
      <xdr:colOff>1227558</xdr:colOff>
      <xdr:row>100</xdr:row>
      <xdr:rowOff>183362</xdr:rowOff>
    </xdr:to>
    <xdr:sp macro="" textlink="">
      <xdr:nvSpPr>
        <xdr:cNvPr id="180" name="テキスト ボックス 41">
          <a:extLst>
            <a:ext uri="{FF2B5EF4-FFF2-40B4-BE49-F238E27FC236}">
              <a16:creationId xmlns:a16="http://schemas.microsoft.com/office/drawing/2014/main" id="{7D8461AF-1D90-43CD-8AA9-76C0F14EF307}"/>
            </a:ext>
          </a:extLst>
        </xdr:cNvPr>
        <xdr:cNvSpPr txBox="1">
          <a:spLocks noChangeArrowheads="1"/>
        </xdr:cNvSpPr>
      </xdr:nvSpPr>
      <xdr:spPr bwMode="auto">
        <a:xfrm>
          <a:off x="552946" y="22352293"/>
          <a:ext cx="1817612" cy="681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lang="en-US" altLang="ja-JP" sz="1400">
              <a:solidFill>
                <a:prstClr val="black"/>
              </a:solidFill>
              <a:latin typeface="Meiryo UI" panose="020B0604030504040204" pitchFamily="50" charset="-128"/>
              <a:ea typeface="Meiryo UI" panose="020B0604030504040204" pitchFamily="50" charset="-128"/>
            </a:rPr>
            <a:t>FIT/</a:t>
          </a:r>
          <a:r>
            <a:rPr lang="ja-JP" altLang="en-US" sz="1400">
              <a:solidFill>
                <a:prstClr val="black"/>
              </a:solidFill>
              <a:latin typeface="Meiryo UI" panose="020B0604030504040204" pitchFamily="50" charset="-128"/>
              <a:ea typeface="Meiryo UI" panose="020B0604030504040204" pitchFamily="50" charset="-128"/>
            </a:rPr>
            <a:t>非</a:t>
          </a:r>
          <a:r>
            <a:rPr lang="en-US" altLang="ja-JP" sz="1400">
              <a:solidFill>
                <a:prstClr val="black"/>
              </a:solidFill>
              <a:latin typeface="Meiryo UI" panose="020B0604030504040204" pitchFamily="50" charset="-128"/>
              <a:ea typeface="Meiryo UI" panose="020B0604030504040204" pitchFamily="50" charset="-128"/>
            </a:rPr>
            <a:t>FIT</a:t>
          </a:r>
          <a:r>
            <a:rPr lang="ja-JP" altLang="en-US" sz="1400">
              <a:solidFill>
                <a:prstClr val="black"/>
              </a:solidFill>
              <a:latin typeface="Meiryo UI" panose="020B0604030504040204" pitchFamily="50" charset="-128"/>
              <a:ea typeface="Meiryo UI" panose="020B0604030504040204" pitchFamily="50" charset="-128"/>
            </a:rPr>
            <a:t>再エネ</a:t>
          </a:r>
          <a:endParaRPr kumimoji="1" lang="en-US" altLang="ja-JP" sz="14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r>
            <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GWh</a:t>
          </a:r>
          <a:r>
            <a:rPr kumimoji="1" lang="ja-JP" altLang="en-US"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a:t>
          </a:r>
          <a:endParaRPr kumimoji="1" lang="en-US" altLang="ja-JP" sz="105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2</xdr:col>
      <xdr:colOff>405559</xdr:colOff>
      <xdr:row>95</xdr:row>
      <xdr:rowOff>65181</xdr:rowOff>
    </xdr:from>
    <xdr:to>
      <xdr:col>3</xdr:col>
      <xdr:colOff>763330</xdr:colOff>
      <xdr:row>98</xdr:row>
      <xdr:rowOff>56823</xdr:rowOff>
    </xdr:to>
    <xdr:grpSp>
      <xdr:nvGrpSpPr>
        <xdr:cNvPr id="181" name="グループ化 180">
          <a:extLst>
            <a:ext uri="{FF2B5EF4-FFF2-40B4-BE49-F238E27FC236}">
              <a16:creationId xmlns:a16="http://schemas.microsoft.com/office/drawing/2014/main" id="{DBD76DBC-4E25-4B79-AD8C-E77BCE0D7EFA}"/>
            </a:ext>
          </a:extLst>
        </xdr:cNvPr>
        <xdr:cNvGrpSpPr/>
      </xdr:nvGrpSpPr>
      <xdr:grpSpPr>
        <a:xfrm>
          <a:off x="951659" y="21480556"/>
          <a:ext cx="954671" cy="674267"/>
          <a:chOff x="0" y="0"/>
          <a:chExt cx="811213" cy="485775"/>
        </a:xfrm>
        <a:solidFill>
          <a:schemeClr val="accent6">
            <a:lumMod val="75000"/>
          </a:schemeClr>
        </a:solidFill>
      </xdr:grpSpPr>
      <xdr:sp macro="" textlink="">
        <xdr:nvSpPr>
          <xdr:cNvPr id="182" name="Freeform 32">
            <a:extLst>
              <a:ext uri="{FF2B5EF4-FFF2-40B4-BE49-F238E27FC236}">
                <a16:creationId xmlns:a16="http://schemas.microsoft.com/office/drawing/2014/main" id="{BC4DB4CD-7158-B0CA-E06B-79888DAA5EFF}"/>
              </a:ext>
            </a:extLst>
          </xdr:cNvPr>
          <xdr:cNvSpPr>
            <a:spLocks noEditPoints="1"/>
          </xdr:cNvSpPr>
        </xdr:nvSpPr>
        <xdr:spPr bwMode="auto">
          <a:xfrm>
            <a:off x="0" y="219075"/>
            <a:ext cx="619125" cy="266700"/>
          </a:xfrm>
          <a:custGeom>
            <a:avLst/>
            <a:gdLst>
              <a:gd name="T0" fmla="*/ 316 w 336"/>
              <a:gd name="T1" fmla="*/ 66 h 145"/>
              <a:gd name="T2" fmla="*/ 315 w 336"/>
              <a:gd name="T3" fmla="*/ 51 h 145"/>
              <a:gd name="T4" fmla="*/ 222 w 336"/>
              <a:gd name="T5" fmla="*/ 40 h 145"/>
              <a:gd name="T6" fmla="*/ 213 w 336"/>
              <a:gd name="T7" fmla="*/ 49 h 145"/>
              <a:gd name="T8" fmla="*/ 212 w 336"/>
              <a:gd name="T9" fmla="*/ 34 h 145"/>
              <a:gd name="T10" fmla="*/ 119 w 336"/>
              <a:gd name="T11" fmla="*/ 22 h 145"/>
              <a:gd name="T12" fmla="*/ 109 w 336"/>
              <a:gd name="T13" fmla="*/ 31 h 145"/>
              <a:gd name="T14" fmla="*/ 108 w 336"/>
              <a:gd name="T15" fmla="*/ 16 h 145"/>
              <a:gd name="T16" fmla="*/ 15 w 336"/>
              <a:gd name="T17" fmla="*/ 4 h 145"/>
              <a:gd name="T18" fmla="*/ 4 w 336"/>
              <a:gd name="T19" fmla="*/ 95 h 145"/>
              <a:gd name="T20" fmla="*/ 97 w 336"/>
              <a:gd name="T21" fmla="*/ 106 h 145"/>
              <a:gd name="T22" fmla="*/ 111 w 336"/>
              <a:gd name="T23" fmla="*/ 69 h 145"/>
              <a:gd name="T24" fmla="*/ 108 w 336"/>
              <a:gd name="T25" fmla="*/ 113 h 145"/>
              <a:gd name="T26" fmla="*/ 200 w 336"/>
              <a:gd name="T27" fmla="*/ 124 h 145"/>
              <a:gd name="T28" fmla="*/ 214 w 336"/>
              <a:gd name="T29" fmla="*/ 87 h 145"/>
              <a:gd name="T30" fmla="*/ 211 w 336"/>
              <a:gd name="T31" fmla="*/ 131 h 145"/>
              <a:gd name="T32" fmla="*/ 304 w 336"/>
              <a:gd name="T33" fmla="*/ 141 h 145"/>
              <a:gd name="T34" fmla="*/ 321 w 336"/>
              <a:gd name="T35" fmla="*/ 105 h 145"/>
              <a:gd name="T36" fmla="*/ 332 w 336"/>
              <a:gd name="T37" fmla="*/ 120 h 145"/>
              <a:gd name="T38" fmla="*/ 103 w 336"/>
              <a:gd name="T39" fmla="*/ 36 h 145"/>
              <a:gd name="T40" fmla="*/ 99 w 336"/>
              <a:gd name="T41" fmla="*/ 61 h 145"/>
              <a:gd name="T42" fmla="*/ 92 w 336"/>
              <a:gd name="T43" fmla="*/ 101 h 145"/>
              <a:gd name="T44" fmla="*/ 9 w 336"/>
              <a:gd name="T45" fmla="*/ 90 h 145"/>
              <a:gd name="T46" fmla="*/ 20 w 336"/>
              <a:gd name="T47" fmla="*/ 9 h 145"/>
              <a:gd name="T48" fmla="*/ 103 w 336"/>
              <a:gd name="T49" fmla="*/ 20 h 145"/>
              <a:gd name="T50" fmla="*/ 103 w 336"/>
              <a:gd name="T51" fmla="*/ 36 h 145"/>
              <a:gd name="T52" fmla="*/ 111 w 336"/>
              <a:gd name="T53" fmla="*/ 62 h 145"/>
              <a:gd name="T54" fmla="*/ 106 w 336"/>
              <a:gd name="T55" fmla="*/ 49 h 145"/>
              <a:gd name="T56" fmla="*/ 206 w 336"/>
              <a:gd name="T57" fmla="*/ 56 h 145"/>
              <a:gd name="T58" fmla="*/ 201 w 336"/>
              <a:gd name="T59" fmla="*/ 86 h 145"/>
              <a:gd name="T60" fmla="*/ 193 w 336"/>
              <a:gd name="T61" fmla="*/ 121 h 145"/>
              <a:gd name="T62" fmla="*/ 111 w 336"/>
              <a:gd name="T63" fmla="*/ 105 h 145"/>
              <a:gd name="T64" fmla="*/ 127 w 336"/>
              <a:gd name="T65" fmla="*/ 25 h 145"/>
              <a:gd name="T66" fmla="*/ 209 w 336"/>
              <a:gd name="T67" fmla="*/ 41 h 145"/>
              <a:gd name="T68" fmla="*/ 210 w 336"/>
              <a:gd name="T69" fmla="*/ 67 h 145"/>
              <a:gd name="T70" fmla="*/ 208 w 336"/>
              <a:gd name="T71" fmla="*/ 79 h 145"/>
              <a:gd name="T72" fmla="*/ 310 w 336"/>
              <a:gd name="T73" fmla="*/ 72 h 145"/>
              <a:gd name="T74" fmla="*/ 306 w 336"/>
              <a:gd name="T75" fmla="*/ 96 h 145"/>
              <a:gd name="T76" fmla="*/ 300 w 336"/>
              <a:gd name="T77" fmla="*/ 136 h 145"/>
              <a:gd name="T78" fmla="*/ 217 w 336"/>
              <a:gd name="T79" fmla="*/ 126 h 145"/>
              <a:gd name="T80" fmla="*/ 227 w 336"/>
              <a:gd name="T81" fmla="*/ 45 h 145"/>
              <a:gd name="T82" fmla="*/ 310 w 336"/>
              <a:gd name="T83" fmla="*/ 56 h 145"/>
              <a:gd name="T84" fmla="*/ 310 w 336"/>
              <a:gd name="T85" fmla="*/ 72 h 145"/>
              <a:gd name="T86" fmla="*/ 313 w 336"/>
              <a:gd name="T87" fmla="*/ 84 h 145"/>
              <a:gd name="T88" fmla="*/ 311 w 336"/>
              <a:gd name="T89" fmla="*/ 96 h 1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Lst>
            <a:rect l="0" t="0" r="r" b="b"/>
            <a:pathLst>
              <a:path w="336" h="145">
                <a:moveTo>
                  <a:pt x="335" y="114"/>
                </a:moveTo>
                <a:cubicBezTo>
                  <a:pt x="316" y="66"/>
                  <a:pt x="316" y="66"/>
                  <a:pt x="316" y="66"/>
                </a:cubicBezTo>
                <a:cubicBezTo>
                  <a:pt x="318" y="55"/>
                  <a:pt x="318" y="55"/>
                  <a:pt x="318" y="55"/>
                </a:cubicBezTo>
                <a:cubicBezTo>
                  <a:pt x="318" y="53"/>
                  <a:pt x="317" y="51"/>
                  <a:pt x="315" y="51"/>
                </a:cubicBezTo>
                <a:cubicBezTo>
                  <a:pt x="226" y="37"/>
                  <a:pt x="226" y="37"/>
                  <a:pt x="226" y="37"/>
                </a:cubicBezTo>
                <a:cubicBezTo>
                  <a:pt x="224" y="36"/>
                  <a:pt x="222" y="38"/>
                  <a:pt x="222" y="40"/>
                </a:cubicBezTo>
                <a:cubicBezTo>
                  <a:pt x="218" y="62"/>
                  <a:pt x="218" y="62"/>
                  <a:pt x="218" y="62"/>
                </a:cubicBezTo>
                <a:cubicBezTo>
                  <a:pt x="213" y="49"/>
                  <a:pt x="213" y="49"/>
                  <a:pt x="213" y="49"/>
                </a:cubicBezTo>
                <a:cubicBezTo>
                  <a:pt x="215" y="38"/>
                  <a:pt x="215" y="38"/>
                  <a:pt x="215" y="38"/>
                </a:cubicBezTo>
                <a:cubicBezTo>
                  <a:pt x="215" y="36"/>
                  <a:pt x="214" y="34"/>
                  <a:pt x="212" y="34"/>
                </a:cubicBezTo>
                <a:cubicBezTo>
                  <a:pt x="123" y="19"/>
                  <a:pt x="123" y="19"/>
                  <a:pt x="123" y="19"/>
                </a:cubicBezTo>
                <a:cubicBezTo>
                  <a:pt x="121" y="18"/>
                  <a:pt x="119" y="20"/>
                  <a:pt x="119" y="22"/>
                </a:cubicBezTo>
                <a:cubicBezTo>
                  <a:pt x="115" y="45"/>
                  <a:pt x="115" y="45"/>
                  <a:pt x="115" y="45"/>
                </a:cubicBezTo>
                <a:cubicBezTo>
                  <a:pt x="109" y="31"/>
                  <a:pt x="109" y="31"/>
                  <a:pt x="109" y="31"/>
                </a:cubicBezTo>
                <a:cubicBezTo>
                  <a:pt x="111" y="20"/>
                  <a:pt x="111" y="20"/>
                  <a:pt x="111" y="20"/>
                </a:cubicBezTo>
                <a:cubicBezTo>
                  <a:pt x="112" y="18"/>
                  <a:pt x="110" y="16"/>
                  <a:pt x="108" y="16"/>
                </a:cubicBezTo>
                <a:cubicBezTo>
                  <a:pt x="20" y="1"/>
                  <a:pt x="20" y="1"/>
                  <a:pt x="20" y="1"/>
                </a:cubicBezTo>
                <a:cubicBezTo>
                  <a:pt x="18" y="0"/>
                  <a:pt x="16" y="2"/>
                  <a:pt x="15" y="4"/>
                </a:cubicBezTo>
                <a:cubicBezTo>
                  <a:pt x="1" y="90"/>
                  <a:pt x="1" y="90"/>
                  <a:pt x="1" y="90"/>
                </a:cubicBezTo>
                <a:cubicBezTo>
                  <a:pt x="0" y="92"/>
                  <a:pt x="2" y="94"/>
                  <a:pt x="4" y="95"/>
                </a:cubicBezTo>
                <a:cubicBezTo>
                  <a:pt x="92" y="110"/>
                  <a:pt x="92" y="110"/>
                  <a:pt x="92" y="110"/>
                </a:cubicBezTo>
                <a:cubicBezTo>
                  <a:pt x="94" y="110"/>
                  <a:pt x="96" y="108"/>
                  <a:pt x="97" y="106"/>
                </a:cubicBezTo>
                <a:cubicBezTo>
                  <a:pt x="103" y="68"/>
                  <a:pt x="103" y="68"/>
                  <a:pt x="103" y="68"/>
                </a:cubicBezTo>
                <a:cubicBezTo>
                  <a:pt x="111" y="69"/>
                  <a:pt x="111" y="69"/>
                  <a:pt x="111" y="69"/>
                </a:cubicBezTo>
                <a:cubicBezTo>
                  <a:pt x="104" y="108"/>
                  <a:pt x="104" y="108"/>
                  <a:pt x="104" y="108"/>
                </a:cubicBezTo>
                <a:cubicBezTo>
                  <a:pt x="104" y="110"/>
                  <a:pt x="106" y="112"/>
                  <a:pt x="108" y="113"/>
                </a:cubicBezTo>
                <a:cubicBezTo>
                  <a:pt x="196" y="128"/>
                  <a:pt x="196" y="128"/>
                  <a:pt x="196" y="128"/>
                </a:cubicBezTo>
                <a:cubicBezTo>
                  <a:pt x="198" y="128"/>
                  <a:pt x="200" y="126"/>
                  <a:pt x="200" y="124"/>
                </a:cubicBezTo>
                <a:cubicBezTo>
                  <a:pt x="207" y="86"/>
                  <a:pt x="207" y="86"/>
                  <a:pt x="207" y="86"/>
                </a:cubicBezTo>
                <a:cubicBezTo>
                  <a:pt x="214" y="87"/>
                  <a:pt x="214" y="87"/>
                  <a:pt x="214" y="87"/>
                </a:cubicBezTo>
                <a:cubicBezTo>
                  <a:pt x="208" y="126"/>
                  <a:pt x="208" y="126"/>
                  <a:pt x="208" y="126"/>
                </a:cubicBezTo>
                <a:cubicBezTo>
                  <a:pt x="208" y="128"/>
                  <a:pt x="209" y="130"/>
                  <a:pt x="211" y="131"/>
                </a:cubicBezTo>
                <a:cubicBezTo>
                  <a:pt x="300" y="145"/>
                  <a:pt x="300" y="145"/>
                  <a:pt x="300" y="145"/>
                </a:cubicBezTo>
                <a:cubicBezTo>
                  <a:pt x="302" y="145"/>
                  <a:pt x="304" y="144"/>
                  <a:pt x="304" y="141"/>
                </a:cubicBezTo>
                <a:cubicBezTo>
                  <a:pt x="310" y="104"/>
                  <a:pt x="310" y="104"/>
                  <a:pt x="310" y="104"/>
                </a:cubicBezTo>
                <a:cubicBezTo>
                  <a:pt x="321" y="105"/>
                  <a:pt x="321" y="105"/>
                  <a:pt x="321" y="105"/>
                </a:cubicBezTo>
                <a:cubicBezTo>
                  <a:pt x="326" y="117"/>
                  <a:pt x="326" y="117"/>
                  <a:pt x="326" y="117"/>
                </a:cubicBezTo>
                <a:cubicBezTo>
                  <a:pt x="327" y="119"/>
                  <a:pt x="330" y="120"/>
                  <a:pt x="332" y="120"/>
                </a:cubicBezTo>
                <a:cubicBezTo>
                  <a:pt x="334" y="119"/>
                  <a:pt x="336" y="116"/>
                  <a:pt x="335" y="114"/>
                </a:cubicBezTo>
                <a:close/>
                <a:moveTo>
                  <a:pt x="103" y="36"/>
                </a:moveTo>
                <a:cubicBezTo>
                  <a:pt x="103" y="38"/>
                  <a:pt x="103" y="38"/>
                  <a:pt x="103" y="38"/>
                </a:cubicBezTo>
                <a:cubicBezTo>
                  <a:pt x="99" y="61"/>
                  <a:pt x="99" y="61"/>
                  <a:pt x="99" y="61"/>
                </a:cubicBezTo>
                <a:cubicBezTo>
                  <a:pt x="98" y="68"/>
                  <a:pt x="98" y="68"/>
                  <a:pt x="98" y="68"/>
                </a:cubicBezTo>
                <a:cubicBezTo>
                  <a:pt x="92" y="101"/>
                  <a:pt x="92" y="101"/>
                  <a:pt x="92" y="101"/>
                </a:cubicBezTo>
                <a:cubicBezTo>
                  <a:pt x="92" y="102"/>
                  <a:pt x="90" y="103"/>
                  <a:pt x="89" y="103"/>
                </a:cubicBezTo>
                <a:cubicBezTo>
                  <a:pt x="9" y="90"/>
                  <a:pt x="9" y="90"/>
                  <a:pt x="9" y="90"/>
                </a:cubicBezTo>
                <a:cubicBezTo>
                  <a:pt x="8" y="90"/>
                  <a:pt x="7" y="88"/>
                  <a:pt x="7" y="87"/>
                </a:cubicBezTo>
                <a:cubicBezTo>
                  <a:pt x="20" y="9"/>
                  <a:pt x="20" y="9"/>
                  <a:pt x="20" y="9"/>
                </a:cubicBezTo>
                <a:cubicBezTo>
                  <a:pt x="20" y="8"/>
                  <a:pt x="22" y="7"/>
                  <a:pt x="23" y="7"/>
                </a:cubicBezTo>
                <a:cubicBezTo>
                  <a:pt x="103" y="20"/>
                  <a:pt x="103" y="20"/>
                  <a:pt x="103" y="20"/>
                </a:cubicBezTo>
                <a:cubicBezTo>
                  <a:pt x="104" y="21"/>
                  <a:pt x="105" y="22"/>
                  <a:pt x="105" y="23"/>
                </a:cubicBezTo>
                <a:lnTo>
                  <a:pt x="103" y="36"/>
                </a:lnTo>
                <a:close/>
                <a:moveTo>
                  <a:pt x="106" y="49"/>
                </a:moveTo>
                <a:cubicBezTo>
                  <a:pt x="111" y="62"/>
                  <a:pt x="111" y="62"/>
                  <a:pt x="111" y="62"/>
                </a:cubicBezTo>
                <a:cubicBezTo>
                  <a:pt x="104" y="61"/>
                  <a:pt x="104" y="61"/>
                  <a:pt x="104" y="61"/>
                </a:cubicBezTo>
                <a:lnTo>
                  <a:pt x="106" y="49"/>
                </a:lnTo>
                <a:close/>
                <a:moveTo>
                  <a:pt x="207" y="54"/>
                </a:moveTo>
                <a:cubicBezTo>
                  <a:pt x="206" y="56"/>
                  <a:pt x="206" y="56"/>
                  <a:pt x="206" y="56"/>
                </a:cubicBezTo>
                <a:cubicBezTo>
                  <a:pt x="203" y="79"/>
                  <a:pt x="203" y="79"/>
                  <a:pt x="203" y="79"/>
                </a:cubicBezTo>
                <a:cubicBezTo>
                  <a:pt x="201" y="86"/>
                  <a:pt x="201" y="86"/>
                  <a:pt x="201" y="86"/>
                </a:cubicBezTo>
                <a:cubicBezTo>
                  <a:pt x="196" y="119"/>
                  <a:pt x="196" y="119"/>
                  <a:pt x="196" y="119"/>
                </a:cubicBezTo>
                <a:cubicBezTo>
                  <a:pt x="195" y="120"/>
                  <a:pt x="194" y="121"/>
                  <a:pt x="193" y="121"/>
                </a:cubicBezTo>
                <a:cubicBezTo>
                  <a:pt x="113" y="108"/>
                  <a:pt x="113" y="108"/>
                  <a:pt x="113" y="108"/>
                </a:cubicBezTo>
                <a:cubicBezTo>
                  <a:pt x="112" y="108"/>
                  <a:pt x="111" y="106"/>
                  <a:pt x="111" y="105"/>
                </a:cubicBezTo>
                <a:cubicBezTo>
                  <a:pt x="124" y="27"/>
                  <a:pt x="124" y="27"/>
                  <a:pt x="124" y="27"/>
                </a:cubicBezTo>
                <a:cubicBezTo>
                  <a:pt x="124" y="26"/>
                  <a:pt x="125" y="25"/>
                  <a:pt x="127" y="25"/>
                </a:cubicBezTo>
                <a:cubicBezTo>
                  <a:pt x="207" y="38"/>
                  <a:pt x="207" y="38"/>
                  <a:pt x="207" y="38"/>
                </a:cubicBezTo>
                <a:cubicBezTo>
                  <a:pt x="208" y="39"/>
                  <a:pt x="209" y="40"/>
                  <a:pt x="209" y="41"/>
                </a:cubicBezTo>
                <a:lnTo>
                  <a:pt x="207" y="54"/>
                </a:lnTo>
                <a:close/>
                <a:moveTo>
                  <a:pt x="210" y="67"/>
                </a:moveTo>
                <a:cubicBezTo>
                  <a:pt x="215" y="80"/>
                  <a:pt x="215" y="80"/>
                  <a:pt x="215" y="80"/>
                </a:cubicBezTo>
                <a:cubicBezTo>
                  <a:pt x="208" y="79"/>
                  <a:pt x="208" y="79"/>
                  <a:pt x="208" y="79"/>
                </a:cubicBezTo>
                <a:lnTo>
                  <a:pt x="210" y="67"/>
                </a:lnTo>
                <a:close/>
                <a:moveTo>
                  <a:pt x="310" y="72"/>
                </a:moveTo>
                <a:cubicBezTo>
                  <a:pt x="309" y="74"/>
                  <a:pt x="309" y="74"/>
                  <a:pt x="309" y="74"/>
                </a:cubicBezTo>
                <a:cubicBezTo>
                  <a:pt x="306" y="96"/>
                  <a:pt x="306" y="96"/>
                  <a:pt x="306" y="96"/>
                </a:cubicBezTo>
                <a:cubicBezTo>
                  <a:pt x="305" y="103"/>
                  <a:pt x="305" y="103"/>
                  <a:pt x="305" y="103"/>
                </a:cubicBezTo>
                <a:cubicBezTo>
                  <a:pt x="300" y="136"/>
                  <a:pt x="300" y="136"/>
                  <a:pt x="300" y="136"/>
                </a:cubicBezTo>
                <a:cubicBezTo>
                  <a:pt x="299" y="138"/>
                  <a:pt x="298" y="139"/>
                  <a:pt x="297" y="138"/>
                </a:cubicBezTo>
                <a:cubicBezTo>
                  <a:pt x="217" y="126"/>
                  <a:pt x="217" y="126"/>
                  <a:pt x="217" y="126"/>
                </a:cubicBezTo>
                <a:cubicBezTo>
                  <a:pt x="215" y="126"/>
                  <a:pt x="214" y="124"/>
                  <a:pt x="214" y="123"/>
                </a:cubicBezTo>
                <a:cubicBezTo>
                  <a:pt x="227" y="45"/>
                  <a:pt x="227" y="45"/>
                  <a:pt x="227" y="45"/>
                </a:cubicBezTo>
                <a:cubicBezTo>
                  <a:pt x="227" y="44"/>
                  <a:pt x="228" y="43"/>
                  <a:pt x="230" y="43"/>
                </a:cubicBezTo>
                <a:cubicBezTo>
                  <a:pt x="310" y="56"/>
                  <a:pt x="310" y="56"/>
                  <a:pt x="310" y="56"/>
                </a:cubicBezTo>
                <a:cubicBezTo>
                  <a:pt x="311" y="56"/>
                  <a:pt x="312" y="57"/>
                  <a:pt x="312" y="59"/>
                </a:cubicBezTo>
                <a:lnTo>
                  <a:pt x="310" y="72"/>
                </a:lnTo>
                <a:close/>
                <a:moveTo>
                  <a:pt x="311" y="96"/>
                </a:moveTo>
                <a:cubicBezTo>
                  <a:pt x="313" y="84"/>
                  <a:pt x="313" y="84"/>
                  <a:pt x="313" y="84"/>
                </a:cubicBezTo>
                <a:cubicBezTo>
                  <a:pt x="318" y="97"/>
                  <a:pt x="318" y="97"/>
                  <a:pt x="318" y="97"/>
                </a:cubicBezTo>
                <a:lnTo>
                  <a:pt x="311" y="9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3" name="Freeform 5">
            <a:extLst>
              <a:ext uri="{FF2B5EF4-FFF2-40B4-BE49-F238E27FC236}">
                <a16:creationId xmlns:a16="http://schemas.microsoft.com/office/drawing/2014/main" id="{43AC6C38-D222-21A9-E7BB-4C7630ECC858}"/>
              </a:ext>
            </a:extLst>
          </xdr:cNvPr>
          <xdr:cNvSpPr>
            <a:spLocks/>
          </xdr:cNvSpPr>
        </xdr:nvSpPr>
        <xdr:spPr bwMode="auto">
          <a:xfrm>
            <a:off x="131763" y="307975"/>
            <a:ext cx="41275" cy="41275"/>
          </a:xfrm>
          <a:custGeom>
            <a:avLst/>
            <a:gdLst>
              <a:gd name="T0" fmla="*/ 3 w 26"/>
              <a:gd name="T1" fmla="*/ 0 h 26"/>
              <a:gd name="T2" fmla="*/ 0 w 26"/>
              <a:gd name="T3" fmla="*/ 22 h 26"/>
              <a:gd name="T4" fmla="*/ 23 w 26"/>
              <a:gd name="T5" fmla="*/ 26 h 26"/>
              <a:gd name="T6" fmla="*/ 26 w 26"/>
              <a:gd name="T7" fmla="*/ 3 h 26"/>
              <a:gd name="T8" fmla="*/ 3 w 26"/>
              <a:gd name="T9" fmla="*/ 0 h 26"/>
            </a:gdLst>
            <a:ahLst/>
            <a:cxnLst>
              <a:cxn ang="0">
                <a:pos x="T0" y="T1"/>
              </a:cxn>
              <a:cxn ang="0">
                <a:pos x="T2" y="T3"/>
              </a:cxn>
              <a:cxn ang="0">
                <a:pos x="T4" y="T5"/>
              </a:cxn>
              <a:cxn ang="0">
                <a:pos x="T6" y="T7"/>
              </a:cxn>
              <a:cxn ang="0">
                <a:pos x="T8" y="T9"/>
              </a:cxn>
            </a:cxnLst>
            <a:rect l="0" t="0" r="r" b="b"/>
            <a:pathLst>
              <a:path w="26" h="26">
                <a:moveTo>
                  <a:pt x="3" y="0"/>
                </a:moveTo>
                <a:lnTo>
                  <a:pt x="0" y="22"/>
                </a:lnTo>
                <a:lnTo>
                  <a:pt x="23" y="26"/>
                </a:lnTo>
                <a:lnTo>
                  <a:pt x="26" y="3"/>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4" name="Freeform 6">
            <a:extLst>
              <a:ext uri="{FF2B5EF4-FFF2-40B4-BE49-F238E27FC236}">
                <a16:creationId xmlns:a16="http://schemas.microsoft.com/office/drawing/2014/main" id="{4CA65A5F-FF16-6650-B69B-DC712CE8D4A7}"/>
              </a:ext>
            </a:extLst>
          </xdr:cNvPr>
          <xdr:cNvSpPr>
            <a:spLocks/>
          </xdr:cNvSpPr>
        </xdr:nvSpPr>
        <xdr:spPr bwMode="auto">
          <a:xfrm>
            <a:off x="74613" y="347662"/>
            <a:ext cx="41275" cy="41275"/>
          </a:xfrm>
          <a:custGeom>
            <a:avLst/>
            <a:gdLst>
              <a:gd name="T0" fmla="*/ 3 w 26"/>
              <a:gd name="T1" fmla="*/ 0 h 26"/>
              <a:gd name="T2" fmla="*/ 0 w 26"/>
              <a:gd name="T3" fmla="*/ 21 h 26"/>
              <a:gd name="T4" fmla="*/ 23 w 26"/>
              <a:gd name="T5" fmla="*/ 26 h 26"/>
              <a:gd name="T6" fmla="*/ 26 w 26"/>
              <a:gd name="T7" fmla="*/ 4 h 26"/>
              <a:gd name="T8" fmla="*/ 3 w 26"/>
              <a:gd name="T9" fmla="*/ 0 h 26"/>
            </a:gdLst>
            <a:ahLst/>
            <a:cxnLst>
              <a:cxn ang="0">
                <a:pos x="T0" y="T1"/>
              </a:cxn>
              <a:cxn ang="0">
                <a:pos x="T2" y="T3"/>
              </a:cxn>
              <a:cxn ang="0">
                <a:pos x="T4" y="T5"/>
              </a:cxn>
              <a:cxn ang="0">
                <a:pos x="T6" y="T7"/>
              </a:cxn>
              <a:cxn ang="0">
                <a:pos x="T8" y="T9"/>
              </a:cxn>
            </a:cxnLst>
            <a:rect l="0" t="0" r="r" b="b"/>
            <a:pathLst>
              <a:path w="26" h="26">
                <a:moveTo>
                  <a:pt x="3" y="0"/>
                </a:moveTo>
                <a:lnTo>
                  <a:pt x="0" y="21"/>
                </a:lnTo>
                <a:lnTo>
                  <a:pt x="23" y="26"/>
                </a:lnTo>
                <a:lnTo>
                  <a:pt x="26" y="4"/>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5" name="Freeform 7">
            <a:extLst>
              <a:ext uri="{FF2B5EF4-FFF2-40B4-BE49-F238E27FC236}">
                <a16:creationId xmlns:a16="http://schemas.microsoft.com/office/drawing/2014/main" id="{4F212687-4A06-D42F-A19A-C9E9CD447D46}"/>
              </a:ext>
            </a:extLst>
          </xdr:cNvPr>
          <xdr:cNvSpPr>
            <a:spLocks/>
          </xdr:cNvSpPr>
        </xdr:nvSpPr>
        <xdr:spPr bwMode="auto">
          <a:xfrm>
            <a:off x="33338" y="290512"/>
            <a:ext cx="41275" cy="42863"/>
          </a:xfrm>
          <a:custGeom>
            <a:avLst/>
            <a:gdLst>
              <a:gd name="T0" fmla="*/ 26 w 26"/>
              <a:gd name="T1" fmla="*/ 4 h 27"/>
              <a:gd name="T2" fmla="*/ 5 w 26"/>
              <a:gd name="T3" fmla="*/ 0 h 27"/>
              <a:gd name="T4" fmla="*/ 0 w 26"/>
              <a:gd name="T5" fmla="*/ 22 h 27"/>
              <a:gd name="T6" fmla="*/ 22 w 26"/>
              <a:gd name="T7" fmla="*/ 27 h 27"/>
              <a:gd name="T8" fmla="*/ 26 w 26"/>
              <a:gd name="T9" fmla="*/ 4 h 27"/>
            </a:gdLst>
            <a:ahLst/>
            <a:cxnLst>
              <a:cxn ang="0">
                <a:pos x="T0" y="T1"/>
              </a:cxn>
              <a:cxn ang="0">
                <a:pos x="T2" y="T3"/>
              </a:cxn>
              <a:cxn ang="0">
                <a:pos x="T4" y="T5"/>
              </a:cxn>
              <a:cxn ang="0">
                <a:pos x="T6" y="T7"/>
              </a:cxn>
              <a:cxn ang="0">
                <a:pos x="T8" y="T9"/>
              </a:cxn>
            </a:cxnLst>
            <a:rect l="0" t="0" r="r" b="b"/>
            <a:pathLst>
              <a:path w="26" h="27">
                <a:moveTo>
                  <a:pt x="26" y="4"/>
                </a:moveTo>
                <a:lnTo>
                  <a:pt x="5" y="0"/>
                </a:lnTo>
                <a:lnTo>
                  <a:pt x="0" y="22"/>
                </a:lnTo>
                <a:lnTo>
                  <a:pt x="22" y="27"/>
                </a:lnTo>
                <a:lnTo>
                  <a:pt x="26" y="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6" name="Freeform 8">
            <a:extLst>
              <a:ext uri="{FF2B5EF4-FFF2-40B4-BE49-F238E27FC236}">
                <a16:creationId xmlns:a16="http://schemas.microsoft.com/office/drawing/2014/main" id="{A8F8FCD8-2DE6-F632-F7E5-B1092DFB6E01}"/>
              </a:ext>
            </a:extLst>
          </xdr:cNvPr>
          <xdr:cNvSpPr>
            <a:spLocks/>
          </xdr:cNvSpPr>
        </xdr:nvSpPr>
        <xdr:spPr bwMode="auto">
          <a:xfrm>
            <a:off x="88900" y="252412"/>
            <a:ext cx="42863" cy="39688"/>
          </a:xfrm>
          <a:custGeom>
            <a:avLst/>
            <a:gdLst>
              <a:gd name="T0" fmla="*/ 23 w 27"/>
              <a:gd name="T1" fmla="*/ 25 h 25"/>
              <a:gd name="T2" fmla="*/ 27 w 27"/>
              <a:gd name="T3" fmla="*/ 4 h 25"/>
              <a:gd name="T4" fmla="*/ 3 w 27"/>
              <a:gd name="T5" fmla="*/ 0 h 25"/>
              <a:gd name="T6" fmla="*/ 0 w 27"/>
              <a:gd name="T7" fmla="*/ 22 h 25"/>
              <a:gd name="T8" fmla="*/ 23 w 27"/>
              <a:gd name="T9" fmla="*/ 25 h 25"/>
            </a:gdLst>
            <a:ahLst/>
            <a:cxnLst>
              <a:cxn ang="0">
                <a:pos x="T0" y="T1"/>
              </a:cxn>
              <a:cxn ang="0">
                <a:pos x="T2" y="T3"/>
              </a:cxn>
              <a:cxn ang="0">
                <a:pos x="T4" y="T5"/>
              </a:cxn>
              <a:cxn ang="0">
                <a:pos x="T6" y="T7"/>
              </a:cxn>
              <a:cxn ang="0">
                <a:pos x="T8" y="T9"/>
              </a:cxn>
            </a:cxnLst>
            <a:rect l="0" t="0" r="r" b="b"/>
            <a:pathLst>
              <a:path w="27" h="25">
                <a:moveTo>
                  <a:pt x="23" y="25"/>
                </a:moveTo>
                <a:lnTo>
                  <a:pt x="27" y="4"/>
                </a:lnTo>
                <a:lnTo>
                  <a:pt x="3" y="0"/>
                </a:lnTo>
                <a:lnTo>
                  <a:pt x="0" y="22"/>
                </a:lnTo>
                <a:lnTo>
                  <a:pt x="23" y="2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7" name="Freeform 9">
            <a:extLst>
              <a:ext uri="{FF2B5EF4-FFF2-40B4-BE49-F238E27FC236}">
                <a16:creationId xmlns:a16="http://schemas.microsoft.com/office/drawing/2014/main" id="{49F1EC8F-550D-AC30-580C-9B9174F3C0C2}"/>
              </a:ext>
            </a:extLst>
          </xdr:cNvPr>
          <xdr:cNvSpPr>
            <a:spLocks/>
          </xdr:cNvSpPr>
        </xdr:nvSpPr>
        <xdr:spPr bwMode="auto">
          <a:xfrm>
            <a:off x="80963" y="300037"/>
            <a:ext cx="42863" cy="39688"/>
          </a:xfrm>
          <a:custGeom>
            <a:avLst/>
            <a:gdLst>
              <a:gd name="T0" fmla="*/ 0 w 27"/>
              <a:gd name="T1" fmla="*/ 22 h 25"/>
              <a:gd name="T2" fmla="*/ 24 w 27"/>
              <a:gd name="T3" fmla="*/ 25 h 25"/>
              <a:gd name="T4" fmla="*/ 27 w 27"/>
              <a:gd name="T5" fmla="*/ 3 h 25"/>
              <a:gd name="T6" fmla="*/ 4 w 27"/>
              <a:gd name="T7" fmla="*/ 0 h 25"/>
              <a:gd name="T8" fmla="*/ 0 w 27"/>
              <a:gd name="T9" fmla="*/ 22 h 25"/>
            </a:gdLst>
            <a:ahLst/>
            <a:cxnLst>
              <a:cxn ang="0">
                <a:pos x="T0" y="T1"/>
              </a:cxn>
              <a:cxn ang="0">
                <a:pos x="T2" y="T3"/>
              </a:cxn>
              <a:cxn ang="0">
                <a:pos x="T4" y="T5"/>
              </a:cxn>
              <a:cxn ang="0">
                <a:pos x="T6" y="T7"/>
              </a:cxn>
              <a:cxn ang="0">
                <a:pos x="T8" y="T9"/>
              </a:cxn>
            </a:cxnLst>
            <a:rect l="0" t="0" r="r" b="b"/>
            <a:pathLst>
              <a:path w="27" h="25">
                <a:moveTo>
                  <a:pt x="0" y="22"/>
                </a:moveTo>
                <a:lnTo>
                  <a:pt x="24" y="25"/>
                </a:lnTo>
                <a:lnTo>
                  <a:pt x="27" y="3"/>
                </a:lnTo>
                <a:lnTo>
                  <a:pt x="4"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8" name="Freeform 10">
            <a:extLst>
              <a:ext uri="{FF2B5EF4-FFF2-40B4-BE49-F238E27FC236}">
                <a16:creationId xmlns:a16="http://schemas.microsoft.com/office/drawing/2014/main" id="{EC02DA08-8811-4799-5958-533C5DFDFB1B}"/>
              </a:ext>
            </a:extLst>
          </xdr:cNvPr>
          <xdr:cNvSpPr>
            <a:spLocks/>
          </xdr:cNvSpPr>
        </xdr:nvSpPr>
        <xdr:spPr bwMode="auto">
          <a:xfrm>
            <a:off x="42863" y="244475"/>
            <a:ext cx="39688" cy="41275"/>
          </a:xfrm>
          <a:custGeom>
            <a:avLst/>
            <a:gdLst>
              <a:gd name="T0" fmla="*/ 22 w 22"/>
              <a:gd name="T1" fmla="*/ 3 h 22"/>
              <a:gd name="T2" fmla="*/ 5 w 22"/>
              <a:gd name="T3" fmla="*/ 1 h 22"/>
              <a:gd name="T4" fmla="*/ 2 w 22"/>
              <a:gd name="T5" fmla="*/ 3 h 22"/>
              <a:gd name="T6" fmla="*/ 0 w 22"/>
              <a:gd name="T7" fmla="*/ 18 h 22"/>
              <a:gd name="T8" fmla="*/ 19 w 22"/>
              <a:gd name="T9" fmla="*/ 22 h 22"/>
              <a:gd name="T10" fmla="*/ 22 w 22"/>
              <a:gd name="T11" fmla="*/ 3 h 22"/>
            </a:gdLst>
            <a:ahLst/>
            <a:cxnLst>
              <a:cxn ang="0">
                <a:pos x="T0" y="T1"/>
              </a:cxn>
              <a:cxn ang="0">
                <a:pos x="T2" y="T3"/>
              </a:cxn>
              <a:cxn ang="0">
                <a:pos x="T4" y="T5"/>
              </a:cxn>
              <a:cxn ang="0">
                <a:pos x="T6" y="T7"/>
              </a:cxn>
              <a:cxn ang="0">
                <a:pos x="T8" y="T9"/>
              </a:cxn>
              <a:cxn ang="0">
                <a:pos x="T10" y="T11"/>
              </a:cxn>
            </a:cxnLst>
            <a:rect l="0" t="0" r="r" b="b"/>
            <a:pathLst>
              <a:path w="22" h="22">
                <a:moveTo>
                  <a:pt x="22" y="3"/>
                </a:moveTo>
                <a:cubicBezTo>
                  <a:pt x="5" y="1"/>
                  <a:pt x="5" y="1"/>
                  <a:pt x="5" y="1"/>
                </a:cubicBezTo>
                <a:cubicBezTo>
                  <a:pt x="4" y="0"/>
                  <a:pt x="3" y="1"/>
                  <a:pt x="2" y="3"/>
                </a:cubicBezTo>
                <a:cubicBezTo>
                  <a:pt x="0" y="18"/>
                  <a:pt x="0" y="18"/>
                  <a:pt x="0" y="18"/>
                </a:cubicBezTo>
                <a:cubicBezTo>
                  <a:pt x="19" y="22"/>
                  <a:pt x="19" y="22"/>
                  <a:pt x="19" y="22"/>
                </a:cubicBezTo>
                <a:lnTo>
                  <a:pt x="22"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89" name="Freeform 11">
            <a:extLst>
              <a:ext uri="{FF2B5EF4-FFF2-40B4-BE49-F238E27FC236}">
                <a16:creationId xmlns:a16="http://schemas.microsoft.com/office/drawing/2014/main" id="{2D1D53B1-8033-0F8B-14D7-7F8F9CB767B6}"/>
              </a:ext>
            </a:extLst>
          </xdr:cNvPr>
          <xdr:cNvSpPr>
            <a:spLocks/>
          </xdr:cNvSpPr>
        </xdr:nvSpPr>
        <xdr:spPr bwMode="auto">
          <a:xfrm>
            <a:off x="138113" y="261937"/>
            <a:ext cx="42863" cy="39688"/>
          </a:xfrm>
          <a:custGeom>
            <a:avLst/>
            <a:gdLst>
              <a:gd name="T0" fmla="*/ 20 w 23"/>
              <a:gd name="T1" fmla="*/ 22 h 22"/>
              <a:gd name="T2" fmla="*/ 23 w 23"/>
              <a:gd name="T3" fmla="*/ 6 h 22"/>
              <a:gd name="T4" fmla="*/ 20 w 23"/>
              <a:gd name="T5" fmla="*/ 3 h 22"/>
              <a:gd name="T6" fmla="*/ 3 w 23"/>
              <a:gd name="T7" fmla="*/ 0 h 22"/>
              <a:gd name="T8" fmla="*/ 0 w 23"/>
              <a:gd name="T9" fmla="*/ 18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3" y="6"/>
                  <a:pt x="23" y="6"/>
                  <a:pt x="23" y="6"/>
                </a:cubicBezTo>
                <a:cubicBezTo>
                  <a:pt x="23" y="4"/>
                  <a:pt x="22" y="3"/>
                  <a:pt x="20" y="3"/>
                </a:cubicBezTo>
                <a:cubicBezTo>
                  <a:pt x="3" y="0"/>
                  <a:pt x="3" y="0"/>
                  <a:pt x="3" y="0"/>
                </a:cubicBezTo>
                <a:cubicBezTo>
                  <a:pt x="0" y="18"/>
                  <a:pt x="0" y="18"/>
                  <a:pt x="0" y="18"/>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0" name="Freeform 12">
            <a:extLst>
              <a:ext uri="{FF2B5EF4-FFF2-40B4-BE49-F238E27FC236}">
                <a16:creationId xmlns:a16="http://schemas.microsoft.com/office/drawing/2014/main" id="{4071EC9E-28DD-70D3-E7EE-A73D3A5A1C6A}"/>
              </a:ext>
            </a:extLst>
          </xdr:cNvPr>
          <xdr:cNvSpPr>
            <a:spLocks/>
          </xdr:cNvSpPr>
        </xdr:nvSpPr>
        <xdr:spPr bwMode="auto">
          <a:xfrm>
            <a:off x="123825" y="355600"/>
            <a:ext cx="41275" cy="39688"/>
          </a:xfrm>
          <a:custGeom>
            <a:avLst/>
            <a:gdLst>
              <a:gd name="T0" fmla="*/ 0 w 22"/>
              <a:gd name="T1" fmla="*/ 19 h 22"/>
              <a:gd name="T2" fmla="*/ 17 w 22"/>
              <a:gd name="T3" fmla="*/ 22 h 22"/>
              <a:gd name="T4" fmla="*/ 20 w 22"/>
              <a:gd name="T5" fmla="*/ 20 h 22"/>
              <a:gd name="T6" fmla="*/ 22 w 22"/>
              <a:gd name="T7" fmla="*/ 3 h 22"/>
              <a:gd name="T8" fmla="*/ 3 w 22"/>
              <a:gd name="T9" fmla="*/ 0 h 22"/>
              <a:gd name="T10" fmla="*/ 0 w 22"/>
              <a:gd name="T11" fmla="*/ 19 h 22"/>
            </a:gdLst>
            <a:ahLst/>
            <a:cxnLst>
              <a:cxn ang="0">
                <a:pos x="T0" y="T1"/>
              </a:cxn>
              <a:cxn ang="0">
                <a:pos x="T2" y="T3"/>
              </a:cxn>
              <a:cxn ang="0">
                <a:pos x="T4" y="T5"/>
              </a:cxn>
              <a:cxn ang="0">
                <a:pos x="T6" y="T7"/>
              </a:cxn>
              <a:cxn ang="0">
                <a:pos x="T8" y="T9"/>
              </a:cxn>
              <a:cxn ang="0">
                <a:pos x="T10" y="T11"/>
              </a:cxn>
            </a:cxnLst>
            <a:rect l="0" t="0" r="r" b="b"/>
            <a:pathLst>
              <a:path w="22" h="22">
                <a:moveTo>
                  <a:pt x="0" y="19"/>
                </a:moveTo>
                <a:cubicBezTo>
                  <a:pt x="17" y="22"/>
                  <a:pt x="17" y="22"/>
                  <a:pt x="17" y="22"/>
                </a:cubicBezTo>
                <a:cubicBezTo>
                  <a:pt x="18" y="22"/>
                  <a:pt x="19" y="21"/>
                  <a:pt x="20" y="20"/>
                </a:cubicBezTo>
                <a:cubicBezTo>
                  <a:pt x="22" y="3"/>
                  <a:pt x="22" y="3"/>
                  <a:pt x="22" y="3"/>
                </a:cubicBezTo>
                <a:cubicBezTo>
                  <a:pt x="3" y="0"/>
                  <a:pt x="3" y="0"/>
                  <a:pt x="3" y="0"/>
                </a:cubicBezTo>
                <a:lnTo>
                  <a:pt x="0" y="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1" name="Freeform 13">
            <a:extLst>
              <a:ext uri="{FF2B5EF4-FFF2-40B4-BE49-F238E27FC236}">
                <a16:creationId xmlns:a16="http://schemas.microsoft.com/office/drawing/2014/main" id="{C1D8C674-BDFE-A68B-BBEF-715D8B65D39A}"/>
              </a:ext>
            </a:extLst>
          </xdr:cNvPr>
          <xdr:cNvSpPr>
            <a:spLocks/>
          </xdr:cNvSpPr>
        </xdr:nvSpPr>
        <xdr:spPr bwMode="auto">
          <a:xfrm>
            <a:off x="25400" y="338137"/>
            <a:ext cx="41275" cy="41275"/>
          </a:xfrm>
          <a:custGeom>
            <a:avLst/>
            <a:gdLst>
              <a:gd name="T0" fmla="*/ 3 w 22"/>
              <a:gd name="T1" fmla="*/ 0 h 22"/>
              <a:gd name="T2" fmla="*/ 1 w 22"/>
              <a:gd name="T3" fmla="*/ 16 h 22"/>
              <a:gd name="T4" fmla="*/ 3 w 22"/>
              <a:gd name="T5" fmla="*/ 19 h 22"/>
              <a:gd name="T6" fmla="*/ 19 w 22"/>
              <a:gd name="T7" fmla="*/ 22 h 22"/>
              <a:gd name="T8" fmla="*/ 22 w 22"/>
              <a:gd name="T9" fmla="*/ 3 h 22"/>
              <a:gd name="T10" fmla="*/ 3 w 22"/>
              <a:gd name="T11" fmla="*/ 0 h 22"/>
            </a:gdLst>
            <a:ahLst/>
            <a:cxnLst>
              <a:cxn ang="0">
                <a:pos x="T0" y="T1"/>
              </a:cxn>
              <a:cxn ang="0">
                <a:pos x="T2" y="T3"/>
              </a:cxn>
              <a:cxn ang="0">
                <a:pos x="T4" y="T5"/>
              </a:cxn>
              <a:cxn ang="0">
                <a:pos x="T6" y="T7"/>
              </a:cxn>
              <a:cxn ang="0">
                <a:pos x="T8" y="T9"/>
              </a:cxn>
              <a:cxn ang="0">
                <a:pos x="T10" y="T11"/>
              </a:cxn>
            </a:cxnLst>
            <a:rect l="0" t="0" r="r" b="b"/>
            <a:pathLst>
              <a:path w="22" h="22">
                <a:moveTo>
                  <a:pt x="3" y="0"/>
                </a:moveTo>
                <a:cubicBezTo>
                  <a:pt x="1" y="16"/>
                  <a:pt x="1" y="16"/>
                  <a:pt x="1" y="16"/>
                </a:cubicBezTo>
                <a:cubicBezTo>
                  <a:pt x="0" y="18"/>
                  <a:pt x="1" y="19"/>
                  <a:pt x="3" y="19"/>
                </a:cubicBezTo>
                <a:cubicBezTo>
                  <a:pt x="19" y="22"/>
                  <a:pt x="19" y="22"/>
                  <a:pt x="19" y="22"/>
                </a:cubicBezTo>
                <a:cubicBezTo>
                  <a:pt x="22" y="3"/>
                  <a:pt x="22" y="3"/>
                  <a:pt x="22" y="3"/>
                </a:cubicBez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2" name="Freeform 14">
            <a:extLst>
              <a:ext uri="{FF2B5EF4-FFF2-40B4-BE49-F238E27FC236}">
                <a16:creationId xmlns:a16="http://schemas.microsoft.com/office/drawing/2014/main" id="{85EB5940-240D-DADD-1366-5FCEFB4C16AF}"/>
              </a:ext>
            </a:extLst>
          </xdr:cNvPr>
          <xdr:cNvSpPr>
            <a:spLocks/>
          </xdr:cNvSpPr>
        </xdr:nvSpPr>
        <xdr:spPr bwMode="auto">
          <a:xfrm>
            <a:off x="320675" y="339725"/>
            <a:ext cx="42863" cy="42863"/>
          </a:xfrm>
          <a:custGeom>
            <a:avLst/>
            <a:gdLst>
              <a:gd name="T0" fmla="*/ 5 w 27"/>
              <a:gd name="T1" fmla="*/ 0 h 27"/>
              <a:gd name="T2" fmla="*/ 0 w 27"/>
              <a:gd name="T3" fmla="*/ 22 h 27"/>
              <a:gd name="T4" fmla="*/ 23 w 27"/>
              <a:gd name="T5" fmla="*/ 27 h 27"/>
              <a:gd name="T6" fmla="*/ 27 w 27"/>
              <a:gd name="T7" fmla="*/ 4 h 27"/>
              <a:gd name="T8" fmla="*/ 5 w 27"/>
              <a:gd name="T9" fmla="*/ 0 h 27"/>
            </a:gdLst>
            <a:ahLst/>
            <a:cxnLst>
              <a:cxn ang="0">
                <a:pos x="T0" y="T1"/>
              </a:cxn>
              <a:cxn ang="0">
                <a:pos x="T2" y="T3"/>
              </a:cxn>
              <a:cxn ang="0">
                <a:pos x="T4" y="T5"/>
              </a:cxn>
              <a:cxn ang="0">
                <a:pos x="T6" y="T7"/>
              </a:cxn>
              <a:cxn ang="0">
                <a:pos x="T8" y="T9"/>
              </a:cxn>
            </a:cxnLst>
            <a:rect l="0" t="0" r="r" b="b"/>
            <a:pathLst>
              <a:path w="27" h="27">
                <a:moveTo>
                  <a:pt x="5" y="0"/>
                </a:moveTo>
                <a:lnTo>
                  <a:pt x="0" y="22"/>
                </a:lnTo>
                <a:lnTo>
                  <a:pt x="23" y="27"/>
                </a:lnTo>
                <a:lnTo>
                  <a:pt x="27" y="4"/>
                </a:lnTo>
                <a:lnTo>
                  <a:pt x="5"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3" name="Freeform 15">
            <a:extLst>
              <a:ext uri="{FF2B5EF4-FFF2-40B4-BE49-F238E27FC236}">
                <a16:creationId xmlns:a16="http://schemas.microsoft.com/office/drawing/2014/main" id="{2090FE59-9901-0C15-FCA1-A95D29F105F5}"/>
              </a:ext>
            </a:extLst>
          </xdr:cNvPr>
          <xdr:cNvSpPr>
            <a:spLocks/>
          </xdr:cNvSpPr>
        </xdr:nvSpPr>
        <xdr:spPr bwMode="auto">
          <a:xfrm>
            <a:off x="263525" y="381000"/>
            <a:ext cx="44450" cy="41275"/>
          </a:xfrm>
          <a:custGeom>
            <a:avLst/>
            <a:gdLst>
              <a:gd name="T0" fmla="*/ 5 w 28"/>
              <a:gd name="T1" fmla="*/ 0 h 26"/>
              <a:gd name="T2" fmla="*/ 0 w 28"/>
              <a:gd name="T3" fmla="*/ 21 h 26"/>
              <a:gd name="T4" fmla="*/ 24 w 28"/>
              <a:gd name="T5" fmla="*/ 26 h 26"/>
              <a:gd name="T6" fmla="*/ 28 w 28"/>
              <a:gd name="T7" fmla="*/ 3 h 26"/>
              <a:gd name="T8" fmla="*/ 5 w 28"/>
              <a:gd name="T9" fmla="*/ 0 h 26"/>
            </a:gdLst>
            <a:ahLst/>
            <a:cxnLst>
              <a:cxn ang="0">
                <a:pos x="T0" y="T1"/>
              </a:cxn>
              <a:cxn ang="0">
                <a:pos x="T2" y="T3"/>
              </a:cxn>
              <a:cxn ang="0">
                <a:pos x="T4" y="T5"/>
              </a:cxn>
              <a:cxn ang="0">
                <a:pos x="T6" y="T7"/>
              </a:cxn>
              <a:cxn ang="0">
                <a:pos x="T8" y="T9"/>
              </a:cxn>
            </a:cxnLst>
            <a:rect l="0" t="0" r="r" b="b"/>
            <a:pathLst>
              <a:path w="28" h="26">
                <a:moveTo>
                  <a:pt x="5" y="0"/>
                </a:moveTo>
                <a:lnTo>
                  <a:pt x="0" y="21"/>
                </a:lnTo>
                <a:lnTo>
                  <a:pt x="24" y="26"/>
                </a:lnTo>
                <a:lnTo>
                  <a:pt x="28" y="3"/>
                </a:lnTo>
                <a:lnTo>
                  <a:pt x="5"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4" name="Freeform 16">
            <a:extLst>
              <a:ext uri="{FF2B5EF4-FFF2-40B4-BE49-F238E27FC236}">
                <a16:creationId xmlns:a16="http://schemas.microsoft.com/office/drawing/2014/main" id="{774803D7-3C03-06CA-DB4B-09F0A7FE793F}"/>
              </a:ext>
            </a:extLst>
          </xdr:cNvPr>
          <xdr:cNvSpPr>
            <a:spLocks/>
          </xdr:cNvSpPr>
        </xdr:nvSpPr>
        <xdr:spPr bwMode="auto">
          <a:xfrm>
            <a:off x="225425" y="323850"/>
            <a:ext cx="39688" cy="42863"/>
          </a:xfrm>
          <a:custGeom>
            <a:avLst/>
            <a:gdLst>
              <a:gd name="T0" fmla="*/ 25 w 25"/>
              <a:gd name="T1" fmla="*/ 3 h 27"/>
              <a:gd name="T2" fmla="*/ 3 w 25"/>
              <a:gd name="T3" fmla="*/ 0 h 27"/>
              <a:gd name="T4" fmla="*/ 0 w 25"/>
              <a:gd name="T5" fmla="*/ 22 h 27"/>
              <a:gd name="T6" fmla="*/ 22 w 25"/>
              <a:gd name="T7" fmla="*/ 27 h 27"/>
              <a:gd name="T8" fmla="*/ 25 w 25"/>
              <a:gd name="T9" fmla="*/ 3 h 27"/>
            </a:gdLst>
            <a:ahLst/>
            <a:cxnLst>
              <a:cxn ang="0">
                <a:pos x="T0" y="T1"/>
              </a:cxn>
              <a:cxn ang="0">
                <a:pos x="T2" y="T3"/>
              </a:cxn>
              <a:cxn ang="0">
                <a:pos x="T4" y="T5"/>
              </a:cxn>
              <a:cxn ang="0">
                <a:pos x="T6" y="T7"/>
              </a:cxn>
              <a:cxn ang="0">
                <a:pos x="T8" y="T9"/>
              </a:cxn>
            </a:cxnLst>
            <a:rect l="0" t="0" r="r" b="b"/>
            <a:pathLst>
              <a:path w="25" h="27">
                <a:moveTo>
                  <a:pt x="25" y="3"/>
                </a:moveTo>
                <a:lnTo>
                  <a:pt x="3" y="0"/>
                </a:lnTo>
                <a:lnTo>
                  <a:pt x="0" y="22"/>
                </a:lnTo>
                <a:lnTo>
                  <a:pt x="22" y="27"/>
                </a:lnTo>
                <a:lnTo>
                  <a:pt x="25"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5" name="Freeform 17">
            <a:extLst>
              <a:ext uri="{FF2B5EF4-FFF2-40B4-BE49-F238E27FC236}">
                <a16:creationId xmlns:a16="http://schemas.microsoft.com/office/drawing/2014/main" id="{DE405F64-0B02-94FB-5104-9BB986832F12}"/>
              </a:ext>
            </a:extLst>
          </xdr:cNvPr>
          <xdr:cNvSpPr>
            <a:spLocks/>
          </xdr:cNvSpPr>
        </xdr:nvSpPr>
        <xdr:spPr bwMode="auto">
          <a:xfrm>
            <a:off x="280988" y="285750"/>
            <a:ext cx="41275" cy="39688"/>
          </a:xfrm>
          <a:custGeom>
            <a:avLst/>
            <a:gdLst>
              <a:gd name="T0" fmla="*/ 23 w 26"/>
              <a:gd name="T1" fmla="*/ 25 h 25"/>
              <a:gd name="T2" fmla="*/ 26 w 26"/>
              <a:gd name="T3" fmla="*/ 4 h 25"/>
              <a:gd name="T4" fmla="*/ 3 w 26"/>
              <a:gd name="T5" fmla="*/ 0 h 25"/>
              <a:gd name="T6" fmla="*/ 0 w 26"/>
              <a:gd name="T7" fmla="*/ 22 h 25"/>
              <a:gd name="T8" fmla="*/ 23 w 26"/>
              <a:gd name="T9" fmla="*/ 25 h 25"/>
            </a:gdLst>
            <a:ahLst/>
            <a:cxnLst>
              <a:cxn ang="0">
                <a:pos x="T0" y="T1"/>
              </a:cxn>
              <a:cxn ang="0">
                <a:pos x="T2" y="T3"/>
              </a:cxn>
              <a:cxn ang="0">
                <a:pos x="T4" y="T5"/>
              </a:cxn>
              <a:cxn ang="0">
                <a:pos x="T6" y="T7"/>
              </a:cxn>
              <a:cxn ang="0">
                <a:pos x="T8" y="T9"/>
              </a:cxn>
            </a:cxnLst>
            <a:rect l="0" t="0" r="r" b="b"/>
            <a:pathLst>
              <a:path w="26" h="25">
                <a:moveTo>
                  <a:pt x="23" y="25"/>
                </a:moveTo>
                <a:lnTo>
                  <a:pt x="26" y="4"/>
                </a:lnTo>
                <a:lnTo>
                  <a:pt x="3" y="0"/>
                </a:lnTo>
                <a:lnTo>
                  <a:pt x="0" y="22"/>
                </a:lnTo>
                <a:lnTo>
                  <a:pt x="23" y="2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6" name="Freeform 18">
            <a:extLst>
              <a:ext uri="{FF2B5EF4-FFF2-40B4-BE49-F238E27FC236}">
                <a16:creationId xmlns:a16="http://schemas.microsoft.com/office/drawing/2014/main" id="{8C5CCD34-0FC5-9AC1-8099-1CE62A572B2C}"/>
              </a:ext>
            </a:extLst>
          </xdr:cNvPr>
          <xdr:cNvSpPr>
            <a:spLocks/>
          </xdr:cNvSpPr>
        </xdr:nvSpPr>
        <xdr:spPr bwMode="auto">
          <a:xfrm>
            <a:off x="273050" y="333375"/>
            <a:ext cx="42863" cy="39688"/>
          </a:xfrm>
          <a:custGeom>
            <a:avLst/>
            <a:gdLst>
              <a:gd name="T0" fmla="*/ 0 w 27"/>
              <a:gd name="T1" fmla="*/ 22 h 25"/>
              <a:gd name="T2" fmla="*/ 23 w 27"/>
              <a:gd name="T3" fmla="*/ 25 h 25"/>
              <a:gd name="T4" fmla="*/ 27 w 27"/>
              <a:gd name="T5" fmla="*/ 3 h 25"/>
              <a:gd name="T6" fmla="*/ 4 w 27"/>
              <a:gd name="T7" fmla="*/ 0 h 25"/>
              <a:gd name="T8" fmla="*/ 0 w 27"/>
              <a:gd name="T9" fmla="*/ 22 h 25"/>
            </a:gdLst>
            <a:ahLst/>
            <a:cxnLst>
              <a:cxn ang="0">
                <a:pos x="T0" y="T1"/>
              </a:cxn>
              <a:cxn ang="0">
                <a:pos x="T2" y="T3"/>
              </a:cxn>
              <a:cxn ang="0">
                <a:pos x="T4" y="T5"/>
              </a:cxn>
              <a:cxn ang="0">
                <a:pos x="T6" y="T7"/>
              </a:cxn>
              <a:cxn ang="0">
                <a:pos x="T8" y="T9"/>
              </a:cxn>
            </a:cxnLst>
            <a:rect l="0" t="0" r="r" b="b"/>
            <a:pathLst>
              <a:path w="27" h="25">
                <a:moveTo>
                  <a:pt x="0" y="22"/>
                </a:moveTo>
                <a:lnTo>
                  <a:pt x="23" y="25"/>
                </a:lnTo>
                <a:lnTo>
                  <a:pt x="27" y="3"/>
                </a:lnTo>
                <a:lnTo>
                  <a:pt x="4"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7" name="Freeform 19">
            <a:extLst>
              <a:ext uri="{FF2B5EF4-FFF2-40B4-BE49-F238E27FC236}">
                <a16:creationId xmlns:a16="http://schemas.microsoft.com/office/drawing/2014/main" id="{F7CB605B-2587-D560-11A2-8F27092428D6}"/>
              </a:ext>
            </a:extLst>
          </xdr:cNvPr>
          <xdr:cNvSpPr>
            <a:spLocks/>
          </xdr:cNvSpPr>
        </xdr:nvSpPr>
        <xdr:spPr bwMode="auto">
          <a:xfrm>
            <a:off x="234950" y="277812"/>
            <a:ext cx="38100" cy="39688"/>
          </a:xfrm>
          <a:custGeom>
            <a:avLst/>
            <a:gdLst>
              <a:gd name="T0" fmla="*/ 21 w 21"/>
              <a:gd name="T1" fmla="*/ 3 h 22"/>
              <a:gd name="T2" fmla="*/ 5 w 21"/>
              <a:gd name="T3" fmla="*/ 1 h 22"/>
              <a:gd name="T4" fmla="*/ 2 w 21"/>
              <a:gd name="T5" fmla="*/ 3 h 22"/>
              <a:gd name="T6" fmla="*/ 0 w 21"/>
              <a:gd name="T7" fmla="*/ 18 h 22"/>
              <a:gd name="T8" fmla="*/ 18 w 21"/>
              <a:gd name="T9" fmla="*/ 22 h 22"/>
              <a:gd name="T10" fmla="*/ 21 w 21"/>
              <a:gd name="T11" fmla="*/ 3 h 22"/>
            </a:gdLst>
            <a:ahLst/>
            <a:cxnLst>
              <a:cxn ang="0">
                <a:pos x="T0" y="T1"/>
              </a:cxn>
              <a:cxn ang="0">
                <a:pos x="T2" y="T3"/>
              </a:cxn>
              <a:cxn ang="0">
                <a:pos x="T4" y="T5"/>
              </a:cxn>
              <a:cxn ang="0">
                <a:pos x="T6" y="T7"/>
              </a:cxn>
              <a:cxn ang="0">
                <a:pos x="T8" y="T9"/>
              </a:cxn>
              <a:cxn ang="0">
                <a:pos x="T10" y="T11"/>
              </a:cxn>
            </a:cxnLst>
            <a:rect l="0" t="0" r="r" b="b"/>
            <a:pathLst>
              <a:path w="21" h="22">
                <a:moveTo>
                  <a:pt x="21" y="3"/>
                </a:moveTo>
                <a:cubicBezTo>
                  <a:pt x="5" y="1"/>
                  <a:pt x="5" y="1"/>
                  <a:pt x="5" y="1"/>
                </a:cubicBezTo>
                <a:cubicBezTo>
                  <a:pt x="4" y="0"/>
                  <a:pt x="2" y="1"/>
                  <a:pt x="2" y="3"/>
                </a:cubicBezTo>
                <a:cubicBezTo>
                  <a:pt x="0" y="18"/>
                  <a:pt x="0" y="18"/>
                  <a:pt x="0" y="18"/>
                </a:cubicBezTo>
                <a:cubicBezTo>
                  <a:pt x="18" y="22"/>
                  <a:pt x="18" y="22"/>
                  <a:pt x="18" y="22"/>
                </a:cubicBezTo>
                <a:lnTo>
                  <a:pt x="21"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8" name="Freeform 20">
            <a:extLst>
              <a:ext uri="{FF2B5EF4-FFF2-40B4-BE49-F238E27FC236}">
                <a16:creationId xmlns:a16="http://schemas.microsoft.com/office/drawing/2014/main" id="{3ABAA0FF-1F30-AAA0-7526-6269A376B764}"/>
              </a:ext>
            </a:extLst>
          </xdr:cNvPr>
          <xdr:cNvSpPr>
            <a:spLocks/>
          </xdr:cNvSpPr>
        </xdr:nvSpPr>
        <xdr:spPr bwMode="auto">
          <a:xfrm>
            <a:off x="330200" y="293687"/>
            <a:ext cx="41275" cy="39688"/>
          </a:xfrm>
          <a:custGeom>
            <a:avLst/>
            <a:gdLst>
              <a:gd name="T0" fmla="*/ 20 w 22"/>
              <a:gd name="T1" fmla="*/ 21 h 21"/>
              <a:gd name="T2" fmla="*/ 22 w 22"/>
              <a:gd name="T3" fmla="*/ 6 h 21"/>
              <a:gd name="T4" fmla="*/ 20 w 22"/>
              <a:gd name="T5" fmla="*/ 3 h 21"/>
              <a:gd name="T6" fmla="*/ 3 w 22"/>
              <a:gd name="T7" fmla="*/ 0 h 21"/>
              <a:gd name="T8" fmla="*/ 0 w 22"/>
              <a:gd name="T9" fmla="*/ 18 h 21"/>
              <a:gd name="T10" fmla="*/ 20 w 22"/>
              <a:gd name="T11" fmla="*/ 21 h 21"/>
            </a:gdLst>
            <a:ahLst/>
            <a:cxnLst>
              <a:cxn ang="0">
                <a:pos x="T0" y="T1"/>
              </a:cxn>
              <a:cxn ang="0">
                <a:pos x="T2" y="T3"/>
              </a:cxn>
              <a:cxn ang="0">
                <a:pos x="T4" y="T5"/>
              </a:cxn>
              <a:cxn ang="0">
                <a:pos x="T6" y="T7"/>
              </a:cxn>
              <a:cxn ang="0">
                <a:pos x="T8" y="T9"/>
              </a:cxn>
              <a:cxn ang="0">
                <a:pos x="T10" y="T11"/>
              </a:cxn>
            </a:cxnLst>
            <a:rect l="0" t="0" r="r" b="b"/>
            <a:pathLst>
              <a:path w="22" h="21">
                <a:moveTo>
                  <a:pt x="20" y="21"/>
                </a:moveTo>
                <a:cubicBezTo>
                  <a:pt x="22" y="6"/>
                  <a:pt x="22" y="6"/>
                  <a:pt x="22" y="6"/>
                </a:cubicBezTo>
                <a:cubicBezTo>
                  <a:pt x="22" y="4"/>
                  <a:pt x="21" y="3"/>
                  <a:pt x="20" y="3"/>
                </a:cubicBezTo>
                <a:cubicBezTo>
                  <a:pt x="3" y="0"/>
                  <a:pt x="3" y="0"/>
                  <a:pt x="3" y="0"/>
                </a:cubicBezTo>
                <a:cubicBezTo>
                  <a:pt x="0" y="18"/>
                  <a:pt x="0" y="18"/>
                  <a:pt x="0" y="18"/>
                </a:cubicBezTo>
                <a:lnTo>
                  <a:pt x="20" y="21"/>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199" name="Freeform 21">
            <a:extLst>
              <a:ext uri="{FF2B5EF4-FFF2-40B4-BE49-F238E27FC236}">
                <a16:creationId xmlns:a16="http://schemas.microsoft.com/office/drawing/2014/main" id="{DE95E7D6-E56E-0AE0-82B4-F22105E60157}"/>
              </a:ext>
            </a:extLst>
          </xdr:cNvPr>
          <xdr:cNvSpPr>
            <a:spLocks/>
          </xdr:cNvSpPr>
        </xdr:nvSpPr>
        <xdr:spPr bwMode="auto">
          <a:xfrm>
            <a:off x="314325" y="388937"/>
            <a:ext cx="41275" cy="39688"/>
          </a:xfrm>
          <a:custGeom>
            <a:avLst/>
            <a:gdLst>
              <a:gd name="T0" fmla="*/ 0 w 23"/>
              <a:gd name="T1" fmla="*/ 19 h 22"/>
              <a:gd name="T2" fmla="*/ 17 w 23"/>
              <a:gd name="T3" fmla="*/ 22 h 22"/>
              <a:gd name="T4" fmla="*/ 20 w 23"/>
              <a:gd name="T5" fmla="*/ 20 h 22"/>
              <a:gd name="T6" fmla="*/ 23 w 23"/>
              <a:gd name="T7" fmla="*/ 3 h 22"/>
              <a:gd name="T8" fmla="*/ 3 w 23"/>
              <a:gd name="T9" fmla="*/ 0 h 22"/>
              <a:gd name="T10" fmla="*/ 0 w 23"/>
              <a:gd name="T11" fmla="*/ 19 h 22"/>
            </a:gdLst>
            <a:ahLst/>
            <a:cxnLst>
              <a:cxn ang="0">
                <a:pos x="T0" y="T1"/>
              </a:cxn>
              <a:cxn ang="0">
                <a:pos x="T2" y="T3"/>
              </a:cxn>
              <a:cxn ang="0">
                <a:pos x="T4" y="T5"/>
              </a:cxn>
              <a:cxn ang="0">
                <a:pos x="T6" y="T7"/>
              </a:cxn>
              <a:cxn ang="0">
                <a:pos x="T8" y="T9"/>
              </a:cxn>
              <a:cxn ang="0">
                <a:pos x="T10" y="T11"/>
              </a:cxn>
            </a:cxnLst>
            <a:rect l="0" t="0" r="r" b="b"/>
            <a:pathLst>
              <a:path w="23" h="22">
                <a:moveTo>
                  <a:pt x="0" y="19"/>
                </a:moveTo>
                <a:cubicBezTo>
                  <a:pt x="17" y="22"/>
                  <a:pt x="17" y="22"/>
                  <a:pt x="17" y="22"/>
                </a:cubicBezTo>
                <a:cubicBezTo>
                  <a:pt x="19" y="22"/>
                  <a:pt x="20" y="21"/>
                  <a:pt x="20" y="20"/>
                </a:cubicBezTo>
                <a:cubicBezTo>
                  <a:pt x="23" y="3"/>
                  <a:pt x="23" y="3"/>
                  <a:pt x="23" y="3"/>
                </a:cubicBezTo>
                <a:cubicBezTo>
                  <a:pt x="3" y="0"/>
                  <a:pt x="3" y="0"/>
                  <a:pt x="3" y="0"/>
                </a:cubicBezTo>
                <a:lnTo>
                  <a:pt x="0" y="19"/>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0" name="Freeform 22">
            <a:extLst>
              <a:ext uri="{FF2B5EF4-FFF2-40B4-BE49-F238E27FC236}">
                <a16:creationId xmlns:a16="http://schemas.microsoft.com/office/drawing/2014/main" id="{BB893391-85AD-B463-CD6A-27BE0965220C}"/>
              </a:ext>
            </a:extLst>
          </xdr:cNvPr>
          <xdr:cNvSpPr>
            <a:spLocks/>
          </xdr:cNvSpPr>
        </xdr:nvSpPr>
        <xdr:spPr bwMode="auto">
          <a:xfrm>
            <a:off x="217488" y="371475"/>
            <a:ext cx="41275" cy="41275"/>
          </a:xfrm>
          <a:custGeom>
            <a:avLst/>
            <a:gdLst>
              <a:gd name="T0" fmla="*/ 3 w 22"/>
              <a:gd name="T1" fmla="*/ 0 h 22"/>
              <a:gd name="T2" fmla="*/ 0 w 22"/>
              <a:gd name="T3" fmla="*/ 16 h 22"/>
              <a:gd name="T4" fmla="*/ 2 w 22"/>
              <a:gd name="T5" fmla="*/ 19 h 22"/>
              <a:gd name="T6" fmla="*/ 19 w 22"/>
              <a:gd name="T7" fmla="*/ 22 h 22"/>
              <a:gd name="T8" fmla="*/ 22 w 22"/>
              <a:gd name="T9" fmla="*/ 3 h 22"/>
              <a:gd name="T10" fmla="*/ 3 w 22"/>
              <a:gd name="T11" fmla="*/ 0 h 22"/>
            </a:gdLst>
            <a:ahLst/>
            <a:cxnLst>
              <a:cxn ang="0">
                <a:pos x="T0" y="T1"/>
              </a:cxn>
              <a:cxn ang="0">
                <a:pos x="T2" y="T3"/>
              </a:cxn>
              <a:cxn ang="0">
                <a:pos x="T4" y="T5"/>
              </a:cxn>
              <a:cxn ang="0">
                <a:pos x="T6" y="T7"/>
              </a:cxn>
              <a:cxn ang="0">
                <a:pos x="T8" y="T9"/>
              </a:cxn>
              <a:cxn ang="0">
                <a:pos x="T10" y="T11"/>
              </a:cxn>
            </a:cxnLst>
            <a:rect l="0" t="0" r="r" b="b"/>
            <a:pathLst>
              <a:path w="22" h="22">
                <a:moveTo>
                  <a:pt x="3" y="0"/>
                </a:moveTo>
                <a:cubicBezTo>
                  <a:pt x="0" y="16"/>
                  <a:pt x="0" y="16"/>
                  <a:pt x="0" y="16"/>
                </a:cubicBezTo>
                <a:cubicBezTo>
                  <a:pt x="0" y="18"/>
                  <a:pt x="1" y="19"/>
                  <a:pt x="2" y="19"/>
                </a:cubicBezTo>
                <a:cubicBezTo>
                  <a:pt x="19" y="22"/>
                  <a:pt x="19" y="22"/>
                  <a:pt x="19" y="22"/>
                </a:cubicBezTo>
                <a:cubicBezTo>
                  <a:pt x="22" y="3"/>
                  <a:pt x="22" y="3"/>
                  <a:pt x="22" y="3"/>
                </a:cubicBez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1" name="Freeform 23">
            <a:extLst>
              <a:ext uri="{FF2B5EF4-FFF2-40B4-BE49-F238E27FC236}">
                <a16:creationId xmlns:a16="http://schemas.microsoft.com/office/drawing/2014/main" id="{1C463CD6-CC6D-6ABC-BA29-2FA3E1C4B1CA}"/>
              </a:ext>
            </a:extLst>
          </xdr:cNvPr>
          <xdr:cNvSpPr>
            <a:spLocks/>
          </xdr:cNvSpPr>
        </xdr:nvSpPr>
        <xdr:spPr bwMode="auto">
          <a:xfrm>
            <a:off x="512763" y="371475"/>
            <a:ext cx="42863" cy="42863"/>
          </a:xfrm>
          <a:custGeom>
            <a:avLst/>
            <a:gdLst>
              <a:gd name="T0" fmla="*/ 4 w 27"/>
              <a:gd name="T1" fmla="*/ 0 h 27"/>
              <a:gd name="T2" fmla="*/ 0 w 27"/>
              <a:gd name="T3" fmla="*/ 23 h 27"/>
              <a:gd name="T4" fmla="*/ 23 w 27"/>
              <a:gd name="T5" fmla="*/ 27 h 27"/>
              <a:gd name="T6" fmla="*/ 27 w 27"/>
              <a:gd name="T7" fmla="*/ 5 h 27"/>
              <a:gd name="T8" fmla="*/ 4 w 27"/>
              <a:gd name="T9" fmla="*/ 0 h 27"/>
            </a:gdLst>
            <a:ahLst/>
            <a:cxnLst>
              <a:cxn ang="0">
                <a:pos x="T0" y="T1"/>
              </a:cxn>
              <a:cxn ang="0">
                <a:pos x="T2" y="T3"/>
              </a:cxn>
              <a:cxn ang="0">
                <a:pos x="T4" y="T5"/>
              </a:cxn>
              <a:cxn ang="0">
                <a:pos x="T6" y="T7"/>
              </a:cxn>
              <a:cxn ang="0">
                <a:pos x="T8" y="T9"/>
              </a:cxn>
            </a:cxnLst>
            <a:rect l="0" t="0" r="r" b="b"/>
            <a:pathLst>
              <a:path w="27" h="27">
                <a:moveTo>
                  <a:pt x="4" y="0"/>
                </a:moveTo>
                <a:lnTo>
                  <a:pt x="0" y="23"/>
                </a:lnTo>
                <a:lnTo>
                  <a:pt x="23" y="27"/>
                </a:lnTo>
                <a:lnTo>
                  <a:pt x="27" y="5"/>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2" name="Freeform 24">
            <a:extLst>
              <a:ext uri="{FF2B5EF4-FFF2-40B4-BE49-F238E27FC236}">
                <a16:creationId xmlns:a16="http://schemas.microsoft.com/office/drawing/2014/main" id="{4DBF25ED-4A1D-DCBE-57E6-50F99FEAF180}"/>
              </a:ext>
            </a:extLst>
          </xdr:cNvPr>
          <xdr:cNvSpPr>
            <a:spLocks/>
          </xdr:cNvSpPr>
        </xdr:nvSpPr>
        <xdr:spPr bwMode="auto">
          <a:xfrm>
            <a:off x="455613" y="412750"/>
            <a:ext cx="42863" cy="39688"/>
          </a:xfrm>
          <a:custGeom>
            <a:avLst/>
            <a:gdLst>
              <a:gd name="T0" fmla="*/ 4 w 27"/>
              <a:gd name="T1" fmla="*/ 0 h 25"/>
              <a:gd name="T2" fmla="*/ 0 w 27"/>
              <a:gd name="T3" fmla="*/ 22 h 25"/>
              <a:gd name="T4" fmla="*/ 23 w 27"/>
              <a:gd name="T5" fmla="*/ 25 h 25"/>
              <a:gd name="T6" fmla="*/ 27 w 27"/>
              <a:gd name="T7" fmla="*/ 3 h 25"/>
              <a:gd name="T8" fmla="*/ 4 w 27"/>
              <a:gd name="T9" fmla="*/ 0 h 25"/>
            </a:gdLst>
            <a:ahLst/>
            <a:cxnLst>
              <a:cxn ang="0">
                <a:pos x="T0" y="T1"/>
              </a:cxn>
              <a:cxn ang="0">
                <a:pos x="T2" y="T3"/>
              </a:cxn>
              <a:cxn ang="0">
                <a:pos x="T4" y="T5"/>
              </a:cxn>
              <a:cxn ang="0">
                <a:pos x="T6" y="T7"/>
              </a:cxn>
              <a:cxn ang="0">
                <a:pos x="T8" y="T9"/>
              </a:cxn>
            </a:cxnLst>
            <a:rect l="0" t="0" r="r" b="b"/>
            <a:pathLst>
              <a:path w="27" h="25">
                <a:moveTo>
                  <a:pt x="4" y="0"/>
                </a:moveTo>
                <a:lnTo>
                  <a:pt x="0" y="22"/>
                </a:lnTo>
                <a:lnTo>
                  <a:pt x="23" y="25"/>
                </a:lnTo>
                <a:lnTo>
                  <a:pt x="27" y="3"/>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3" name="Freeform 25">
            <a:extLst>
              <a:ext uri="{FF2B5EF4-FFF2-40B4-BE49-F238E27FC236}">
                <a16:creationId xmlns:a16="http://schemas.microsoft.com/office/drawing/2014/main" id="{2C71611C-F6AE-6918-74C4-EE5B74DE0F4F}"/>
              </a:ext>
            </a:extLst>
          </xdr:cNvPr>
          <xdr:cNvSpPr>
            <a:spLocks/>
          </xdr:cNvSpPr>
        </xdr:nvSpPr>
        <xdr:spPr bwMode="auto">
          <a:xfrm>
            <a:off x="417513" y="357187"/>
            <a:ext cx="38100" cy="39688"/>
          </a:xfrm>
          <a:custGeom>
            <a:avLst/>
            <a:gdLst>
              <a:gd name="T0" fmla="*/ 24 w 24"/>
              <a:gd name="T1" fmla="*/ 3 h 25"/>
              <a:gd name="T2" fmla="*/ 3 w 24"/>
              <a:gd name="T3" fmla="*/ 0 h 25"/>
              <a:gd name="T4" fmla="*/ 0 w 24"/>
              <a:gd name="T5" fmla="*/ 22 h 25"/>
              <a:gd name="T6" fmla="*/ 21 w 24"/>
              <a:gd name="T7" fmla="*/ 25 h 25"/>
              <a:gd name="T8" fmla="*/ 24 w 24"/>
              <a:gd name="T9" fmla="*/ 3 h 25"/>
            </a:gdLst>
            <a:ahLst/>
            <a:cxnLst>
              <a:cxn ang="0">
                <a:pos x="T0" y="T1"/>
              </a:cxn>
              <a:cxn ang="0">
                <a:pos x="T2" y="T3"/>
              </a:cxn>
              <a:cxn ang="0">
                <a:pos x="T4" y="T5"/>
              </a:cxn>
              <a:cxn ang="0">
                <a:pos x="T6" y="T7"/>
              </a:cxn>
              <a:cxn ang="0">
                <a:pos x="T8" y="T9"/>
              </a:cxn>
            </a:cxnLst>
            <a:rect l="0" t="0" r="r" b="b"/>
            <a:pathLst>
              <a:path w="24" h="25">
                <a:moveTo>
                  <a:pt x="24" y="3"/>
                </a:moveTo>
                <a:lnTo>
                  <a:pt x="3" y="0"/>
                </a:lnTo>
                <a:lnTo>
                  <a:pt x="0" y="22"/>
                </a:lnTo>
                <a:lnTo>
                  <a:pt x="21" y="25"/>
                </a:lnTo>
                <a:lnTo>
                  <a:pt x="24"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4" name="Freeform 26">
            <a:extLst>
              <a:ext uri="{FF2B5EF4-FFF2-40B4-BE49-F238E27FC236}">
                <a16:creationId xmlns:a16="http://schemas.microsoft.com/office/drawing/2014/main" id="{81E755A1-2E87-84BF-74AC-9732B5E9D21F}"/>
              </a:ext>
            </a:extLst>
          </xdr:cNvPr>
          <xdr:cNvSpPr>
            <a:spLocks/>
          </xdr:cNvSpPr>
        </xdr:nvSpPr>
        <xdr:spPr bwMode="auto">
          <a:xfrm>
            <a:off x="469900" y="317500"/>
            <a:ext cx="42863" cy="41275"/>
          </a:xfrm>
          <a:custGeom>
            <a:avLst/>
            <a:gdLst>
              <a:gd name="T0" fmla="*/ 24 w 27"/>
              <a:gd name="T1" fmla="*/ 26 h 26"/>
              <a:gd name="T2" fmla="*/ 27 w 27"/>
              <a:gd name="T3" fmla="*/ 4 h 26"/>
              <a:gd name="T4" fmla="*/ 4 w 27"/>
              <a:gd name="T5" fmla="*/ 0 h 26"/>
              <a:gd name="T6" fmla="*/ 0 w 27"/>
              <a:gd name="T7" fmla="*/ 21 h 26"/>
              <a:gd name="T8" fmla="*/ 24 w 27"/>
              <a:gd name="T9" fmla="*/ 26 h 26"/>
            </a:gdLst>
            <a:ahLst/>
            <a:cxnLst>
              <a:cxn ang="0">
                <a:pos x="T0" y="T1"/>
              </a:cxn>
              <a:cxn ang="0">
                <a:pos x="T2" y="T3"/>
              </a:cxn>
              <a:cxn ang="0">
                <a:pos x="T4" y="T5"/>
              </a:cxn>
              <a:cxn ang="0">
                <a:pos x="T6" y="T7"/>
              </a:cxn>
              <a:cxn ang="0">
                <a:pos x="T8" y="T9"/>
              </a:cxn>
            </a:cxnLst>
            <a:rect l="0" t="0" r="r" b="b"/>
            <a:pathLst>
              <a:path w="27" h="26">
                <a:moveTo>
                  <a:pt x="24" y="26"/>
                </a:moveTo>
                <a:lnTo>
                  <a:pt x="27" y="4"/>
                </a:lnTo>
                <a:lnTo>
                  <a:pt x="4" y="0"/>
                </a:lnTo>
                <a:lnTo>
                  <a:pt x="0" y="21"/>
                </a:lnTo>
                <a:lnTo>
                  <a:pt x="24" y="2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5" name="Freeform 27">
            <a:extLst>
              <a:ext uri="{FF2B5EF4-FFF2-40B4-BE49-F238E27FC236}">
                <a16:creationId xmlns:a16="http://schemas.microsoft.com/office/drawing/2014/main" id="{A9A51C2A-D68B-B69E-E992-76F38E62C651}"/>
              </a:ext>
            </a:extLst>
          </xdr:cNvPr>
          <xdr:cNvSpPr>
            <a:spLocks/>
          </xdr:cNvSpPr>
        </xdr:nvSpPr>
        <xdr:spPr bwMode="auto">
          <a:xfrm>
            <a:off x="463550" y="365125"/>
            <a:ext cx="41275" cy="41275"/>
          </a:xfrm>
          <a:custGeom>
            <a:avLst/>
            <a:gdLst>
              <a:gd name="T0" fmla="*/ 0 w 26"/>
              <a:gd name="T1" fmla="*/ 22 h 26"/>
              <a:gd name="T2" fmla="*/ 23 w 26"/>
              <a:gd name="T3" fmla="*/ 26 h 26"/>
              <a:gd name="T4" fmla="*/ 26 w 26"/>
              <a:gd name="T5" fmla="*/ 3 h 26"/>
              <a:gd name="T6" fmla="*/ 3 w 26"/>
              <a:gd name="T7" fmla="*/ 0 h 26"/>
              <a:gd name="T8" fmla="*/ 0 w 26"/>
              <a:gd name="T9" fmla="*/ 22 h 26"/>
            </a:gdLst>
            <a:ahLst/>
            <a:cxnLst>
              <a:cxn ang="0">
                <a:pos x="T0" y="T1"/>
              </a:cxn>
              <a:cxn ang="0">
                <a:pos x="T2" y="T3"/>
              </a:cxn>
              <a:cxn ang="0">
                <a:pos x="T4" y="T5"/>
              </a:cxn>
              <a:cxn ang="0">
                <a:pos x="T6" y="T7"/>
              </a:cxn>
              <a:cxn ang="0">
                <a:pos x="T8" y="T9"/>
              </a:cxn>
            </a:cxnLst>
            <a:rect l="0" t="0" r="r" b="b"/>
            <a:pathLst>
              <a:path w="26" h="26">
                <a:moveTo>
                  <a:pt x="0" y="22"/>
                </a:moveTo>
                <a:lnTo>
                  <a:pt x="23" y="26"/>
                </a:lnTo>
                <a:lnTo>
                  <a:pt x="26" y="3"/>
                </a:lnTo>
                <a:lnTo>
                  <a:pt x="3"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6" name="Freeform 28">
            <a:extLst>
              <a:ext uri="{FF2B5EF4-FFF2-40B4-BE49-F238E27FC236}">
                <a16:creationId xmlns:a16="http://schemas.microsoft.com/office/drawing/2014/main" id="{F728DBD9-E56D-DAEA-DFE0-8D9439F252E8}"/>
              </a:ext>
            </a:extLst>
          </xdr:cNvPr>
          <xdr:cNvSpPr>
            <a:spLocks/>
          </xdr:cNvSpPr>
        </xdr:nvSpPr>
        <xdr:spPr bwMode="auto">
          <a:xfrm>
            <a:off x="423863" y="311150"/>
            <a:ext cx="39688" cy="38100"/>
          </a:xfrm>
          <a:custGeom>
            <a:avLst/>
            <a:gdLst>
              <a:gd name="T0" fmla="*/ 21 w 21"/>
              <a:gd name="T1" fmla="*/ 3 h 21"/>
              <a:gd name="T2" fmla="*/ 5 w 21"/>
              <a:gd name="T3" fmla="*/ 0 h 21"/>
              <a:gd name="T4" fmla="*/ 2 w 21"/>
              <a:gd name="T5" fmla="*/ 3 h 21"/>
              <a:gd name="T6" fmla="*/ 0 w 21"/>
              <a:gd name="T7" fmla="*/ 18 h 21"/>
              <a:gd name="T8" fmla="*/ 18 w 21"/>
              <a:gd name="T9" fmla="*/ 21 h 21"/>
              <a:gd name="T10" fmla="*/ 21 w 21"/>
              <a:gd name="T11" fmla="*/ 3 h 21"/>
            </a:gdLst>
            <a:ahLst/>
            <a:cxnLst>
              <a:cxn ang="0">
                <a:pos x="T0" y="T1"/>
              </a:cxn>
              <a:cxn ang="0">
                <a:pos x="T2" y="T3"/>
              </a:cxn>
              <a:cxn ang="0">
                <a:pos x="T4" y="T5"/>
              </a:cxn>
              <a:cxn ang="0">
                <a:pos x="T6" y="T7"/>
              </a:cxn>
              <a:cxn ang="0">
                <a:pos x="T8" y="T9"/>
              </a:cxn>
              <a:cxn ang="0">
                <a:pos x="T10" y="T11"/>
              </a:cxn>
            </a:cxnLst>
            <a:rect l="0" t="0" r="r" b="b"/>
            <a:pathLst>
              <a:path w="21" h="21">
                <a:moveTo>
                  <a:pt x="21" y="3"/>
                </a:moveTo>
                <a:cubicBezTo>
                  <a:pt x="5" y="0"/>
                  <a:pt x="5" y="0"/>
                  <a:pt x="5" y="0"/>
                </a:cubicBezTo>
                <a:cubicBezTo>
                  <a:pt x="4" y="0"/>
                  <a:pt x="2" y="1"/>
                  <a:pt x="2" y="3"/>
                </a:cubicBezTo>
                <a:cubicBezTo>
                  <a:pt x="0" y="18"/>
                  <a:pt x="0" y="18"/>
                  <a:pt x="0" y="18"/>
                </a:cubicBezTo>
                <a:cubicBezTo>
                  <a:pt x="18" y="21"/>
                  <a:pt x="18" y="21"/>
                  <a:pt x="18" y="21"/>
                </a:cubicBezTo>
                <a:lnTo>
                  <a:pt x="21"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7" name="Freeform 29">
            <a:extLst>
              <a:ext uri="{FF2B5EF4-FFF2-40B4-BE49-F238E27FC236}">
                <a16:creationId xmlns:a16="http://schemas.microsoft.com/office/drawing/2014/main" id="{9578D496-E038-01B6-8885-6C3D548D96A0}"/>
              </a:ext>
            </a:extLst>
          </xdr:cNvPr>
          <xdr:cNvSpPr>
            <a:spLocks/>
          </xdr:cNvSpPr>
        </xdr:nvSpPr>
        <xdr:spPr bwMode="auto">
          <a:xfrm>
            <a:off x="520700" y="325437"/>
            <a:ext cx="41275" cy="41275"/>
          </a:xfrm>
          <a:custGeom>
            <a:avLst/>
            <a:gdLst>
              <a:gd name="T0" fmla="*/ 20 w 23"/>
              <a:gd name="T1" fmla="*/ 22 h 22"/>
              <a:gd name="T2" fmla="*/ 22 w 23"/>
              <a:gd name="T3" fmla="*/ 6 h 22"/>
              <a:gd name="T4" fmla="*/ 20 w 23"/>
              <a:gd name="T5" fmla="*/ 3 h 22"/>
              <a:gd name="T6" fmla="*/ 3 w 23"/>
              <a:gd name="T7" fmla="*/ 0 h 22"/>
              <a:gd name="T8" fmla="*/ 0 w 23"/>
              <a:gd name="T9" fmla="*/ 19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2" y="6"/>
                  <a:pt x="22" y="6"/>
                  <a:pt x="22" y="6"/>
                </a:cubicBezTo>
                <a:cubicBezTo>
                  <a:pt x="23" y="5"/>
                  <a:pt x="22" y="3"/>
                  <a:pt x="20" y="3"/>
                </a:cubicBezTo>
                <a:cubicBezTo>
                  <a:pt x="3" y="0"/>
                  <a:pt x="3" y="0"/>
                  <a:pt x="3" y="0"/>
                </a:cubicBezTo>
                <a:cubicBezTo>
                  <a:pt x="0" y="19"/>
                  <a:pt x="0" y="19"/>
                  <a:pt x="0" y="19"/>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8" name="Freeform 30">
            <a:extLst>
              <a:ext uri="{FF2B5EF4-FFF2-40B4-BE49-F238E27FC236}">
                <a16:creationId xmlns:a16="http://schemas.microsoft.com/office/drawing/2014/main" id="{41E1763C-AB6C-0126-E7C4-4DFE286D40A9}"/>
              </a:ext>
            </a:extLst>
          </xdr:cNvPr>
          <xdr:cNvSpPr>
            <a:spLocks/>
          </xdr:cNvSpPr>
        </xdr:nvSpPr>
        <xdr:spPr bwMode="auto">
          <a:xfrm>
            <a:off x="504825" y="422275"/>
            <a:ext cx="42863" cy="38100"/>
          </a:xfrm>
          <a:custGeom>
            <a:avLst/>
            <a:gdLst>
              <a:gd name="T0" fmla="*/ 0 w 23"/>
              <a:gd name="T1" fmla="*/ 18 h 21"/>
              <a:gd name="T2" fmla="*/ 17 w 23"/>
              <a:gd name="T3" fmla="*/ 21 h 21"/>
              <a:gd name="T4" fmla="*/ 20 w 23"/>
              <a:gd name="T5" fmla="*/ 19 h 21"/>
              <a:gd name="T6" fmla="*/ 23 w 23"/>
              <a:gd name="T7" fmla="*/ 3 h 21"/>
              <a:gd name="T8" fmla="*/ 3 w 23"/>
              <a:gd name="T9" fmla="*/ 0 h 21"/>
              <a:gd name="T10" fmla="*/ 0 w 23"/>
              <a:gd name="T11" fmla="*/ 18 h 21"/>
            </a:gdLst>
            <a:ahLst/>
            <a:cxnLst>
              <a:cxn ang="0">
                <a:pos x="T0" y="T1"/>
              </a:cxn>
              <a:cxn ang="0">
                <a:pos x="T2" y="T3"/>
              </a:cxn>
              <a:cxn ang="0">
                <a:pos x="T4" y="T5"/>
              </a:cxn>
              <a:cxn ang="0">
                <a:pos x="T6" y="T7"/>
              </a:cxn>
              <a:cxn ang="0">
                <a:pos x="T8" y="T9"/>
              </a:cxn>
              <a:cxn ang="0">
                <a:pos x="T10" y="T11"/>
              </a:cxn>
            </a:cxnLst>
            <a:rect l="0" t="0" r="r" b="b"/>
            <a:pathLst>
              <a:path w="23" h="21">
                <a:moveTo>
                  <a:pt x="0" y="18"/>
                </a:moveTo>
                <a:cubicBezTo>
                  <a:pt x="17" y="21"/>
                  <a:pt x="17" y="21"/>
                  <a:pt x="17" y="21"/>
                </a:cubicBezTo>
                <a:cubicBezTo>
                  <a:pt x="18" y="21"/>
                  <a:pt x="20" y="20"/>
                  <a:pt x="20" y="19"/>
                </a:cubicBezTo>
                <a:cubicBezTo>
                  <a:pt x="23" y="3"/>
                  <a:pt x="23" y="3"/>
                  <a:pt x="23" y="3"/>
                </a:cubicBezTo>
                <a:cubicBezTo>
                  <a:pt x="3" y="0"/>
                  <a:pt x="3" y="0"/>
                  <a:pt x="3" y="0"/>
                </a:cubicBezTo>
                <a:lnTo>
                  <a:pt x="0" y="18"/>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09" name="Freeform 31">
            <a:extLst>
              <a:ext uri="{FF2B5EF4-FFF2-40B4-BE49-F238E27FC236}">
                <a16:creationId xmlns:a16="http://schemas.microsoft.com/office/drawing/2014/main" id="{D3A8218C-28B9-531B-878E-248D079D750A}"/>
              </a:ext>
            </a:extLst>
          </xdr:cNvPr>
          <xdr:cNvSpPr>
            <a:spLocks/>
          </xdr:cNvSpPr>
        </xdr:nvSpPr>
        <xdr:spPr bwMode="auto">
          <a:xfrm>
            <a:off x="409575" y="404812"/>
            <a:ext cx="38100" cy="41275"/>
          </a:xfrm>
          <a:custGeom>
            <a:avLst/>
            <a:gdLst>
              <a:gd name="T0" fmla="*/ 2 w 21"/>
              <a:gd name="T1" fmla="*/ 0 h 22"/>
              <a:gd name="T2" fmla="*/ 0 w 21"/>
              <a:gd name="T3" fmla="*/ 16 h 22"/>
              <a:gd name="T4" fmla="*/ 2 w 21"/>
              <a:gd name="T5" fmla="*/ 19 h 22"/>
              <a:gd name="T6" fmla="*/ 18 w 21"/>
              <a:gd name="T7" fmla="*/ 22 h 22"/>
              <a:gd name="T8" fmla="*/ 21 w 21"/>
              <a:gd name="T9" fmla="*/ 3 h 22"/>
              <a:gd name="T10" fmla="*/ 2 w 21"/>
              <a:gd name="T11" fmla="*/ 0 h 22"/>
            </a:gdLst>
            <a:ahLst/>
            <a:cxnLst>
              <a:cxn ang="0">
                <a:pos x="T0" y="T1"/>
              </a:cxn>
              <a:cxn ang="0">
                <a:pos x="T2" y="T3"/>
              </a:cxn>
              <a:cxn ang="0">
                <a:pos x="T4" y="T5"/>
              </a:cxn>
              <a:cxn ang="0">
                <a:pos x="T6" y="T7"/>
              </a:cxn>
              <a:cxn ang="0">
                <a:pos x="T8" y="T9"/>
              </a:cxn>
              <a:cxn ang="0">
                <a:pos x="T10" y="T11"/>
              </a:cxn>
            </a:cxnLst>
            <a:rect l="0" t="0" r="r" b="b"/>
            <a:pathLst>
              <a:path w="21" h="22">
                <a:moveTo>
                  <a:pt x="2" y="0"/>
                </a:moveTo>
                <a:cubicBezTo>
                  <a:pt x="0" y="16"/>
                  <a:pt x="0" y="16"/>
                  <a:pt x="0" y="16"/>
                </a:cubicBezTo>
                <a:cubicBezTo>
                  <a:pt x="0" y="18"/>
                  <a:pt x="1" y="19"/>
                  <a:pt x="2" y="19"/>
                </a:cubicBezTo>
                <a:cubicBezTo>
                  <a:pt x="18" y="22"/>
                  <a:pt x="18" y="22"/>
                  <a:pt x="18" y="22"/>
                </a:cubicBezTo>
                <a:cubicBezTo>
                  <a:pt x="21" y="3"/>
                  <a:pt x="21" y="3"/>
                  <a:pt x="21" y="3"/>
                </a:cubicBezTo>
                <a:lnTo>
                  <a:pt x="2"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0" name="Freeform 33">
            <a:extLst>
              <a:ext uri="{FF2B5EF4-FFF2-40B4-BE49-F238E27FC236}">
                <a16:creationId xmlns:a16="http://schemas.microsoft.com/office/drawing/2014/main" id="{0E391E90-EE01-D32F-6D50-F5C6CCE0E288}"/>
              </a:ext>
            </a:extLst>
          </xdr:cNvPr>
          <xdr:cNvSpPr>
            <a:spLocks/>
          </xdr:cNvSpPr>
        </xdr:nvSpPr>
        <xdr:spPr bwMode="auto">
          <a:xfrm>
            <a:off x="227013" y="196850"/>
            <a:ext cx="42863" cy="42863"/>
          </a:xfrm>
          <a:custGeom>
            <a:avLst/>
            <a:gdLst>
              <a:gd name="T0" fmla="*/ 4 w 27"/>
              <a:gd name="T1" fmla="*/ 0 h 27"/>
              <a:gd name="T2" fmla="*/ 0 w 27"/>
              <a:gd name="T3" fmla="*/ 23 h 27"/>
              <a:gd name="T4" fmla="*/ 23 w 27"/>
              <a:gd name="T5" fmla="*/ 27 h 27"/>
              <a:gd name="T6" fmla="*/ 27 w 27"/>
              <a:gd name="T7" fmla="*/ 5 h 27"/>
              <a:gd name="T8" fmla="*/ 4 w 27"/>
              <a:gd name="T9" fmla="*/ 0 h 27"/>
            </a:gdLst>
            <a:ahLst/>
            <a:cxnLst>
              <a:cxn ang="0">
                <a:pos x="T0" y="T1"/>
              </a:cxn>
              <a:cxn ang="0">
                <a:pos x="T2" y="T3"/>
              </a:cxn>
              <a:cxn ang="0">
                <a:pos x="T4" y="T5"/>
              </a:cxn>
              <a:cxn ang="0">
                <a:pos x="T6" y="T7"/>
              </a:cxn>
              <a:cxn ang="0">
                <a:pos x="T8" y="T9"/>
              </a:cxn>
            </a:cxnLst>
            <a:rect l="0" t="0" r="r" b="b"/>
            <a:pathLst>
              <a:path w="27" h="27">
                <a:moveTo>
                  <a:pt x="4" y="0"/>
                </a:moveTo>
                <a:lnTo>
                  <a:pt x="0" y="23"/>
                </a:lnTo>
                <a:lnTo>
                  <a:pt x="23" y="27"/>
                </a:lnTo>
                <a:lnTo>
                  <a:pt x="27" y="5"/>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1" name="Freeform 34">
            <a:extLst>
              <a:ext uri="{FF2B5EF4-FFF2-40B4-BE49-F238E27FC236}">
                <a16:creationId xmlns:a16="http://schemas.microsoft.com/office/drawing/2014/main" id="{4329064C-4FD3-33F7-11AC-F26CA255B5DD}"/>
              </a:ext>
            </a:extLst>
          </xdr:cNvPr>
          <xdr:cNvSpPr>
            <a:spLocks/>
          </xdr:cNvSpPr>
        </xdr:nvSpPr>
        <xdr:spPr bwMode="auto">
          <a:xfrm>
            <a:off x="131763" y="182562"/>
            <a:ext cx="39688" cy="39688"/>
          </a:xfrm>
          <a:custGeom>
            <a:avLst/>
            <a:gdLst>
              <a:gd name="T0" fmla="*/ 25 w 25"/>
              <a:gd name="T1" fmla="*/ 3 h 25"/>
              <a:gd name="T2" fmla="*/ 3 w 25"/>
              <a:gd name="T3" fmla="*/ 0 h 25"/>
              <a:gd name="T4" fmla="*/ 0 w 25"/>
              <a:gd name="T5" fmla="*/ 22 h 25"/>
              <a:gd name="T6" fmla="*/ 22 w 25"/>
              <a:gd name="T7" fmla="*/ 25 h 25"/>
              <a:gd name="T8" fmla="*/ 25 w 25"/>
              <a:gd name="T9" fmla="*/ 3 h 25"/>
            </a:gdLst>
            <a:ahLst/>
            <a:cxnLst>
              <a:cxn ang="0">
                <a:pos x="T0" y="T1"/>
              </a:cxn>
              <a:cxn ang="0">
                <a:pos x="T2" y="T3"/>
              </a:cxn>
              <a:cxn ang="0">
                <a:pos x="T4" y="T5"/>
              </a:cxn>
              <a:cxn ang="0">
                <a:pos x="T6" y="T7"/>
              </a:cxn>
              <a:cxn ang="0">
                <a:pos x="T8" y="T9"/>
              </a:cxn>
            </a:cxnLst>
            <a:rect l="0" t="0" r="r" b="b"/>
            <a:pathLst>
              <a:path w="25" h="25">
                <a:moveTo>
                  <a:pt x="25" y="3"/>
                </a:moveTo>
                <a:lnTo>
                  <a:pt x="3" y="0"/>
                </a:lnTo>
                <a:lnTo>
                  <a:pt x="0" y="22"/>
                </a:lnTo>
                <a:lnTo>
                  <a:pt x="22" y="25"/>
                </a:lnTo>
                <a:lnTo>
                  <a:pt x="25"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2" name="Freeform 35">
            <a:extLst>
              <a:ext uri="{FF2B5EF4-FFF2-40B4-BE49-F238E27FC236}">
                <a16:creationId xmlns:a16="http://schemas.microsoft.com/office/drawing/2014/main" id="{23135683-65B0-9C79-969E-22C04DBFC440}"/>
              </a:ext>
            </a:extLst>
          </xdr:cNvPr>
          <xdr:cNvSpPr>
            <a:spLocks/>
          </xdr:cNvSpPr>
        </xdr:nvSpPr>
        <xdr:spPr bwMode="auto">
          <a:xfrm>
            <a:off x="187325" y="142875"/>
            <a:ext cx="41275" cy="41275"/>
          </a:xfrm>
          <a:custGeom>
            <a:avLst/>
            <a:gdLst>
              <a:gd name="T0" fmla="*/ 23 w 26"/>
              <a:gd name="T1" fmla="*/ 26 h 26"/>
              <a:gd name="T2" fmla="*/ 26 w 26"/>
              <a:gd name="T3" fmla="*/ 4 h 26"/>
              <a:gd name="T4" fmla="*/ 3 w 26"/>
              <a:gd name="T5" fmla="*/ 0 h 26"/>
              <a:gd name="T6" fmla="*/ 0 w 26"/>
              <a:gd name="T7" fmla="*/ 21 h 26"/>
              <a:gd name="T8" fmla="*/ 23 w 26"/>
              <a:gd name="T9" fmla="*/ 26 h 26"/>
            </a:gdLst>
            <a:ahLst/>
            <a:cxnLst>
              <a:cxn ang="0">
                <a:pos x="T0" y="T1"/>
              </a:cxn>
              <a:cxn ang="0">
                <a:pos x="T2" y="T3"/>
              </a:cxn>
              <a:cxn ang="0">
                <a:pos x="T4" y="T5"/>
              </a:cxn>
              <a:cxn ang="0">
                <a:pos x="T6" y="T7"/>
              </a:cxn>
              <a:cxn ang="0">
                <a:pos x="T8" y="T9"/>
              </a:cxn>
            </a:cxnLst>
            <a:rect l="0" t="0" r="r" b="b"/>
            <a:pathLst>
              <a:path w="26" h="26">
                <a:moveTo>
                  <a:pt x="23" y="26"/>
                </a:moveTo>
                <a:lnTo>
                  <a:pt x="26" y="4"/>
                </a:lnTo>
                <a:lnTo>
                  <a:pt x="3" y="0"/>
                </a:lnTo>
                <a:lnTo>
                  <a:pt x="0" y="21"/>
                </a:lnTo>
                <a:lnTo>
                  <a:pt x="23" y="2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3" name="Freeform 36">
            <a:extLst>
              <a:ext uri="{FF2B5EF4-FFF2-40B4-BE49-F238E27FC236}">
                <a16:creationId xmlns:a16="http://schemas.microsoft.com/office/drawing/2014/main" id="{9F8666ED-B0D8-63DD-5722-8790F8E3E428}"/>
              </a:ext>
            </a:extLst>
          </xdr:cNvPr>
          <xdr:cNvSpPr>
            <a:spLocks/>
          </xdr:cNvSpPr>
        </xdr:nvSpPr>
        <xdr:spPr bwMode="auto">
          <a:xfrm>
            <a:off x="177800" y="188912"/>
            <a:ext cx="44450" cy="42863"/>
          </a:xfrm>
          <a:custGeom>
            <a:avLst/>
            <a:gdLst>
              <a:gd name="T0" fmla="*/ 0 w 28"/>
              <a:gd name="T1" fmla="*/ 22 h 27"/>
              <a:gd name="T2" fmla="*/ 23 w 28"/>
              <a:gd name="T3" fmla="*/ 27 h 27"/>
              <a:gd name="T4" fmla="*/ 28 w 28"/>
              <a:gd name="T5" fmla="*/ 4 h 27"/>
              <a:gd name="T6" fmla="*/ 4 w 28"/>
              <a:gd name="T7" fmla="*/ 0 h 27"/>
              <a:gd name="T8" fmla="*/ 0 w 28"/>
              <a:gd name="T9" fmla="*/ 22 h 27"/>
            </a:gdLst>
            <a:ahLst/>
            <a:cxnLst>
              <a:cxn ang="0">
                <a:pos x="T0" y="T1"/>
              </a:cxn>
              <a:cxn ang="0">
                <a:pos x="T2" y="T3"/>
              </a:cxn>
              <a:cxn ang="0">
                <a:pos x="T4" y="T5"/>
              </a:cxn>
              <a:cxn ang="0">
                <a:pos x="T6" y="T7"/>
              </a:cxn>
              <a:cxn ang="0">
                <a:pos x="T8" y="T9"/>
              </a:cxn>
            </a:cxnLst>
            <a:rect l="0" t="0" r="r" b="b"/>
            <a:pathLst>
              <a:path w="28" h="27">
                <a:moveTo>
                  <a:pt x="0" y="22"/>
                </a:moveTo>
                <a:lnTo>
                  <a:pt x="23" y="27"/>
                </a:lnTo>
                <a:lnTo>
                  <a:pt x="28" y="4"/>
                </a:lnTo>
                <a:lnTo>
                  <a:pt x="4"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4" name="Freeform 37">
            <a:extLst>
              <a:ext uri="{FF2B5EF4-FFF2-40B4-BE49-F238E27FC236}">
                <a16:creationId xmlns:a16="http://schemas.microsoft.com/office/drawing/2014/main" id="{DF19D75E-332B-C9B5-4913-FD1BB676777C}"/>
              </a:ext>
            </a:extLst>
          </xdr:cNvPr>
          <xdr:cNvSpPr>
            <a:spLocks/>
          </xdr:cNvSpPr>
        </xdr:nvSpPr>
        <xdr:spPr bwMode="auto">
          <a:xfrm>
            <a:off x="138113" y="136525"/>
            <a:ext cx="41275" cy="38100"/>
          </a:xfrm>
          <a:custGeom>
            <a:avLst/>
            <a:gdLst>
              <a:gd name="T0" fmla="*/ 22 w 22"/>
              <a:gd name="T1" fmla="*/ 3 h 21"/>
              <a:gd name="T2" fmla="*/ 6 w 22"/>
              <a:gd name="T3" fmla="*/ 0 h 21"/>
              <a:gd name="T4" fmla="*/ 3 w 22"/>
              <a:gd name="T5" fmla="*/ 2 h 21"/>
              <a:gd name="T6" fmla="*/ 0 w 22"/>
              <a:gd name="T7" fmla="*/ 18 h 21"/>
              <a:gd name="T8" fmla="*/ 19 w 22"/>
              <a:gd name="T9" fmla="*/ 21 h 21"/>
              <a:gd name="T10" fmla="*/ 22 w 22"/>
              <a:gd name="T11" fmla="*/ 3 h 21"/>
            </a:gdLst>
            <a:ahLst/>
            <a:cxnLst>
              <a:cxn ang="0">
                <a:pos x="T0" y="T1"/>
              </a:cxn>
              <a:cxn ang="0">
                <a:pos x="T2" y="T3"/>
              </a:cxn>
              <a:cxn ang="0">
                <a:pos x="T4" y="T5"/>
              </a:cxn>
              <a:cxn ang="0">
                <a:pos x="T6" y="T7"/>
              </a:cxn>
              <a:cxn ang="0">
                <a:pos x="T8" y="T9"/>
              </a:cxn>
              <a:cxn ang="0">
                <a:pos x="T10" y="T11"/>
              </a:cxn>
            </a:cxnLst>
            <a:rect l="0" t="0" r="r" b="b"/>
            <a:pathLst>
              <a:path w="22" h="21">
                <a:moveTo>
                  <a:pt x="22" y="3"/>
                </a:moveTo>
                <a:cubicBezTo>
                  <a:pt x="6" y="0"/>
                  <a:pt x="6" y="0"/>
                  <a:pt x="6" y="0"/>
                </a:cubicBezTo>
                <a:cubicBezTo>
                  <a:pt x="5" y="0"/>
                  <a:pt x="3" y="1"/>
                  <a:pt x="3" y="2"/>
                </a:cubicBezTo>
                <a:cubicBezTo>
                  <a:pt x="0" y="18"/>
                  <a:pt x="0" y="18"/>
                  <a:pt x="0" y="18"/>
                </a:cubicBezTo>
                <a:cubicBezTo>
                  <a:pt x="19" y="21"/>
                  <a:pt x="19" y="21"/>
                  <a:pt x="19" y="21"/>
                </a:cubicBezTo>
                <a:lnTo>
                  <a:pt x="22"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5" name="Freeform 38">
            <a:extLst>
              <a:ext uri="{FF2B5EF4-FFF2-40B4-BE49-F238E27FC236}">
                <a16:creationId xmlns:a16="http://schemas.microsoft.com/office/drawing/2014/main" id="{0866DA6A-D3CF-B322-932B-30513F37A44E}"/>
              </a:ext>
            </a:extLst>
          </xdr:cNvPr>
          <xdr:cNvSpPr>
            <a:spLocks/>
          </xdr:cNvSpPr>
        </xdr:nvSpPr>
        <xdr:spPr bwMode="auto">
          <a:xfrm>
            <a:off x="236538" y="150812"/>
            <a:ext cx="39688" cy="39688"/>
          </a:xfrm>
          <a:custGeom>
            <a:avLst/>
            <a:gdLst>
              <a:gd name="T0" fmla="*/ 19 w 22"/>
              <a:gd name="T1" fmla="*/ 22 h 22"/>
              <a:gd name="T2" fmla="*/ 22 w 22"/>
              <a:gd name="T3" fmla="*/ 6 h 22"/>
              <a:gd name="T4" fmla="*/ 20 w 22"/>
              <a:gd name="T5" fmla="*/ 3 h 22"/>
              <a:gd name="T6" fmla="*/ 3 w 22"/>
              <a:gd name="T7" fmla="*/ 0 h 22"/>
              <a:gd name="T8" fmla="*/ 0 w 22"/>
              <a:gd name="T9" fmla="*/ 19 h 22"/>
              <a:gd name="T10" fmla="*/ 19 w 22"/>
              <a:gd name="T11" fmla="*/ 22 h 22"/>
            </a:gdLst>
            <a:ahLst/>
            <a:cxnLst>
              <a:cxn ang="0">
                <a:pos x="T0" y="T1"/>
              </a:cxn>
              <a:cxn ang="0">
                <a:pos x="T2" y="T3"/>
              </a:cxn>
              <a:cxn ang="0">
                <a:pos x="T4" y="T5"/>
              </a:cxn>
              <a:cxn ang="0">
                <a:pos x="T6" y="T7"/>
              </a:cxn>
              <a:cxn ang="0">
                <a:pos x="T8" y="T9"/>
              </a:cxn>
              <a:cxn ang="0">
                <a:pos x="T10" y="T11"/>
              </a:cxn>
            </a:cxnLst>
            <a:rect l="0" t="0" r="r" b="b"/>
            <a:pathLst>
              <a:path w="22" h="22">
                <a:moveTo>
                  <a:pt x="19" y="22"/>
                </a:moveTo>
                <a:cubicBezTo>
                  <a:pt x="22" y="6"/>
                  <a:pt x="22" y="6"/>
                  <a:pt x="22" y="6"/>
                </a:cubicBezTo>
                <a:cubicBezTo>
                  <a:pt x="22" y="5"/>
                  <a:pt x="21" y="3"/>
                  <a:pt x="20" y="3"/>
                </a:cubicBezTo>
                <a:cubicBezTo>
                  <a:pt x="3" y="0"/>
                  <a:pt x="3" y="0"/>
                  <a:pt x="3" y="0"/>
                </a:cubicBezTo>
                <a:cubicBezTo>
                  <a:pt x="0" y="19"/>
                  <a:pt x="0" y="19"/>
                  <a:pt x="0" y="19"/>
                </a:cubicBezTo>
                <a:lnTo>
                  <a:pt x="19"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6" name="Freeform 39">
            <a:extLst>
              <a:ext uri="{FF2B5EF4-FFF2-40B4-BE49-F238E27FC236}">
                <a16:creationId xmlns:a16="http://schemas.microsoft.com/office/drawing/2014/main" id="{900CAE33-0260-E5DF-9598-00FC6F549FCE}"/>
              </a:ext>
            </a:extLst>
          </xdr:cNvPr>
          <xdr:cNvSpPr>
            <a:spLocks/>
          </xdr:cNvSpPr>
        </xdr:nvSpPr>
        <xdr:spPr bwMode="auto">
          <a:xfrm>
            <a:off x="419100" y="230187"/>
            <a:ext cx="42863" cy="41275"/>
          </a:xfrm>
          <a:custGeom>
            <a:avLst/>
            <a:gdLst>
              <a:gd name="T0" fmla="*/ 3 w 27"/>
              <a:gd name="T1" fmla="*/ 0 h 26"/>
              <a:gd name="T2" fmla="*/ 0 w 27"/>
              <a:gd name="T3" fmla="*/ 23 h 26"/>
              <a:gd name="T4" fmla="*/ 23 w 27"/>
              <a:gd name="T5" fmla="*/ 26 h 26"/>
              <a:gd name="T6" fmla="*/ 27 w 27"/>
              <a:gd name="T7" fmla="*/ 4 h 26"/>
              <a:gd name="T8" fmla="*/ 3 w 27"/>
              <a:gd name="T9" fmla="*/ 0 h 26"/>
            </a:gdLst>
            <a:ahLst/>
            <a:cxnLst>
              <a:cxn ang="0">
                <a:pos x="T0" y="T1"/>
              </a:cxn>
              <a:cxn ang="0">
                <a:pos x="T2" y="T3"/>
              </a:cxn>
              <a:cxn ang="0">
                <a:pos x="T4" y="T5"/>
              </a:cxn>
              <a:cxn ang="0">
                <a:pos x="T6" y="T7"/>
              </a:cxn>
              <a:cxn ang="0">
                <a:pos x="T8" y="T9"/>
              </a:cxn>
            </a:cxnLst>
            <a:rect l="0" t="0" r="r" b="b"/>
            <a:pathLst>
              <a:path w="27" h="26">
                <a:moveTo>
                  <a:pt x="3" y="0"/>
                </a:moveTo>
                <a:lnTo>
                  <a:pt x="0" y="23"/>
                </a:lnTo>
                <a:lnTo>
                  <a:pt x="23" y="26"/>
                </a:lnTo>
                <a:lnTo>
                  <a:pt x="27" y="4"/>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7" name="Freeform 40">
            <a:extLst>
              <a:ext uri="{FF2B5EF4-FFF2-40B4-BE49-F238E27FC236}">
                <a16:creationId xmlns:a16="http://schemas.microsoft.com/office/drawing/2014/main" id="{B24B5E7C-07A6-EA8C-0C87-60BDDE023B12}"/>
              </a:ext>
            </a:extLst>
          </xdr:cNvPr>
          <xdr:cNvSpPr>
            <a:spLocks/>
          </xdr:cNvSpPr>
        </xdr:nvSpPr>
        <xdr:spPr bwMode="auto">
          <a:xfrm>
            <a:off x="322263" y="214312"/>
            <a:ext cx="41275" cy="41275"/>
          </a:xfrm>
          <a:custGeom>
            <a:avLst/>
            <a:gdLst>
              <a:gd name="T0" fmla="*/ 26 w 26"/>
              <a:gd name="T1" fmla="*/ 4 h 26"/>
              <a:gd name="T2" fmla="*/ 4 w 26"/>
              <a:gd name="T3" fmla="*/ 0 h 26"/>
              <a:gd name="T4" fmla="*/ 0 w 26"/>
              <a:gd name="T5" fmla="*/ 23 h 26"/>
              <a:gd name="T6" fmla="*/ 21 w 26"/>
              <a:gd name="T7" fmla="*/ 26 h 26"/>
              <a:gd name="T8" fmla="*/ 26 w 26"/>
              <a:gd name="T9" fmla="*/ 4 h 26"/>
            </a:gdLst>
            <a:ahLst/>
            <a:cxnLst>
              <a:cxn ang="0">
                <a:pos x="T0" y="T1"/>
              </a:cxn>
              <a:cxn ang="0">
                <a:pos x="T2" y="T3"/>
              </a:cxn>
              <a:cxn ang="0">
                <a:pos x="T4" y="T5"/>
              </a:cxn>
              <a:cxn ang="0">
                <a:pos x="T6" y="T7"/>
              </a:cxn>
              <a:cxn ang="0">
                <a:pos x="T8" y="T9"/>
              </a:cxn>
            </a:cxnLst>
            <a:rect l="0" t="0" r="r" b="b"/>
            <a:pathLst>
              <a:path w="26" h="26">
                <a:moveTo>
                  <a:pt x="26" y="4"/>
                </a:moveTo>
                <a:lnTo>
                  <a:pt x="4" y="0"/>
                </a:lnTo>
                <a:lnTo>
                  <a:pt x="0" y="23"/>
                </a:lnTo>
                <a:lnTo>
                  <a:pt x="21" y="26"/>
                </a:lnTo>
                <a:lnTo>
                  <a:pt x="26" y="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8" name="Freeform 41">
            <a:extLst>
              <a:ext uri="{FF2B5EF4-FFF2-40B4-BE49-F238E27FC236}">
                <a16:creationId xmlns:a16="http://schemas.microsoft.com/office/drawing/2014/main" id="{B6522B54-E0C2-53BF-B733-BA44FFF3990D}"/>
              </a:ext>
            </a:extLst>
          </xdr:cNvPr>
          <xdr:cNvSpPr>
            <a:spLocks/>
          </xdr:cNvSpPr>
        </xdr:nvSpPr>
        <xdr:spPr bwMode="auto">
          <a:xfrm>
            <a:off x="377825" y="176212"/>
            <a:ext cx="42863" cy="41275"/>
          </a:xfrm>
          <a:custGeom>
            <a:avLst/>
            <a:gdLst>
              <a:gd name="T0" fmla="*/ 22 w 27"/>
              <a:gd name="T1" fmla="*/ 26 h 26"/>
              <a:gd name="T2" fmla="*/ 27 w 27"/>
              <a:gd name="T3" fmla="*/ 4 h 26"/>
              <a:gd name="T4" fmla="*/ 4 w 27"/>
              <a:gd name="T5" fmla="*/ 0 h 26"/>
              <a:gd name="T6" fmla="*/ 0 w 27"/>
              <a:gd name="T7" fmla="*/ 21 h 26"/>
              <a:gd name="T8" fmla="*/ 22 w 27"/>
              <a:gd name="T9" fmla="*/ 26 h 26"/>
            </a:gdLst>
            <a:ahLst/>
            <a:cxnLst>
              <a:cxn ang="0">
                <a:pos x="T0" y="T1"/>
              </a:cxn>
              <a:cxn ang="0">
                <a:pos x="T2" y="T3"/>
              </a:cxn>
              <a:cxn ang="0">
                <a:pos x="T4" y="T5"/>
              </a:cxn>
              <a:cxn ang="0">
                <a:pos x="T6" y="T7"/>
              </a:cxn>
              <a:cxn ang="0">
                <a:pos x="T8" y="T9"/>
              </a:cxn>
            </a:cxnLst>
            <a:rect l="0" t="0" r="r" b="b"/>
            <a:pathLst>
              <a:path w="27" h="26">
                <a:moveTo>
                  <a:pt x="22" y="26"/>
                </a:moveTo>
                <a:lnTo>
                  <a:pt x="27" y="4"/>
                </a:lnTo>
                <a:lnTo>
                  <a:pt x="4" y="0"/>
                </a:lnTo>
                <a:lnTo>
                  <a:pt x="0" y="21"/>
                </a:lnTo>
                <a:lnTo>
                  <a:pt x="22" y="2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19" name="Freeform 42">
            <a:extLst>
              <a:ext uri="{FF2B5EF4-FFF2-40B4-BE49-F238E27FC236}">
                <a16:creationId xmlns:a16="http://schemas.microsoft.com/office/drawing/2014/main" id="{8D44657B-16A7-AF0B-338B-5441117E3385}"/>
              </a:ext>
            </a:extLst>
          </xdr:cNvPr>
          <xdr:cNvSpPr>
            <a:spLocks/>
          </xdr:cNvSpPr>
        </xdr:nvSpPr>
        <xdr:spPr bwMode="auto">
          <a:xfrm>
            <a:off x="368300" y="222250"/>
            <a:ext cx="42863" cy="42863"/>
          </a:xfrm>
          <a:custGeom>
            <a:avLst/>
            <a:gdLst>
              <a:gd name="T0" fmla="*/ 0 w 27"/>
              <a:gd name="T1" fmla="*/ 22 h 27"/>
              <a:gd name="T2" fmla="*/ 24 w 27"/>
              <a:gd name="T3" fmla="*/ 27 h 27"/>
              <a:gd name="T4" fmla="*/ 27 w 27"/>
              <a:gd name="T5" fmla="*/ 4 h 27"/>
              <a:gd name="T6" fmla="*/ 4 w 27"/>
              <a:gd name="T7" fmla="*/ 0 h 27"/>
              <a:gd name="T8" fmla="*/ 0 w 27"/>
              <a:gd name="T9" fmla="*/ 22 h 27"/>
            </a:gdLst>
            <a:ahLst/>
            <a:cxnLst>
              <a:cxn ang="0">
                <a:pos x="T0" y="T1"/>
              </a:cxn>
              <a:cxn ang="0">
                <a:pos x="T2" y="T3"/>
              </a:cxn>
              <a:cxn ang="0">
                <a:pos x="T4" y="T5"/>
              </a:cxn>
              <a:cxn ang="0">
                <a:pos x="T6" y="T7"/>
              </a:cxn>
              <a:cxn ang="0">
                <a:pos x="T8" y="T9"/>
              </a:cxn>
            </a:cxnLst>
            <a:rect l="0" t="0" r="r" b="b"/>
            <a:pathLst>
              <a:path w="27" h="27">
                <a:moveTo>
                  <a:pt x="0" y="22"/>
                </a:moveTo>
                <a:lnTo>
                  <a:pt x="24" y="27"/>
                </a:lnTo>
                <a:lnTo>
                  <a:pt x="27" y="4"/>
                </a:lnTo>
                <a:lnTo>
                  <a:pt x="4"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0" name="Freeform 43">
            <a:extLst>
              <a:ext uri="{FF2B5EF4-FFF2-40B4-BE49-F238E27FC236}">
                <a16:creationId xmlns:a16="http://schemas.microsoft.com/office/drawing/2014/main" id="{F16A2509-33F8-1783-A51C-72A0694F24B7}"/>
              </a:ext>
            </a:extLst>
          </xdr:cNvPr>
          <xdr:cNvSpPr>
            <a:spLocks/>
          </xdr:cNvSpPr>
        </xdr:nvSpPr>
        <xdr:spPr bwMode="auto">
          <a:xfrm>
            <a:off x="330200" y="168275"/>
            <a:ext cx="41275" cy="39688"/>
          </a:xfrm>
          <a:custGeom>
            <a:avLst/>
            <a:gdLst>
              <a:gd name="T0" fmla="*/ 22 w 22"/>
              <a:gd name="T1" fmla="*/ 3 h 21"/>
              <a:gd name="T2" fmla="*/ 6 w 22"/>
              <a:gd name="T3" fmla="*/ 0 h 21"/>
              <a:gd name="T4" fmla="*/ 3 w 22"/>
              <a:gd name="T5" fmla="*/ 2 h 21"/>
              <a:gd name="T6" fmla="*/ 0 w 22"/>
              <a:gd name="T7" fmla="*/ 18 h 21"/>
              <a:gd name="T8" fmla="*/ 19 w 22"/>
              <a:gd name="T9" fmla="*/ 21 h 21"/>
              <a:gd name="T10" fmla="*/ 22 w 22"/>
              <a:gd name="T11" fmla="*/ 3 h 21"/>
            </a:gdLst>
            <a:ahLst/>
            <a:cxnLst>
              <a:cxn ang="0">
                <a:pos x="T0" y="T1"/>
              </a:cxn>
              <a:cxn ang="0">
                <a:pos x="T2" y="T3"/>
              </a:cxn>
              <a:cxn ang="0">
                <a:pos x="T4" y="T5"/>
              </a:cxn>
              <a:cxn ang="0">
                <a:pos x="T6" y="T7"/>
              </a:cxn>
              <a:cxn ang="0">
                <a:pos x="T8" y="T9"/>
              </a:cxn>
              <a:cxn ang="0">
                <a:pos x="T10" y="T11"/>
              </a:cxn>
            </a:cxnLst>
            <a:rect l="0" t="0" r="r" b="b"/>
            <a:pathLst>
              <a:path w="22" h="21">
                <a:moveTo>
                  <a:pt x="22" y="3"/>
                </a:moveTo>
                <a:cubicBezTo>
                  <a:pt x="6" y="0"/>
                  <a:pt x="6" y="0"/>
                  <a:pt x="6" y="0"/>
                </a:cubicBezTo>
                <a:cubicBezTo>
                  <a:pt x="4" y="0"/>
                  <a:pt x="3" y="1"/>
                  <a:pt x="3" y="2"/>
                </a:cubicBezTo>
                <a:cubicBezTo>
                  <a:pt x="0" y="18"/>
                  <a:pt x="0" y="18"/>
                  <a:pt x="0" y="18"/>
                </a:cubicBezTo>
                <a:cubicBezTo>
                  <a:pt x="19" y="21"/>
                  <a:pt x="19" y="21"/>
                  <a:pt x="19" y="21"/>
                </a:cubicBezTo>
                <a:lnTo>
                  <a:pt x="22"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1" name="Freeform 44">
            <a:extLst>
              <a:ext uri="{FF2B5EF4-FFF2-40B4-BE49-F238E27FC236}">
                <a16:creationId xmlns:a16="http://schemas.microsoft.com/office/drawing/2014/main" id="{209E31E5-2E59-9623-BA14-79B586ED492B}"/>
              </a:ext>
            </a:extLst>
          </xdr:cNvPr>
          <xdr:cNvSpPr>
            <a:spLocks/>
          </xdr:cNvSpPr>
        </xdr:nvSpPr>
        <xdr:spPr bwMode="auto">
          <a:xfrm>
            <a:off x="425450" y="184150"/>
            <a:ext cx="42863" cy="39688"/>
          </a:xfrm>
          <a:custGeom>
            <a:avLst/>
            <a:gdLst>
              <a:gd name="T0" fmla="*/ 20 w 23"/>
              <a:gd name="T1" fmla="*/ 22 h 22"/>
              <a:gd name="T2" fmla="*/ 23 w 23"/>
              <a:gd name="T3" fmla="*/ 6 h 22"/>
              <a:gd name="T4" fmla="*/ 21 w 23"/>
              <a:gd name="T5" fmla="*/ 3 h 22"/>
              <a:gd name="T6" fmla="*/ 3 w 23"/>
              <a:gd name="T7" fmla="*/ 0 h 22"/>
              <a:gd name="T8" fmla="*/ 0 w 23"/>
              <a:gd name="T9" fmla="*/ 19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3" y="6"/>
                  <a:pt x="23" y="6"/>
                  <a:pt x="23" y="6"/>
                </a:cubicBezTo>
                <a:cubicBezTo>
                  <a:pt x="23" y="5"/>
                  <a:pt x="22" y="3"/>
                  <a:pt x="21" y="3"/>
                </a:cubicBezTo>
                <a:cubicBezTo>
                  <a:pt x="3" y="0"/>
                  <a:pt x="3" y="0"/>
                  <a:pt x="3" y="0"/>
                </a:cubicBezTo>
                <a:cubicBezTo>
                  <a:pt x="0" y="19"/>
                  <a:pt x="0" y="19"/>
                  <a:pt x="0" y="19"/>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2" name="Freeform 45">
            <a:extLst>
              <a:ext uri="{FF2B5EF4-FFF2-40B4-BE49-F238E27FC236}">
                <a16:creationId xmlns:a16="http://schemas.microsoft.com/office/drawing/2014/main" id="{80FF21E4-B3F5-7E09-BD95-CAD780EB2042}"/>
              </a:ext>
            </a:extLst>
          </xdr:cNvPr>
          <xdr:cNvSpPr>
            <a:spLocks/>
          </xdr:cNvSpPr>
        </xdr:nvSpPr>
        <xdr:spPr bwMode="auto">
          <a:xfrm>
            <a:off x="608013" y="263525"/>
            <a:ext cx="42863" cy="39688"/>
          </a:xfrm>
          <a:custGeom>
            <a:avLst/>
            <a:gdLst>
              <a:gd name="T0" fmla="*/ 4 w 27"/>
              <a:gd name="T1" fmla="*/ 0 h 25"/>
              <a:gd name="T2" fmla="*/ 0 w 27"/>
              <a:gd name="T3" fmla="*/ 22 h 25"/>
              <a:gd name="T4" fmla="*/ 24 w 27"/>
              <a:gd name="T5" fmla="*/ 25 h 25"/>
              <a:gd name="T6" fmla="*/ 27 w 27"/>
              <a:gd name="T7" fmla="*/ 3 h 25"/>
              <a:gd name="T8" fmla="*/ 4 w 27"/>
              <a:gd name="T9" fmla="*/ 0 h 25"/>
            </a:gdLst>
            <a:ahLst/>
            <a:cxnLst>
              <a:cxn ang="0">
                <a:pos x="T0" y="T1"/>
              </a:cxn>
              <a:cxn ang="0">
                <a:pos x="T2" y="T3"/>
              </a:cxn>
              <a:cxn ang="0">
                <a:pos x="T4" y="T5"/>
              </a:cxn>
              <a:cxn ang="0">
                <a:pos x="T6" y="T7"/>
              </a:cxn>
              <a:cxn ang="0">
                <a:pos x="T8" y="T9"/>
              </a:cxn>
            </a:cxnLst>
            <a:rect l="0" t="0" r="r" b="b"/>
            <a:pathLst>
              <a:path w="27" h="25">
                <a:moveTo>
                  <a:pt x="4" y="0"/>
                </a:moveTo>
                <a:lnTo>
                  <a:pt x="0" y="22"/>
                </a:lnTo>
                <a:lnTo>
                  <a:pt x="24" y="25"/>
                </a:lnTo>
                <a:lnTo>
                  <a:pt x="27" y="3"/>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3" name="Freeform 46">
            <a:extLst>
              <a:ext uri="{FF2B5EF4-FFF2-40B4-BE49-F238E27FC236}">
                <a16:creationId xmlns:a16="http://schemas.microsoft.com/office/drawing/2014/main" id="{F9D41B3C-374B-0241-A5C3-88890D9B724E}"/>
              </a:ext>
            </a:extLst>
          </xdr:cNvPr>
          <xdr:cNvSpPr>
            <a:spLocks/>
          </xdr:cNvSpPr>
        </xdr:nvSpPr>
        <xdr:spPr bwMode="auto">
          <a:xfrm>
            <a:off x="600075" y="311150"/>
            <a:ext cx="41275" cy="42863"/>
          </a:xfrm>
          <a:custGeom>
            <a:avLst/>
            <a:gdLst>
              <a:gd name="T0" fmla="*/ 3 w 26"/>
              <a:gd name="T1" fmla="*/ 0 h 27"/>
              <a:gd name="T2" fmla="*/ 0 w 26"/>
              <a:gd name="T3" fmla="*/ 22 h 27"/>
              <a:gd name="T4" fmla="*/ 23 w 26"/>
              <a:gd name="T5" fmla="*/ 27 h 27"/>
              <a:gd name="T6" fmla="*/ 26 w 26"/>
              <a:gd name="T7" fmla="*/ 3 h 27"/>
              <a:gd name="T8" fmla="*/ 3 w 26"/>
              <a:gd name="T9" fmla="*/ 0 h 27"/>
            </a:gdLst>
            <a:ahLst/>
            <a:cxnLst>
              <a:cxn ang="0">
                <a:pos x="T0" y="T1"/>
              </a:cxn>
              <a:cxn ang="0">
                <a:pos x="T2" y="T3"/>
              </a:cxn>
              <a:cxn ang="0">
                <a:pos x="T4" y="T5"/>
              </a:cxn>
              <a:cxn ang="0">
                <a:pos x="T6" y="T7"/>
              </a:cxn>
              <a:cxn ang="0">
                <a:pos x="T8" y="T9"/>
              </a:cxn>
            </a:cxnLst>
            <a:rect l="0" t="0" r="r" b="b"/>
            <a:pathLst>
              <a:path w="26" h="27">
                <a:moveTo>
                  <a:pt x="3" y="0"/>
                </a:moveTo>
                <a:lnTo>
                  <a:pt x="0" y="22"/>
                </a:lnTo>
                <a:lnTo>
                  <a:pt x="23" y="27"/>
                </a:lnTo>
                <a:lnTo>
                  <a:pt x="26" y="3"/>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4" name="Freeform 47">
            <a:extLst>
              <a:ext uri="{FF2B5EF4-FFF2-40B4-BE49-F238E27FC236}">
                <a16:creationId xmlns:a16="http://schemas.microsoft.com/office/drawing/2014/main" id="{581894C9-1ABA-439C-A2B8-75518672DB71}"/>
              </a:ext>
            </a:extLst>
          </xdr:cNvPr>
          <xdr:cNvSpPr>
            <a:spLocks/>
          </xdr:cNvSpPr>
        </xdr:nvSpPr>
        <xdr:spPr bwMode="auto">
          <a:xfrm>
            <a:off x="512763" y="247650"/>
            <a:ext cx="41275" cy="41275"/>
          </a:xfrm>
          <a:custGeom>
            <a:avLst/>
            <a:gdLst>
              <a:gd name="T0" fmla="*/ 26 w 26"/>
              <a:gd name="T1" fmla="*/ 4 h 26"/>
              <a:gd name="T2" fmla="*/ 4 w 26"/>
              <a:gd name="T3" fmla="*/ 0 h 26"/>
              <a:gd name="T4" fmla="*/ 0 w 26"/>
              <a:gd name="T5" fmla="*/ 22 h 26"/>
              <a:gd name="T6" fmla="*/ 22 w 26"/>
              <a:gd name="T7" fmla="*/ 26 h 26"/>
              <a:gd name="T8" fmla="*/ 26 w 26"/>
              <a:gd name="T9" fmla="*/ 4 h 26"/>
            </a:gdLst>
            <a:ahLst/>
            <a:cxnLst>
              <a:cxn ang="0">
                <a:pos x="T0" y="T1"/>
              </a:cxn>
              <a:cxn ang="0">
                <a:pos x="T2" y="T3"/>
              </a:cxn>
              <a:cxn ang="0">
                <a:pos x="T4" y="T5"/>
              </a:cxn>
              <a:cxn ang="0">
                <a:pos x="T6" y="T7"/>
              </a:cxn>
              <a:cxn ang="0">
                <a:pos x="T8" y="T9"/>
              </a:cxn>
            </a:cxnLst>
            <a:rect l="0" t="0" r="r" b="b"/>
            <a:pathLst>
              <a:path w="26" h="26">
                <a:moveTo>
                  <a:pt x="26" y="4"/>
                </a:moveTo>
                <a:lnTo>
                  <a:pt x="4" y="0"/>
                </a:lnTo>
                <a:lnTo>
                  <a:pt x="0" y="22"/>
                </a:lnTo>
                <a:lnTo>
                  <a:pt x="22" y="26"/>
                </a:lnTo>
                <a:lnTo>
                  <a:pt x="26" y="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5" name="Freeform 48">
            <a:extLst>
              <a:ext uri="{FF2B5EF4-FFF2-40B4-BE49-F238E27FC236}">
                <a16:creationId xmlns:a16="http://schemas.microsoft.com/office/drawing/2014/main" id="{AB26A4C6-8D4E-8575-B15C-5DA70B32B3DA}"/>
              </a:ext>
            </a:extLst>
          </xdr:cNvPr>
          <xdr:cNvSpPr>
            <a:spLocks/>
          </xdr:cNvSpPr>
        </xdr:nvSpPr>
        <xdr:spPr bwMode="auto">
          <a:xfrm>
            <a:off x="568325" y="207962"/>
            <a:ext cx="42863" cy="39688"/>
          </a:xfrm>
          <a:custGeom>
            <a:avLst/>
            <a:gdLst>
              <a:gd name="T0" fmla="*/ 23 w 27"/>
              <a:gd name="T1" fmla="*/ 25 h 25"/>
              <a:gd name="T2" fmla="*/ 27 w 27"/>
              <a:gd name="T3" fmla="*/ 4 h 25"/>
              <a:gd name="T4" fmla="*/ 3 w 27"/>
              <a:gd name="T5" fmla="*/ 0 h 25"/>
              <a:gd name="T6" fmla="*/ 0 w 27"/>
              <a:gd name="T7" fmla="*/ 22 h 25"/>
              <a:gd name="T8" fmla="*/ 23 w 27"/>
              <a:gd name="T9" fmla="*/ 25 h 25"/>
            </a:gdLst>
            <a:ahLst/>
            <a:cxnLst>
              <a:cxn ang="0">
                <a:pos x="T0" y="T1"/>
              </a:cxn>
              <a:cxn ang="0">
                <a:pos x="T2" y="T3"/>
              </a:cxn>
              <a:cxn ang="0">
                <a:pos x="T4" y="T5"/>
              </a:cxn>
              <a:cxn ang="0">
                <a:pos x="T6" y="T7"/>
              </a:cxn>
              <a:cxn ang="0">
                <a:pos x="T8" y="T9"/>
              </a:cxn>
            </a:cxnLst>
            <a:rect l="0" t="0" r="r" b="b"/>
            <a:pathLst>
              <a:path w="27" h="25">
                <a:moveTo>
                  <a:pt x="23" y="25"/>
                </a:moveTo>
                <a:lnTo>
                  <a:pt x="27" y="4"/>
                </a:lnTo>
                <a:lnTo>
                  <a:pt x="3" y="0"/>
                </a:lnTo>
                <a:lnTo>
                  <a:pt x="0" y="22"/>
                </a:lnTo>
                <a:lnTo>
                  <a:pt x="23" y="2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6" name="Freeform 49">
            <a:extLst>
              <a:ext uri="{FF2B5EF4-FFF2-40B4-BE49-F238E27FC236}">
                <a16:creationId xmlns:a16="http://schemas.microsoft.com/office/drawing/2014/main" id="{DC9737F3-585D-8F86-EA32-6214396BBB2D}"/>
              </a:ext>
            </a:extLst>
          </xdr:cNvPr>
          <xdr:cNvSpPr>
            <a:spLocks/>
          </xdr:cNvSpPr>
        </xdr:nvSpPr>
        <xdr:spPr bwMode="auto">
          <a:xfrm>
            <a:off x="560388" y="255587"/>
            <a:ext cx="42863" cy="41275"/>
          </a:xfrm>
          <a:custGeom>
            <a:avLst/>
            <a:gdLst>
              <a:gd name="T0" fmla="*/ 0 w 27"/>
              <a:gd name="T1" fmla="*/ 22 h 26"/>
              <a:gd name="T2" fmla="*/ 23 w 27"/>
              <a:gd name="T3" fmla="*/ 26 h 26"/>
              <a:gd name="T4" fmla="*/ 27 w 27"/>
              <a:gd name="T5" fmla="*/ 4 h 26"/>
              <a:gd name="T6" fmla="*/ 4 w 27"/>
              <a:gd name="T7" fmla="*/ 0 h 26"/>
              <a:gd name="T8" fmla="*/ 0 w 27"/>
              <a:gd name="T9" fmla="*/ 22 h 26"/>
            </a:gdLst>
            <a:ahLst/>
            <a:cxnLst>
              <a:cxn ang="0">
                <a:pos x="T0" y="T1"/>
              </a:cxn>
              <a:cxn ang="0">
                <a:pos x="T2" y="T3"/>
              </a:cxn>
              <a:cxn ang="0">
                <a:pos x="T4" y="T5"/>
              </a:cxn>
              <a:cxn ang="0">
                <a:pos x="T6" y="T7"/>
              </a:cxn>
              <a:cxn ang="0">
                <a:pos x="T8" y="T9"/>
              </a:cxn>
            </a:cxnLst>
            <a:rect l="0" t="0" r="r" b="b"/>
            <a:pathLst>
              <a:path w="27" h="26">
                <a:moveTo>
                  <a:pt x="0" y="22"/>
                </a:moveTo>
                <a:lnTo>
                  <a:pt x="23" y="26"/>
                </a:lnTo>
                <a:lnTo>
                  <a:pt x="27" y="4"/>
                </a:lnTo>
                <a:lnTo>
                  <a:pt x="4"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7" name="Freeform 50">
            <a:extLst>
              <a:ext uri="{FF2B5EF4-FFF2-40B4-BE49-F238E27FC236}">
                <a16:creationId xmlns:a16="http://schemas.microsoft.com/office/drawing/2014/main" id="{3195B1A4-C48E-1EA6-01F2-F9A8FEEBF7C4}"/>
              </a:ext>
            </a:extLst>
          </xdr:cNvPr>
          <xdr:cNvSpPr>
            <a:spLocks/>
          </xdr:cNvSpPr>
        </xdr:nvSpPr>
        <xdr:spPr bwMode="auto">
          <a:xfrm>
            <a:off x="520700" y="201612"/>
            <a:ext cx="39688" cy="39688"/>
          </a:xfrm>
          <a:custGeom>
            <a:avLst/>
            <a:gdLst>
              <a:gd name="T0" fmla="*/ 22 w 22"/>
              <a:gd name="T1" fmla="*/ 2 h 21"/>
              <a:gd name="T2" fmla="*/ 6 w 22"/>
              <a:gd name="T3" fmla="*/ 0 h 21"/>
              <a:gd name="T4" fmla="*/ 3 w 22"/>
              <a:gd name="T5" fmla="*/ 2 h 21"/>
              <a:gd name="T6" fmla="*/ 0 w 22"/>
              <a:gd name="T7" fmla="*/ 18 h 21"/>
              <a:gd name="T8" fmla="*/ 19 w 22"/>
              <a:gd name="T9" fmla="*/ 21 h 21"/>
              <a:gd name="T10" fmla="*/ 22 w 22"/>
              <a:gd name="T11" fmla="*/ 2 h 21"/>
            </a:gdLst>
            <a:ahLst/>
            <a:cxnLst>
              <a:cxn ang="0">
                <a:pos x="T0" y="T1"/>
              </a:cxn>
              <a:cxn ang="0">
                <a:pos x="T2" y="T3"/>
              </a:cxn>
              <a:cxn ang="0">
                <a:pos x="T4" y="T5"/>
              </a:cxn>
              <a:cxn ang="0">
                <a:pos x="T6" y="T7"/>
              </a:cxn>
              <a:cxn ang="0">
                <a:pos x="T8" y="T9"/>
              </a:cxn>
              <a:cxn ang="0">
                <a:pos x="T10" y="T11"/>
              </a:cxn>
            </a:cxnLst>
            <a:rect l="0" t="0" r="r" b="b"/>
            <a:pathLst>
              <a:path w="22" h="21">
                <a:moveTo>
                  <a:pt x="22" y="2"/>
                </a:moveTo>
                <a:cubicBezTo>
                  <a:pt x="6" y="0"/>
                  <a:pt x="6" y="0"/>
                  <a:pt x="6" y="0"/>
                </a:cubicBezTo>
                <a:cubicBezTo>
                  <a:pt x="4" y="0"/>
                  <a:pt x="3" y="1"/>
                  <a:pt x="3" y="2"/>
                </a:cubicBezTo>
                <a:cubicBezTo>
                  <a:pt x="0" y="18"/>
                  <a:pt x="0" y="18"/>
                  <a:pt x="0" y="18"/>
                </a:cubicBezTo>
                <a:cubicBezTo>
                  <a:pt x="19" y="21"/>
                  <a:pt x="19" y="21"/>
                  <a:pt x="19" y="21"/>
                </a:cubicBezTo>
                <a:lnTo>
                  <a:pt x="22" y="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8" name="Freeform 51">
            <a:extLst>
              <a:ext uri="{FF2B5EF4-FFF2-40B4-BE49-F238E27FC236}">
                <a16:creationId xmlns:a16="http://schemas.microsoft.com/office/drawing/2014/main" id="{A2B2DAAB-1F4E-174B-86BC-49C895CF568D}"/>
              </a:ext>
            </a:extLst>
          </xdr:cNvPr>
          <xdr:cNvSpPr>
            <a:spLocks/>
          </xdr:cNvSpPr>
        </xdr:nvSpPr>
        <xdr:spPr bwMode="auto">
          <a:xfrm>
            <a:off x="617538" y="217487"/>
            <a:ext cx="41275" cy="38100"/>
          </a:xfrm>
          <a:custGeom>
            <a:avLst/>
            <a:gdLst>
              <a:gd name="T0" fmla="*/ 19 w 22"/>
              <a:gd name="T1" fmla="*/ 21 h 21"/>
              <a:gd name="T2" fmla="*/ 22 w 22"/>
              <a:gd name="T3" fmla="*/ 5 h 21"/>
              <a:gd name="T4" fmla="*/ 20 w 22"/>
              <a:gd name="T5" fmla="*/ 2 h 21"/>
              <a:gd name="T6" fmla="*/ 2 w 22"/>
              <a:gd name="T7" fmla="*/ 0 h 21"/>
              <a:gd name="T8" fmla="*/ 0 w 22"/>
              <a:gd name="T9" fmla="*/ 18 h 21"/>
              <a:gd name="T10" fmla="*/ 19 w 22"/>
              <a:gd name="T11" fmla="*/ 21 h 21"/>
            </a:gdLst>
            <a:ahLst/>
            <a:cxnLst>
              <a:cxn ang="0">
                <a:pos x="T0" y="T1"/>
              </a:cxn>
              <a:cxn ang="0">
                <a:pos x="T2" y="T3"/>
              </a:cxn>
              <a:cxn ang="0">
                <a:pos x="T4" y="T5"/>
              </a:cxn>
              <a:cxn ang="0">
                <a:pos x="T6" y="T7"/>
              </a:cxn>
              <a:cxn ang="0">
                <a:pos x="T8" y="T9"/>
              </a:cxn>
              <a:cxn ang="0">
                <a:pos x="T10" y="T11"/>
              </a:cxn>
            </a:cxnLst>
            <a:rect l="0" t="0" r="r" b="b"/>
            <a:pathLst>
              <a:path w="22" h="21">
                <a:moveTo>
                  <a:pt x="19" y="21"/>
                </a:moveTo>
                <a:cubicBezTo>
                  <a:pt x="22" y="5"/>
                  <a:pt x="22" y="5"/>
                  <a:pt x="22" y="5"/>
                </a:cubicBezTo>
                <a:cubicBezTo>
                  <a:pt x="22" y="4"/>
                  <a:pt x="21" y="3"/>
                  <a:pt x="20" y="2"/>
                </a:cubicBezTo>
                <a:cubicBezTo>
                  <a:pt x="2" y="0"/>
                  <a:pt x="2" y="0"/>
                  <a:pt x="2" y="0"/>
                </a:cubicBezTo>
                <a:cubicBezTo>
                  <a:pt x="0" y="18"/>
                  <a:pt x="0" y="18"/>
                  <a:pt x="0" y="18"/>
                </a:cubicBezTo>
                <a:lnTo>
                  <a:pt x="19" y="21"/>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29" name="Freeform 52">
            <a:extLst>
              <a:ext uri="{FF2B5EF4-FFF2-40B4-BE49-F238E27FC236}">
                <a16:creationId xmlns:a16="http://schemas.microsoft.com/office/drawing/2014/main" id="{95FE5201-F742-3482-2728-F7C137FC5560}"/>
              </a:ext>
            </a:extLst>
          </xdr:cNvPr>
          <xdr:cNvSpPr>
            <a:spLocks noEditPoints="1"/>
          </xdr:cNvSpPr>
        </xdr:nvSpPr>
        <xdr:spPr bwMode="auto">
          <a:xfrm>
            <a:off x="107950" y="109537"/>
            <a:ext cx="608013" cy="268288"/>
          </a:xfrm>
          <a:custGeom>
            <a:avLst/>
            <a:gdLst>
              <a:gd name="T0" fmla="*/ 311 w 330"/>
              <a:gd name="T1" fmla="*/ 65 h 145"/>
              <a:gd name="T2" fmla="*/ 309 w 330"/>
              <a:gd name="T3" fmla="*/ 50 h 145"/>
              <a:gd name="T4" fmla="*/ 216 w 330"/>
              <a:gd name="T5" fmla="*/ 39 h 145"/>
              <a:gd name="T6" fmla="*/ 208 w 330"/>
              <a:gd name="T7" fmla="*/ 48 h 145"/>
              <a:gd name="T8" fmla="*/ 206 w 330"/>
              <a:gd name="T9" fmla="*/ 33 h 145"/>
              <a:gd name="T10" fmla="*/ 113 w 330"/>
              <a:gd name="T11" fmla="*/ 21 h 145"/>
              <a:gd name="T12" fmla="*/ 104 w 330"/>
              <a:gd name="T13" fmla="*/ 30 h 145"/>
              <a:gd name="T14" fmla="*/ 103 w 330"/>
              <a:gd name="T15" fmla="*/ 15 h 145"/>
              <a:gd name="T16" fmla="*/ 10 w 330"/>
              <a:gd name="T17" fmla="*/ 3 h 145"/>
              <a:gd name="T18" fmla="*/ 6 w 330"/>
              <a:gd name="T19" fmla="*/ 62 h 145"/>
              <a:gd name="T20" fmla="*/ 18 w 330"/>
              <a:gd name="T21" fmla="*/ 6 h 145"/>
              <a:gd name="T22" fmla="*/ 100 w 330"/>
              <a:gd name="T23" fmla="*/ 23 h 145"/>
              <a:gd name="T24" fmla="*/ 97 w 330"/>
              <a:gd name="T25" fmla="*/ 38 h 145"/>
              <a:gd name="T26" fmla="*/ 92 w 330"/>
              <a:gd name="T27" fmla="*/ 67 h 145"/>
              <a:gd name="T28" fmla="*/ 96 w 330"/>
              <a:gd name="T29" fmla="*/ 78 h 145"/>
              <a:gd name="T30" fmla="*/ 105 w 330"/>
              <a:gd name="T31" fmla="*/ 69 h 145"/>
              <a:gd name="T32" fmla="*/ 109 w 330"/>
              <a:gd name="T33" fmla="*/ 80 h 145"/>
              <a:gd name="T34" fmla="*/ 121 w 330"/>
              <a:gd name="T35" fmla="*/ 24 h 145"/>
              <a:gd name="T36" fmla="*/ 203 w 330"/>
              <a:gd name="T37" fmla="*/ 41 h 145"/>
              <a:gd name="T38" fmla="*/ 201 w 330"/>
              <a:gd name="T39" fmla="*/ 56 h 145"/>
              <a:gd name="T40" fmla="*/ 196 w 330"/>
              <a:gd name="T41" fmla="*/ 85 h 145"/>
              <a:gd name="T42" fmla="*/ 200 w 330"/>
              <a:gd name="T43" fmla="*/ 95 h 145"/>
              <a:gd name="T44" fmla="*/ 209 w 330"/>
              <a:gd name="T45" fmla="*/ 87 h 145"/>
              <a:gd name="T46" fmla="*/ 213 w 330"/>
              <a:gd name="T47" fmla="*/ 97 h 145"/>
              <a:gd name="T48" fmla="*/ 224 w 330"/>
              <a:gd name="T49" fmla="*/ 42 h 145"/>
              <a:gd name="T50" fmla="*/ 306 w 330"/>
              <a:gd name="T51" fmla="*/ 58 h 145"/>
              <a:gd name="T52" fmla="*/ 304 w 330"/>
              <a:gd name="T53" fmla="*/ 73 h 145"/>
              <a:gd name="T54" fmla="*/ 299 w 330"/>
              <a:gd name="T55" fmla="*/ 102 h 145"/>
              <a:gd name="T56" fmla="*/ 291 w 330"/>
              <a:gd name="T57" fmla="*/ 138 h 145"/>
              <a:gd name="T58" fmla="*/ 285 w 330"/>
              <a:gd name="T59" fmla="*/ 143 h 145"/>
              <a:gd name="T60" fmla="*/ 299 w 330"/>
              <a:gd name="T61" fmla="*/ 141 h 145"/>
              <a:gd name="T62" fmla="*/ 316 w 330"/>
              <a:gd name="T63" fmla="*/ 104 h 145"/>
              <a:gd name="T64" fmla="*/ 326 w 330"/>
              <a:gd name="T65" fmla="*/ 119 h 145"/>
              <a:gd name="T66" fmla="*/ 99 w 330"/>
              <a:gd name="T67" fmla="*/ 61 h 145"/>
              <a:gd name="T68" fmla="*/ 106 w 330"/>
              <a:gd name="T69" fmla="*/ 62 h 145"/>
              <a:gd name="T70" fmla="*/ 202 w 330"/>
              <a:gd name="T71" fmla="*/ 79 h 145"/>
              <a:gd name="T72" fmla="*/ 210 w 330"/>
              <a:gd name="T73" fmla="*/ 80 h 145"/>
              <a:gd name="T74" fmla="*/ 306 w 330"/>
              <a:gd name="T75" fmla="*/ 96 h 145"/>
              <a:gd name="T76" fmla="*/ 313 w 330"/>
              <a:gd name="T77" fmla="*/ 97 h 1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330" h="145">
                <a:moveTo>
                  <a:pt x="329" y="113"/>
                </a:moveTo>
                <a:cubicBezTo>
                  <a:pt x="311" y="65"/>
                  <a:pt x="311" y="65"/>
                  <a:pt x="311" y="65"/>
                </a:cubicBezTo>
                <a:cubicBezTo>
                  <a:pt x="312" y="55"/>
                  <a:pt x="312" y="55"/>
                  <a:pt x="312" y="55"/>
                </a:cubicBezTo>
                <a:cubicBezTo>
                  <a:pt x="313" y="52"/>
                  <a:pt x="311" y="50"/>
                  <a:pt x="309" y="50"/>
                </a:cubicBezTo>
                <a:cubicBezTo>
                  <a:pt x="221" y="36"/>
                  <a:pt x="221" y="36"/>
                  <a:pt x="221" y="36"/>
                </a:cubicBezTo>
                <a:cubicBezTo>
                  <a:pt x="219" y="36"/>
                  <a:pt x="217" y="37"/>
                  <a:pt x="216" y="39"/>
                </a:cubicBezTo>
                <a:cubicBezTo>
                  <a:pt x="213" y="62"/>
                  <a:pt x="213" y="62"/>
                  <a:pt x="213" y="62"/>
                </a:cubicBezTo>
                <a:cubicBezTo>
                  <a:pt x="208" y="48"/>
                  <a:pt x="208" y="48"/>
                  <a:pt x="208" y="48"/>
                </a:cubicBezTo>
                <a:cubicBezTo>
                  <a:pt x="209" y="38"/>
                  <a:pt x="209" y="38"/>
                  <a:pt x="209" y="38"/>
                </a:cubicBezTo>
                <a:cubicBezTo>
                  <a:pt x="210" y="35"/>
                  <a:pt x="208" y="33"/>
                  <a:pt x="206" y="33"/>
                </a:cubicBezTo>
                <a:cubicBezTo>
                  <a:pt x="118" y="18"/>
                  <a:pt x="118" y="18"/>
                  <a:pt x="118" y="18"/>
                </a:cubicBezTo>
                <a:cubicBezTo>
                  <a:pt x="116" y="18"/>
                  <a:pt x="114" y="19"/>
                  <a:pt x="113" y="21"/>
                </a:cubicBezTo>
                <a:cubicBezTo>
                  <a:pt x="109" y="45"/>
                  <a:pt x="109" y="45"/>
                  <a:pt x="109" y="45"/>
                </a:cubicBezTo>
                <a:cubicBezTo>
                  <a:pt x="104" y="30"/>
                  <a:pt x="104" y="30"/>
                  <a:pt x="104" y="30"/>
                </a:cubicBezTo>
                <a:cubicBezTo>
                  <a:pt x="106" y="20"/>
                  <a:pt x="106" y="20"/>
                  <a:pt x="106" y="20"/>
                </a:cubicBezTo>
                <a:cubicBezTo>
                  <a:pt x="106" y="17"/>
                  <a:pt x="105" y="15"/>
                  <a:pt x="103" y="15"/>
                </a:cubicBezTo>
                <a:cubicBezTo>
                  <a:pt x="14" y="0"/>
                  <a:pt x="14" y="0"/>
                  <a:pt x="14" y="0"/>
                </a:cubicBezTo>
                <a:cubicBezTo>
                  <a:pt x="12" y="0"/>
                  <a:pt x="10" y="1"/>
                  <a:pt x="10" y="3"/>
                </a:cubicBezTo>
                <a:cubicBezTo>
                  <a:pt x="0" y="62"/>
                  <a:pt x="0" y="62"/>
                  <a:pt x="0" y="62"/>
                </a:cubicBezTo>
                <a:cubicBezTo>
                  <a:pt x="6" y="62"/>
                  <a:pt x="6" y="62"/>
                  <a:pt x="6" y="62"/>
                </a:cubicBezTo>
                <a:cubicBezTo>
                  <a:pt x="15" y="9"/>
                  <a:pt x="15" y="9"/>
                  <a:pt x="15" y="9"/>
                </a:cubicBezTo>
                <a:cubicBezTo>
                  <a:pt x="15" y="7"/>
                  <a:pt x="16" y="6"/>
                  <a:pt x="18" y="6"/>
                </a:cubicBezTo>
                <a:cubicBezTo>
                  <a:pt x="97" y="20"/>
                  <a:pt x="97" y="20"/>
                  <a:pt x="97" y="20"/>
                </a:cubicBezTo>
                <a:cubicBezTo>
                  <a:pt x="99" y="20"/>
                  <a:pt x="100" y="21"/>
                  <a:pt x="100" y="23"/>
                </a:cubicBezTo>
                <a:cubicBezTo>
                  <a:pt x="97" y="36"/>
                  <a:pt x="97" y="36"/>
                  <a:pt x="97" y="36"/>
                </a:cubicBezTo>
                <a:cubicBezTo>
                  <a:pt x="97" y="38"/>
                  <a:pt x="97" y="38"/>
                  <a:pt x="97" y="38"/>
                </a:cubicBezTo>
                <a:cubicBezTo>
                  <a:pt x="93" y="60"/>
                  <a:pt x="93" y="60"/>
                  <a:pt x="93" y="60"/>
                </a:cubicBezTo>
                <a:cubicBezTo>
                  <a:pt x="92" y="67"/>
                  <a:pt x="92" y="67"/>
                  <a:pt x="92" y="67"/>
                </a:cubicBezTo>
                <a:cubicBezTo>
                  <a:pt x="90" y="77"/>
                  <a:pt x="90" y="77"/>
                  <a:pt x="90" y="77"/>
                </a:cubicBezTo>
                <a:cubicBezTo>
                  <a:pt x="96" y="78"/>
                  <a:pt x="96" y="78"/>
                  <a:pt x="96" y="78"/>
                </a:cubicBezTo>
                <a:cubicBezTo>
                  <a:pt x="98" y="68"/>
                  <a:pt x="98" y="68"/>
                  <a:pt x="98" y="68"/>
                </a:cubicBezTo>
                <a:cubicBezTo>
                  <a:pt x="105" y="69"/>
                  <a:pt x="105" y="69"/>
                  <a:pt x="105" y="69"/>
                </a:cubicBezTo>
                <a:cubicBezTo>
                  <a:pt x="104" y="79"/>
                  <a:pt x="104" y="79"/>
                  <a:pt x="104" y="79"/>
                </a:cubicBezTo>
                <a:cubicBezTo>
                  <a:pt x="109" y="80"/>
                  <a:pt x="109" y="80"/>
                  <a:pt x="109" y="80"/>
                </a:cubicBezTo>
                <a:cubicBezTo>
                  <a:pt x="118" y="27"/>
                  <a:pt x="118" y="27"/>
                  <a:pt x="118" y="27"/>
                </a:cubicBezTo>
                <a:cubicBezTo>
                  <a:pt x="119" y="25"/>
                  <a:pt x="120" y="24"/>
                  <a:pt x="121" y="24"/>
                </a:cubicBezTo>
                <a:cubicBezTo>
                  <a:pt x="201" y="38"/>
                  <a:pt x="201" y="38"/>
                  <a:pt x="201" y="38"/>
                </a:cubicBezTo>
                <a:cubicBezTo>
                  <a:pt x="202" y="38"/>
                  <a:pt x="203" y="39"/>
                  <a:pt x="203" y="41"/>
                </a:cubicBezTo>
                <a:cubicBezTo>
                  <a:pt x="201" y="54"/>
                  <a:pt x="201" y="54"/>
                  <a:pt x="201" y="54"/>
                </a:cubicBezTo>
                <a:cubicBezTo>
                  <a:pt x="201" y="56"/>
                  <a:pt x="201" y="56"/>
                  <a:pt x="201" y="56"/>
                </a:cubicBezTo>
                <a:cubicBezTo>
                  <a:pt x="197" y="78"/>
                  <a:pt x="197" y="78"/>
                  <a:pt x="197" y="78"/>
                </a:cubicBezTo>
                <a:cubicBezTo>
                  <a:pt x="196" y="85"/>
                  <a:pt x="196" y="85"/>
                  <a:pt x="196" y="85"/>
                </a:cubicBezTo>
                <a:cubicBezTo>
                  <a:pt x="194" y="94"/>
                  <a:pt x="194" y="94"/>
                  <a:pt x="194" y="94"/>
                </a:cubicBezTo>
                <a:cubicBezTo>
                  <a:pt x="200" y="95"/>
                  <a:pt x="200" y="95"/>
                  <a:pt x="200" y="95"/>
                </a:cubicBezTo>
                <a:cubicBezTo>
                  <a:pt x="201" y="86"/>
                  <a:pt x="201" y="86"/>
                  <a:pt x="201" y="86"/>
                </a:cubicBezTo>
                <a:cubicBezTo>
                  <a:pt x="209" y="87"/>
                  <a:pt x="209" y="87"/>
                  <a:pt x="209" y="87"/>
                </a:cubicBezTo>
                <a:cubicBezTo>
                  <a:pt x="207" y="97"/>
                  <a:pt x="207" y="97"/>
                  <a:pt x="207" y="97"/>
                </a:cubicBezTo>
                <a:cubicBezTo>
                  <a:pt x="213" y="97"/>
                  <a:pt x="213" y="97"/>
                  <a:pt x="213" y="97"/>
                </a:cubicBezTo>
                <a:cubicBezTo>
                  <a:pt x="221" y="45"/>
                  <a:pt x="221" y="45"/>
                  <a:pt x="221" y="45"/>
                </a:cubicBezTo>
                <a:cubicBezTo>
                  <a:pt x="221" y="43"/>
                  <a:pt x="223" y="42"/>
                  <a:pt x="224" y="42"/>
                </a:cubicBezTo>
                <a:cubicBezTo>
                  <a:pt x="304" y="55"/>
                  <a:pt x="304" y="55"/>
                  <a:pt x="304" y="55"/>
                </a:cubicBezTo>
                <a:cubicBezTo>
                  <a:pt x="306" y="55"/>
                  <a:pt x="306" y="57"/>
                  <a:pt x="306" y="58"/>
                </a:cubicBezTo>
                <a:cubicBezTo>
                  <a:pt x="304" y="71"/>
                  <a:pt x="304" y="71"/>
                  <a:pt x="304" y="71"/>
                </a:cubicBezTo>
                <a:cubicBezTo>
                  <a:pt x="304" y="73"/>
                  <a:pt x="304" y="73"/>
                  <a:pt x="304" y="73"/>
                </a:cubicBezTo>
                <a:cubicBezTo>
                  <a:pt x="300" y="95"/>
                  <a:pt x="300" y="95"/>
                  <a:pt x="300" y="95"/>
                </a:cubicBezTo>
                <a:cubicBezTo>
                  <a:pt x="299" y="102"/>
                  <a:pt x="299" y="102"/>
                  <a:pt x="299" y="102"/>
                </a:cubicBezTo>
                <a:cubicBezTo>
                  <a:pt x="294" y="136"/>
                  <a:pt x="294" y="136"/>
                  <a:pt x="294" y="136"/>
                </a:cubicBezTo>
                <a:cubicBezTo>
                  <a:pt x="294" y="137"/>
                  <a:pt x="292" y="138"/>
                  <a:pt x="291" y="138"/>
                </a:cubicBezTo>
                <a:cubicBezTo>
                  <a:pt x="286" y="137"/>
                  <a:pt x="286" y="137"/>
                  <a:pt x="286" y="137"/>
                </a:cubicBezTo>
                <a:cubicBezTo>
                  <a:pt x="285" y="143"/>
                  <a:pt x="285" y="143"/>
                  <a:pt x="285" y="143"/>
                </a:cubicBezTo>
                <a:cubicBezTo>
                  <a:pt x="294" y="144"/>
                  <a:pt x="294" y="144"/>
                  <a:pt x="294" y="144"/>
                </a:cubicBezTo>
                <a:cubicBezTo>
                  <a:pt x="296" y="145"/>
                  <a:pt x="298" y="143"/>
                  <a:pt x="299" y="141"/>
                </a:cubicBezTo>
                <a:cubicBezTo>
                  <a:pt x="305" y="103"/>
                  <a:pt x="305" y="103"/>
                  <a:pt x="305" y="103"/>
                </a:cubicBezTo>
                <a:cubicBezTo>
                  <a:pt x="316" y="104"/>
                  <a:pt x="316" y="104"/>
                  <a:pt x="316" y="104"/>
                </a:cubicBezTo>
                <a:cubicBezTo>
                  <a:pt x="320" y="116"/>
                  <a:pt x="320" y="116"/>
                  <a:pt x="320" y="116"/>
                </a:cubicBezTo>
                <a:cubicBezTo>
                  <a:pt x="321" y="119"/>
                  <a:pt x="324" y="120"/>
                  <a:pt x="326" y="119"/>
                </a:cubicBezTo>
                <a:cubicBezTo>
                  <a:pt x="329" y="118"/>
                  <a:pt x="330" y="115"/>
                  <a:pt x="329" y="113"/>
                </a:cubicBezTo>
                <a:close/>
                <a:moveTo>
                  <a:pt x="99" y="61"/>
                </a:moveTo>
                <a:cubicBezTo>
                  <a:pt x="101" y="48"/>
                  <a:pt x="101" y="48"/>
                  <a:pt x="101" y="48"/>
                </a:cubicBezTo>
                <a:cubicBezTo>
                  <a:pt x="106" y="62"/>
                  <a:pt x="106" y="62"/>
                  <a:pt x="106" y="62"/>
                </a:cubicBezTo>
                <a:lnTo>
                  <a:pt x="99" y="61"/>
                </a:lnTo>
                <a:close/>
                <a:moveTo>
                  <a:pt x="202" y="79"/>
                </a:moveTo>
                <a:cubicBezTo>
                  <a:pt x="205" y="66"/>
                  <a:pt x="205" y="66"/>
                  <a:pt x="205" y="66"/>
                </a:cubicBezTo>
                <a:cubicBezTo>
                  <a:pt x="210" y="80"/>
                  <a:pt x="210" y="80"/>
                  <a:pt x="210" y="80"/>
                </a:cubicBezTo>
                <a:lnTo>
                  <a:pt x="202" y="79"/>
                </a:lnTo>
                <a:close/>
                <a:moveTo>
                  <a:pt x="306" y="96"/>
                </a:moveTo>
                <a:cubicBezTo>
                  <a:pt x="308" y="83"/>
                  <a:pt x="308" y="83"/>
                  <a:pt x="308" y="83"/>
                </a:cubicBezTo>
                <a:cubicBezTo>
                  <a:pt x="313" y="97"/>
                  <a:pt x="313" y="97"/>
                  <a:pt x="313" y="97"/>
                </a:cubicBezTo>
                <a:lnTo>
                  <a:pt x="306" y="9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0" name="Freeform 53">
            <a:extLst>
              <a:ext uri="{FF2B5EF4-FFF2-40B4-BE49-F238E27FC236}">
                <a16:creationId xmlns:a16="http://schemas.microsoft.com/office/drawing/2014/main" id="{CE4D7478-56E0-6B93-ED73-8101DDCAB8D7}"/>
              </a:ext>
            </a:extLst>
          </xdr:cNvPr>
          <xdr:cNvSpPr>
            <a:spLocks/>
          </xdr:cNvSpPr>
        </xdr:nvSpPr>
        <xdr:spPr bwMode="auto">
          <a:xfrm>
            <a:off x="322263" y="85725"/>
            <a:ext cx="42863" cy="42863"/>
          </a:xfrm>
          <a:custGeom>
            <a:avLst/>
            <a:gdLst>
              <a:gd name="T0" fmla="*/ 4 w 27"/>
              <a:gd name="T1" fmla="*/ 0 h 27"/>
              <a:gd name="T2" fmla="*/ 0 w 27"/>
              <a:gd name="T3" fmla="*/ 22 h 27"/>
              <a:gd name="T4" fmla="*/ 24 w 27"/>
              <a:gd name="T5" fmla="*/ 27 h 27"/>
              <a:gd name="T6" fmla="*/ 27 w 27"/>
              <a:gd name="T7" fmla="*/ 5 h 27"/>
              <a:gd name="T8" fmla="*/ 4 w 27"/>
              <a:gd name="T9" fmla="*/ 0 h 27"/>
            </a:gdLst>
            <a:ahLst/>
            <a:cxnLst>
              <a:cxn ang="0">
                <a:pos x="T0" y="T1"/>
              </a:cxn>
              <a:cxn ang="0">
                <a:pos x="T2" y="T3"/>
              </a:cxn>
              <a:cxn ang="0">
                <a:pos x="T4" y="T5"/>
              </a:cxn>
              <a:cxn ang="0">
                <a:pos x="T6" y="T7"/>
              </a:cxn>
              <a:cxn ang="0">
                <a:pos x="T8" y="T9"/>
              </a:cxn>
            </a:cxnLst>
            <a:rect l="0" t="0" r="r" b="b"/>
            <a:pathLst>
              <a:path w="27" h="27">
                <a:moveTo>
                  <a:pt x="4" y="0"/>
                </a:moveTo>
                <a:lnTo>
                  <a:pt x="0" y="22"/>
                </a:lnTo>
                <a:lnTo>
                  <a:pt x="24" y="27"/>
                </a:lnTo>
                <a:lnTo>
                  <a:pt x="27" y="5"/>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1" name="Freeform 54">
            <a:extLst>
              <a:ext uri="{FF2B5EF4-FFF2-40B4-BE49-F238E27FC236}">
                <a16:creationId xmlns:a16="http://schemas.microsoft.com/office/drawing/2014/main" id="{106D0CB4-F8A3-EBB1-50A5-3458067F71E1}"/>
              </a:ext>
            </a:extLst>
          </xdr:cNvPr>
          <xdr:cNvSpPr>
            <a:spLocks/>
          </xdr:cNvSpPr>
        </xdr:nvSpPr>
        <xdr:spPr bwMode="auto">
          <a:xfrm>
            <a:off x="227013" y="69850"/>
            <a:ext cx="41275" cy="41275"/>
          </a:xfrm>
          <a:custGeom>
            <a:avLst/>
            <a:gdLst>
              <a:gd name="T0" fmla="*/ 26 w 26"/>
              <a:gd name="T1" fmla="*/ 4 h 26"/>
              <a:gd name="T2" fmla="*/ 4 w 26"/>
              <a:gd name="T3" fmla="*/ 0 h 26"/>
              <a:gd name="T4" fmla="*/ 0 w 26"/>
              <a:gd name="T5" fmla="*/ 23 h 26"/>
              <a:gd name="T6" fmla="*/ 22 w 26"/>
              <a:gd name="T7" fmla="*/ 26 h 26"/>
              <a:gd name="T8" fmla="*/ 26 w 26"/>
              <a:gd name="T9" fmla="*/ 4 h 26"/>
            </a:gdLst>
            <a:ahLst/>
            <a:cxnLst>
              <a:cxn ang="0">
                <a:pos x="T0" y="T1"/>
              </a:cxn>
              <a:cxn ang="0">
                <a:pos x="T2" y="T3"/>
              </a:cxn>
              <a:cxn ang="0">
                <a:pos x="T4" y="T5"/>
              </a:cxn>
              <a:cxn ang="0">
                <a:pos x="T6" y="T7"/>
              </a:cxn>
              <a:cxn ang="0">
                <a:pos x="T8" y="T9"/>
              </a:cxn>
            </a:cxnLst>
            <a:rect l="0" t="0" r="r" b="b"/>
            <a:pathLst>
              <a:path w="26" h="26">
                <a:moveTo>
                  <a:pt x="26" y="4"/>
                </a:moveTo>
                <a:lnTo>
                  <a:pt x="4" y="0"/>
                </a:lnTo>
                <a:lnTo>
                  <a:pt x="0" y="23"/>
                </a:lnTo>
                <a:lnTo>
                  <a:pt x="22" y="26"/>
                </a:lnTo>
                <a:lnTo>
                  <a:pt x="26" y="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2" name="Freeform 55">
            <a:extLst>
              <a:ext uri="{FF2B5EF4-FFF2-40B4-BE49-F238E27FC236}">
                <a16:creationId xmlns:a16="http://schemas.microsoft.com/office/drawing/2014/main" id="{B76224A2-40C7-5976-7EDF-57F508932F48}"/>
              </a:ext>
            </a:extLst>
          </xdr:cNvPr>
          <xdr:cNvSpPr>
            <a:spLocks/>
          </xdr:cNvSpPr>
        </xdr:nvSpPr>
        <xdr:spPr bwMode="auto">
          <a:xfrm>
            <a:off x="282575" y="33337"/>
            <a:ext cx="42863" cy="38100"/>
          </a:xfrm>
          <a:custGeom>
            <a:avLst/>
            <a:gdLst>
              <a:gd name="T0" fmla="*/ 23 w 27"/>
              <a:gd name="T1" fmla="*/ 24 h 24"/>
              <a:gd name="T2" fmla="*/ 27 w 27"/>
              <a:gd name="T3" fmla="*/ 3 h 24"/>
              <a:gd name="T4" fmla="*/ 3 w 27"/>
              <a:gd name="T5" fmla="*/ 0 h 24"/>
              <a:gd name="T6" fmla="*/ 0 w 27"/>
              <a:gd name="T7" fmla="*/ 20 h 24"/>
              <a:gd name="T8" fmla="*/ 23 w 27"/>
              <a:gd name="T9" fmla="*/ 24 h 24"/>
            </a:gdLst>
            <a:ahLst/>
            <a:cxnLst>
              <a:cxn ang="0">
                <a:pos x="T0" y="T1"/>
              </a:cxn>
              <a:cxn ang="0">
                <a:pos x="T2" y="T3"/>
              </a:cxn>
              <a:cxn ang="0">
                <a:pos x="T4" y="T5"/>
              </a:cxn>
              <a:cxn ang="0">
                <a:pos x="T6" y="T7"/>
              </a:cxn>
              <a:cxn ang="0">
                <a:pos x="T8" y="T9"/>
              </a:cxn>
            </a:cxnLst>
            <a:rect l="0" t="0" r="r" b="b"/>
            <a:pathLst>
              <a:path w="27" h="24">
                <a:moveTo>
                  <a:pt x="23" y="24"/>
                </a:moveTo>
                <a:lnTo>
                  <a:pt x="27" y="3"/>
                </a:lnTo>
                <a:lnTo>
                  <a:pt x="3" y="0"/>
                </a:lnTo>
                <a:lnTo>
                  <a:pt x="0" y="20"/>
                </a:lnTo>
                <a:lnTo>
                  <a:pt x="23" y="2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3" name="Freeform 56">
            <a:extLst>
              <a:ext uri="{FF2B5EF4-FFF2-40B4-BE49-F238E27FC236}">
                <a16:creationId xmlns:a16="http://schemas.microsoft.com/office/drawing/2014/main" id="{463174B9-17B8-8E3B-5096-C387F179AE12}"/>
              </a:ext>
            </a:extLst>
          </xdr:cNvPr>
          <xdr:cNvSpPr>
            <a:spLocks/>
          </xdr:cNvSpPr>
        </xdr:nvSpPr>
        <xdr:spPr bwMode="auto">
          <a:xfrm>
            <a:off x="273050" y="79375"/>
            <a:ext cx="44450" cy="39688"/>
          </a:xfrm>
          <a:custGeom>
            <a:avLst/>
            <a:gdLst>
              <a:gd name="T0" fmla="*/ 0 w 28"/>
              <a:gd name="T1" fmla="*/ 22 h 25"/>
              <a:gd name="T2" fmla="*/ 23 w 28"/>
              <a:gd name="T3" fmla="*/ 25 h 25"/>
              <a:gd name="T4" fmla="*/ 28 w 28"/>
              <a:gd name="T5" fmla="*/ 3 h 25"/>
              <a:gd name="T6" fmla="*/ 5 w 28"/>
              <a:gd name="T7" fmla="*/ 0 h 25"/>
              <a:gd name="T8" fmla="*/ 0 w 28"/>
              <a:gd name="T9" fmla="*/ 22 h 25"/>
            </a:gdLst>
            <a:ahLst/>
            <a:cxnLst>
              <a:cxn ang="0">
                <a:pos x="T0" y="T1"/>
              </a:cxn>
              <a:cxn ang="0">
                <a:pos x="T2" y="T3"/>
              </a:cxn>
              <a:cxn ang="0">
                <a:pos x="T4" y="T5"/>
              </a:cxn>
              <a:cxn ang="0">
                <a:pos x="T6" y="T7"/>
              </a:cxn>
              <a:cxn ang="0">
                <a:pos x="T8" y="T9"/>
              </a:cxn>
            </a:cxnLst>
            <a:rect l="0" t="0" r="r" b="b"/>
            <a:pathLst>
              <a:path w="28" h="25">
                <a:moveTo>
                  <a:pt x="0" y="22"/>
                </a:moveTo>
                <a:lnTo>
                  <a:pt x="23" y="25"/>
                </a:lnTo>
                <a:lnTo>
                  <a:pt x="28" y="3"/>
                </a:lnTo>
                <a:lnTo>
                  <a:pt x="5" y="0"/>
                </a:lnTo>
                <a:lnTo>
                  <a:pt x="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4" name="Freeform 57">
            <a:extLst>
              <a:ext uri="{FF2B5EF4-FFF2-40B4-BE49-F238E27FC236}">
                <a16:creationId xmlns:a16="http://schemas.microsoft.com/office/drawing/2014/main" id="{BFD73E54-BE60-F8E7-1BF0-AC02B9888C90}"/>
              </a:ext>
            </a:extLst>
          </xdr:cNvPr>
          <xdr:cNvSpPr>
            <a:spLocks/>
          </xdr:cNvSpPr>
        </xdr:nvSpPr>
        <xdr:spPr bwMode="auto">
          <a:xfrm>
            <a:off x="234950" y="25400"/>
            <a:ext cx="39688" cy="38100"/>
          </a:xfrm>
          <a:custGeom>
            <a:avLst/>
            <a:gdLst>
              <a:gd name="T0" fmla="*/ 22 w 22"/>
              <a:gd name="T1" fmla="*/ 2 h 21"/>
              <a:gd name="T2" fmla="*/ 6 w 22"/>
              <a:gd name="T3" fmla="*/ 0 h 21"/>
              <a:gd name="T4" fmla="*/ 3 w 22"/>
              <a:gd name="T5" fmla="*/ 2 h 21"/>
              <a:gd name="T6" fmla="*/ 0 w 22"/>
              <a:gd name="T7" fmla="*/ 18 h 21"/>
              <a:gd name="T8" fmla="*/ 19 w 22"/>
              <a:gd name="T9" fmla="*/ 21 h 21"/>
              <a:gd name="T10" fmla="*/ 22 w 22"/>
              <a:gd name="T11" fmla="*/ 2 h 21"/>
            </a:gdLst>
            <a:ahLst/>
            <a:cxnLst>
              <a:cxn ang="0">
                <a:pos x="T0" y="T1"/>
              </a:cxn>
              <a:cxn ang="0">
                <a:pos x="T2" y="T3"/>
              </a:cxn>
              <a:cxn ang="0">
                <a:pos x="T4" y="T5"/>
              </a:cxn>
              <a:cxn ang="0">
                <a:pos x="T6" y="T7"/>
              </a:cxn>
              <a:cxn ang="0">
                <a:pos x="T8" y="T9"/>
              </a:cxn>
              <a:cxn ang="0">
                <a:pos x="T10" y="T11"/>
              </a:cxn>
            </a:cxnLst>
            <a:rect l="0" t="0" r="r" b="b"/>
            <a:pathLst>
              <a:path w="22" h="21">
                <a:moveTo>
                  <a:pt x="22" y="2"/>
                </a:moveTo>
                <a:cubicBezTo>
                  <a:pt x="6" y="0"/>
                  <a:pt x="6" y="0"/>
                  <a:pt x="6" y="0"/>
                </a:cubicBezTo>
                <a:cubicBezTo>
                  <a:pt x="4" y="0"/>
                  <a:pt x="3" y="0"/>
                  <a:pt x="3" y="2"/>
                </a:cubicBezTo>
                <a:cubicBezTo>
                  <a:pt x="0" y="18"/>
                  <a:pt x="0" y="18"/>
                  <a:pt x="0" y="18"/>
                </a:cubicBezTo>
                <a:cubicBezTo>
                  <a:pt x="19" y="21"/>
                  <a:pt x="19" y="21"/>
                  <a:pt x="19" y="21"/>
                </a:cubicBezTo>
                <a:lnTo>
                  <a:pt x="22" y="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5" name="Freeform 58">
            <a:extLst>
              <a:ext uri="{FF2B5EF4-FFF2-40B4-BE49-F238E27FC236}">
                <a16:creationId xmlns:a16="http://schemas.microsoft.com/office/drawing/2014/main" id="{C5D3711A-6E65-141E-80A2-2841726D8451}"/>
              </a:ext>
            </a:extLst>
          </xdr:cNvPr>
          <xdr:cNvSpPr>
            <a:spLocks/>
          </xdr:cNvSpPr>
        </xdr:nvSpPr>
        <xdr:spPr bwMode="auto">
          <a:xfrm>
            <a:off x="330200" y="39687"/>
            <a:ext cx="42863" cy="41275"/>
          </a:xfrm>
          <a:custGeom>
            <a:avLst/>
            <a:gdLst>
              <a:gd name="T0" fmla="*/ 20 w 23"/>
              <a:gd name="T1" fmla="*/ 22 h 22"/>
              <a:gd name="T2" fmla="*/ 23 w 23"/>
              <a:gd name="T3" fmla="*/ 6 h 22"/>
              <a:gd name="T4" fmla="*/ 21 w 23"/>
              <a:gd name="T5" fmla="*/ 3 h 22"/>
              <a:gd name="T6" fmla="*/ 4 w 23"/>
              <a:gd name="T7" fmla="*/ 0 h 22"/>
              <a:gd name="T8" fmla="*/ 0 w 23"/>
              <a:gd name="T9" fmla="*/ 18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3" y="6"/>
                  <a:pt x="23" y="6"/>
                  <a:pt x="23" y="6"/>
                </a:cubicBezTo>
                <a:cubicBezTo>
                  <a:pt x="23" y="5"/>
                  <a:pt x="22" y="3"/>
                  <a:pt x="21" y="3"/>
                </a:cubicBezTo>
                <a:cubicBezTo>
                  <a:pt x="4" y="0"/>
                  <a:pt x="4" y="0"/>
                  <a:pt x="4" y="0"/>
                </a:cubicBezTo>
                <a:cubicBezTo>
                  <a:pt x="0" y="18"/>
                  <a:pt x="0" y="18"/>
                  <a:pt x="0" y="18"/>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6" name="Freeform 59">
            <a:extLst>
              <a:ext uri="{FF2B5EF4-FFF2-40B4-BE49-F238E27FC236}">
                <a16:creationId xmlns:a16="http://schemas.microsoft.com/office/drawing/2014/main" id="{978B26C3-EE13-3B33-ACD2-7489F93F0A0E}"/>
              </a:ext>
            </a:extLst>
          </xdr:cNvPr>
          <xdr:cNvSpPr>
            <a:spLocks/>
          </xdr:cNvSpPr>
        </xdr:nvSpPr>
        <xdr:spPr bwMode="auto">
          <a:xfrm>
            <a:off x="514350" y="119062"/>
            <a:ext cx="42863" cy="42863"/>
          </a:xfrm>
          <a:custGeom>
            <a:avLst/>
            <a:gdLst>
              <a:gd name="T0" fmla="*/ 4 w 27"/>
              <a:gd name="T1" fmla="*/ 0 h 27"/>
              <a:gd name="T2" fmla="*/ 0 w 27"/>
              <a:gd name="T3" fmla="*/ 22 h 27"/>
              <a:gd name="T4" fmla="*/ 23 w 27"/>
              <a:gd name="T5" fmla="*/ 27 h 27"/>
              <a:gd name="T6" fmla="*/ 27 w 27"/>
              <a:gd name="T7" fmla="*/ 5 h 27"/>
              <a:gd name="T8" fmla="*/ 4 w 27"/>
              <a:gd name="T9" fmla="*/ 0 h 27"/>
            </a:gdLst>
            <a:ahLst/>
            <a:cxnLst>
              <a:cxn ang="0">
                <a:pos x="T0" y="T1"/>
              </a:cxn>
              <a:cxn ang="0">
                <a:pos x="T2" y="T3"/>
              </a:cxn>
              <a:cxn ang="0">
                <a:pos x="T4" y="T5"/>
              </a:cxn>
              <a:cxn ang="0">
                <a:pos x="T6" y="T7"/>
              </a:cxn>
              <a:cxn ang="0">
                <a:pos x="T8" y="T9"/>
              </a:cxn>
            </a:cxnLst>
            <a:rect l="0" t="0" r="r" b="b"/>
            <a:pathLst>
              <a:path w="27" h="27">
                <a:moveTo>
                  <a:pt x="4" y="0"/>
                </a:moveTo>
                <a:lnTo>
                  <a:pt x="0" y="22"/>
                </a:lnTo>
                <a:lnTo>
                  <a:pt x="23" y="27"/>
                </a:lnTo>
                <a:lnTo>
                  <a:pt x="27" y="5"/>
                </a:lnTo>
                <a:lnTo>
                  <a:pt x="4"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7" name="Freeform 60">
            <a:extLst>
              <a:ext uri="{FF2B5EF4-FFF2-40B4-BE49-F238E27FC236}">
                <a16:creationId xmlns:a16="http://schemas.microsoft.com/office/drawing/2014/main" id="{E41F05A6-2FDF-C448-FC0D-F98B9E6560B6}"/>
              </a:ext>
            </a:extLst>
          </xdr:cNvPr>
          <xdr:cNvSpPr>
            <a:spLocks/>
          </xdr:cNvSpPr>
        </xdr:nvSpPr>
        <xdr:spPr bwMode="auto">
          <a:xfrm>
            <a:off x="417513" y="103187"/>
            <a:ext cx="39688" cy="41275"/>
          </a:xfrm>
          <a:custGeom>
            <a:avLst/>
            <a:gdLst>
              <a:gd name="T0" fmla="*/ 25 w 25"/>
              <a:gd name="T1" fmla="*/ 4 h 26"/>
              <a:gd name="T2" fmla="*/ 4 w 25"/>
              <a:gd name="T3" fmla="*/ 0 h 26"/>
              <a:gd name="T4" fmla="*/ 0 w 25"/>
              <a:gd name="T5" fmla="*/ 23 h 26"/>
              <a:gd name="T6" fmla="*/ 22 w 25"/>
              <a:gd name="T7" fmla="*/ 26 h 26"/>
              <a:gd name="T8" fmla="*/ 25 w 25"/>
              <a:gd name="T9" fmla="*/ 4 h 26"/>
            </a:gdLst>
            <a:ahLst/>
            <a:cxnLst>
              <a:cxn ang="0">
                <a:pos x="T0" y="T1"/>
              </a:cxn>
              <a:cxn ang="0">
                <a:pos x="T2" y="T3"/>
              </a:cxn>
              <a:cxn ang="0">
                <a:pos x="T4" y="T5"/>
              </a:cxn>
              <a:cxn ang="0">
                <a:pos x="T6" y="T7"/>
              </a:cxn>
              <a:cxn ang="0">
                <a:pos x="T8" y="T9"/>
              </a:cxn>
            </a:cxnLst>
            <a:rect l="0" t="0" r="r" b="b"/>
            <a:pathLst>
              <a:path w="25" h="26">
                <a:moveTo>
                  <a:pt x="25" y="4"/>
                </a:moveTo>
                <a:lnTo>
                  <a:pt x="4" y="0"/>
                </a:lnTo>
                <a:lnTo>
                  <a:pt x="0" y="23"/>
                </a:lnTo>
                <a:lnTo>
                  <a:pt x="22" y="26"/>
                </a:lnTo>
                <a:lnTo>
                  <a:pt x="25" y="4"/>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8" name="Freeform 61">
            <a:extLst>
              <a:ext uri="{FF2B5EF4-FFF2-40B4-BE49-F238E27FC236}">
                <a16:creationId xmlns:a16="http://schemas.microsoft.com/office/drawing/2014/main" id="{C7B3DF84-3472-61E5-C99F-2516FB483741}"/>
              </a:ext>
            </a:extLst>
          </xdr:cNvPr>
          <xdr:cNvSpPr>
            <a:spLocks/>
          </xdr:cNvSpPr>
        </xdr:nvSpPr>
        <xdr:spPr bwMode="auto">
          <a:xfrm>
            <a:off x="471488" y="65087"/>
            <a:ext cx="42863" cy="39688"/>
          </a:xfrm>
          <a:custGeom>
            <a:avLst/>
            <a:gdLst>
              <a:gd name="T0" fmla="*/ 24 w 27"/>
              <a:gd name="T1" fmla="*/ 25 h 25"/>
              <a:gd name="T2" fmla="*/ 27 w 27"/>
              <a:gd name="T3" fmla="*/ 4 h 25"/>
              <a:gd name="T4" fmla="*/ 4 w 27"/>
              <a:gd name="T5" fmla="*/ 0 h 25"/>
              <a:gd name="T6" fmla="*/ 0 w 27"/>
              <a:gd name="T7" fmla="*/ 21 h 25"/>
              <a:gd name="T8" fmla="*/ 24 w 27"/>
              <a:gd name="T9" fmla="*/ 25 h 25"/>
            </a:gdLst>
            <a:ahLst/>
            <a:cxnLst>
              <a:cxn ang="0">
                <a:pos x="T0" y="T1"/>
              </a:cxn>
              <a:cxn ang="0">
                <a:pos x="T2" y="T3"/>
              </a:cxn>
              <a:cxn ang="0">
                <a:pos x="T4" y="T5"/>
              </a:cxn>
              <a:cxn ang="0">
                <a:pos x="T6" y="T7"/>
              </a:cxn>
              <a:cxn ang="0">
                <a:pos x="T8" y="T9"/>
              </a:cxn>
            </a:cxnLst>
            <a:rect l="0" t="0" r="r" b="b"/>
            <a:pathLst>
              <a:path w="27" h="25">
                <a:moveTo>
                  <a:pt x="24" y="25"/>
                </a:moveTo>
                <a:lnTo>
                  <a:pt x="27" y="4"/>
                </a:lnTo>
                <a:lnTo>
                  <a:pt x="4" y="0"/>
                </a:lnTo>
                <a:lnTo>
                  <a:pt x="0" y="21"/>
                </a:lnTo>
                <a:lnTo>
                  <a:pt x="24" y="25"/>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39" name="Freeform 62">
            <a:extLst>
              <a:ext uri="{FF2B5EF4-FFF2-40B4-BE49-F238E27FC236}">
                <a16:creationId xmlns:a16="http://schemas.microsoft.com/office/drawing/2014/main" id="{FEE984AA-599D-08E8-6CDB-D121F1DEF8A4}"/>
              </a:ext>
            </a:extLst>
          </xdr:cNvPr>
          <xdr:cNvSpPr>
            <a:spLocks/>
          </xdr:cNvSpPr>
        </xdr:nvSpPr>
        <xdr:spPr bwMode="auto">
          <a:xfrm>
            <a:off x="465138" y="111125"/>
            <a:ext cx="42863" cy="41275"/>
          </a:xfrm>
          <a:custGeom>
            <a:avLst/>
            <a:gdLst>
              <a:gd name="T0" fmla="*/ 0 w 27"/>
              <a:gd name="T1" fmla="*/ 23 h 26"/>
              <a:gd name="T2" fmla="*/ 23 w 27"/>
              <a:gd name="T3" fmla="*/ 26 h 26"/>
              <a:gd name="T4" fmla="*/ 27 w 27"/>
              <a:gd name="T5" fmla="*/ 4 h 26"/>
              <a:gd name="T6" fmla="*/ 3 w 27"/>
              <a:gd name="T7" fmla="*/ 0 h 26"/>
              <a:gd name="T8" fmla="*/ 0 w 27"/>
              <a:gd name="T9" fmla="*/ 23 h 26"/>
            </a:gdLst>
            <a:ahLst/>
            <a:cxnLst>
              <a:cxn ang="0">
                <a:pos x="T0" y="T1"/>
              </a:cxn>
              <a:cxn ang="0">
                <a:pos x="T2" y="T3"/>
              </a:cxn>
              <a:cxn ang="0">
                <a:pos x="T4" y="T5"/>
              </a:cxn>
              <a:cxn ang="0">
                <a:pos x="T6" y="T7"/>
              </a:cxn>
              <a:cxn ang="0">
                <a:pos x="T8" y="T9"/>
              </a:cxn>
            </a:cxnLst>
            <a:rect l="0" t="0" r="r" b="b"/>
            <a:pathLst>
              <a:path w="27" h="26">
                <a:moveTo>
                  <a:pt x="0" y="23"/>
                </a:moveTo>
                <a:lnTo>
                  <a:pt x="23" y="26"/>
                </a:lnTo>
                <a:lnTo>
                  <a:pt x="27" y="4"/>
                </a:lnTo>
                <a:lnTo>
                  <a:pt x="3" y="0"/>
                </a:lnTo>
                <a:lnTo>
                  <a:pt x="0" y="2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0" name="Freeform 63">
            <a:extLst>
              <a:ext uri="{FF2B5EF4-FFF2-40B4-BE49-F238E27FC236}">
                <a16:creationId xmlns:a16="http://schemas.microsoft.com/office/drawing/2014/main" id="{47C77A3A-BFBD-9D0A-0371-CCCAC0EB6140}"/>
              </a:ext>
            </a:extLst>
          </xdr:cNvPr>
          <xdr:cNvSpPr>
            <a:spLocks/>
          </xdr:cNvSpPr>
        </xdr:nvSpPr>
        <xdr:spPr bwMode="auto">
          <a:xfrm>
            <a:off x="425450" y="57150"/>
            <a:ext cx="41275" cy="39688"/>
          </a:xfrm>
          <a:custGeom>
            <a:avLst/>
            <a:gdLst>
              <a:gd name="T0" fmla="*/ 22 w 22"/>
              <a:gd name="T1" fmla="*/ 3 h 22"/>
              <a:gd name="T2" fmla="*/ 5 w 22"/>
              <a:gd name="T3" fmla="*/ 1 h 22"/>
              <a:gd name="T4" fmla="*/ 2 w 22"/>
              <a:gd name="T5" fmla="*/ 3 h 22"/>
              <a:gd name="T6" fmla="*/ 0 w 22"/>
              <a:gd name="T7" fmla="*/ 19 h 22"/>
              <a:gd name="T8" fmla="*/ 19 w 22"/>
              <a:gd name="T9" fmla="*/ 22 h 22"/>
              <a:gd name="T10" fmla="*/ 22 w 22"/>
              <a:gd name="T11" fmla="*/ 3 h 22"/>
            </a:gdLst>
            <a:ahLst/>
            <a:cxnLst>
              <a:cxn ang="0">
                <a:pos x="T0" y="T1"/>
              </a:cxn>
              <a:cxn ang="0">
                <a:pos x="T2" y="T3"/>
              </a:cxn>
              <a:cxn ang="0">
                <a:pos x="T4" y="T5"/>
              </a:cxn>
              <a:cxn ang="0">
                <a:pos x="T6" y="T7"/>
              </a:cxn>
              <a:cxn ang="0">
                <a:pos x="T8" y="T9"/>
              </a:cxn>
              <a:cxn ang="0">
                <a:pos x="T10" y="T11"/>
              </a:cxn>
            </a:cxnLst>
            <a:rect l="0" t="0" r="r" b="b"/>
            <a:pathLst>
              <a:path w="22" h="22">
                <a:moveTo>
                  <a:pt x="22" y="3"/>
                </a:moveTo>
                <a:cubicBezTo>
                  <a:pt x="5" y="1"/>
                  <a:pt x="5" y="1"/>
                  <a:pt x="5" y="1"/>
                </a:cubicBezTo>
                <a:cubicBezTo>
                  <a:pt x="4" y="0"/>
                  <a:pt x="3" y="1"/>
                  <a:pt x="2" y="3"/>
                </a:cubicBezTo>
                <a:cubicBezTo>
                  <a:pt x="0" y="19"/>
                  <a:pt x="0" y="19"/>
                  <a:pt x="0" y="19"/>
                </a:cubicBezTo>
                <a:cubicBezTo>
                  <a:pt x="19" y="22"/>
                  <a:pt x="19" y="22"/>
                  <a:pt x="19" y="22"/>
                </a:cubicBezTo>
                <a:lnTo>
                  <a:pt x="22"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1" name="Freeform 64">
            <a:extLst>
              <a:ext uri="{FF2B5EF4-FFF2-40B4-BE49-F238E27FC236}">
                <a16:creationId xmlns:a16="http://schemas.microsoft.com/office/drawing/2014/main" id="{366203AA-22C7-5812-0366-96AF0705AB0D}"/>
              </a:ext>
            </a:extLst>
          </xdr:cNvPr>
          <xdr:cNvSpPr>
            <a:spLocks/>
          </xdr:cNvSpPr>
        </xdr:nvSpPr>
        <xdr:spPr bwMode="auto">
          <a:xfrm>
            <a:off x="522288" y="73025"/>
            <a:ext cx="42863" cy="41275"/>
          </a:xfrm>
          <a:custGeom>
            <a:avLst/>
            <a:gdLst>
              <a:gd name="T0" fmla="*/ 20 w 23"/>
              <a:gd name="T1" fmla="*/ 22 h 22"/>
              <a:gd name="T2" fmla="*/ 23 w 23"/>
              <a:gd name="T3" fmla="*/ 6 h 22"/>
              <a:gd name="T4" fmla="*/ 20 w 23"/>
              <a:gd name="T5" fmla="*/ 3 h 22"/>
              <a:gd name="T6" fmla="*/ 3 w 23"/>
              <a:gd name="T7" fmla="*/ 0 h 22"/>
              <a:gd name="T8" fmla="*/ 0 w 23"/>
              <a:gd name="T9" fmla="*/ 18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3" y="6"/>
                  <a:pt x="23" y="6"/>
                  <a:pt x="23" y="6"/>
                </a:cubicBezTo>
                <a:cubicBezTo>
                  <a:pt x="23" y="5"/>
                  <a:pt x="22" y="3"/>
                  <a:pt x="20" y="3"/>
                </a:cubicBezTo>
                <a:cubicBezTo>
                  <a:pt x="3" y="0"/>
                  <a:pt x="3" y="0"/>
                  <a:pt x="3" y="0"/>
                </a:cubicBezTo>
                <a:cubicBezTo>
                  <a:pt x="0" y="18"/>
                  <a:pt x="0" y="18"/>
                  <a:pt x="0" y="18"/>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2" name="Freeform 65">
            <a:extLst>
              <a:ext uri="{FF2B5EF4-FFF2-40B4-BE49-F238E27FC236}">
                <a16:creationId xmlns:a16="http://schemas.microsoft.com/office/drawing/2014/main" id="{4D32317A-2374-4A1D-DF46-3D4AE0181D21}"/>
              </a:ext>
            </a:extLst>
          </xdr:cNvPr>
          <xdr:cNvSpPr>
            <a:spLocks/>
          </xdr:cNvSpPr>
        </xdr:nvSpPr>
        <xdr:spPr bwMode="auto">
          <a:xfrm>
            <a:off x="704850" y="152400"/>
            <a:ext cx="42863" cy="41275"/>
          </a:xfrm>
          <a:custGeom>
            <a:avLst/>
            <a:gdLst>
              <a:gd name="T0" fmla="*/ 3 w 27"/>
              <a:gd name="T1" fmla="*/ 0 h 26"/>
              <a:gd name="T2" fmla="*/ 0 w 27"/>
              <a:gd name="T3" fmla="*/ 22 h 26"/>
              <a:gd name="T4" fmla="*/ 23 w 27"/>
              <a:gd name="T5" fmla="*/ 26 h 26"/>
              <a:gd name="T6" fmla="*/ 27 w 27"/>
              <a:gd name="T7" fmla="*/ 4 h 26"/>
              <a:gd name="T8" fmla="*/ 3 w 27"/>
              <a:gd name="T9" fmla="*/ 0 h 26"/>
            </a:gdLst>
            <a:ahLst/>
            <a:cxnLst>
              <a:cxn ang="0">
                <a:pos x="T0" y="T1"/>
              </a:cxn>
              <a:cxn ang="0">
                <a:pos x="T2" y="T3"/>
              </a:cxn>
              <a:cxn ang="0">
                <a:pos x="T4" y="T5"/>
              </a:cxn>
              <a:cxn ang="0">
                <a:pos x="T6" y="T7"/>
              </a:cxn>
              <a:cxn ang="0">
                <a:pos x="T8" y="T9"/>
              </a:cxn>
            </a:cxnLst>
            <a:rect l="0" t="0" r="r" b="b"/>
            <a:pathLst>
              <a:path w="27" h="26">
                <a:moveTo>
                  <a:pt x="3" y="0"/>
                </a:moveTo>
                <a:lnTo>
                  <a:pt x="0" y="22"/>
                </a:lnTo>
                <a:lnTo>
                  <a:pt x="23" y="26"/>
                </a:lnTo>
                <a:lnTo>
                  <a:pt x="27" y="4"/>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3" name="Freeform 66">
            <a:extLst>
              <a:ext uri="{FF2B5EF4-FFF2-40B4-BE49-F238E27FC236}">
                <a16:creationId xmlns:a16="http://schemas.microsoft.com/office/drawing/2014/main" id="{588A4716-2903-2F88-C91D-AACD6D73223A}"/>
              </a:ext>
            </a:extLst>
          </xdr:cNvPr>
          <xdr:cNvSpPr>
            <a:spLocks/>
          </xdr:cNvSpPr>
        </xdr:nvSpPr>
        <xdr:spPr bwMode="auto">
          <a:xfrm>
            <a:off x="695325" y="200025"/>
            <a:ext cx="42863" cy="41275"/>
          </a:xfrm>
          <a:custGeom>
            <a:avLst/>
            <a:gdLst>
              <a:gd name="T0" fmla="*/ 3 w 27"/>
              <a:gd name="T1" fmla="*/ 0 h 26"/>
              <a:gd name="T2" fmla="*/ 0 w 27"/>
              <a:gd name="T3" fmla="*/ 22 h 26"/>
              <a:gd name="T4" fmla="*/ 23 w 27"/>
              <a:gd name="T5" fmla="*/ 26 h 26"/>
              <a:gd name="T6" fmla="*/ 27 w 27"/>
              <a:gd name="T7" fmla="*/ 4 h 26"/>
              <a:gd name="T8" fmla="*/ 3 w 27"/>
              <a:gd name="T9" fmla="*/ 0 h 26"/>
            </a:gdLst>
            <a:ahLst/>
            <a:cxnLst>
              <a:cxn ang="0">
                <a:pos x="T0" y="T1"/>
              </a:cxn>
              <a:cxn ang="0">
                <a:pos x="T2" y="T3"/>
              </a:cxn>
              <a:cxn ang="0">
                <a:pos x="T4" y="T5"/>
              </a:cxn>
              <a:cxn ang="0">
                <a:pos x="T6" y="T7"/>
              </a:cxn>
              <a:cxn ang="0">
                <a:pos x="T8" y="T9"/>
              </a:cxn>
            </a:cxnLst>
            <a:rect l="0" t="0" r="r" b="b"/>
            <a:pathLst>
              <a:path w="27" h="26">
                <a:moveTo>
                  <a:pt x="3" y="0"/>
                </a:moveTo>
                <a:lnTo>
                  <a:pt x="0" y="22"/>
                </a:lnTo>
                <a:lnTo>
                  <a:pt x="23" y="26"/>
                </a:lnTo>
                <a:lnTo>
                  <a:pt x="27" y="4"/>
                </a:lnTo>
                <a:lnTo>
                  <a:pt x="3" y="0"/>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4" name="Freeform 67">
            <a:extLst>
              <a:ext uri="{FF2B5EF4-FFF2-40B4-BE49-F238E27FC236}">
                <a16:creationId xmlns:a16="http://schemas.microsoft.com/office/drawing/2014/main" id="{0DD60D50-59BE-2C7D-D416-E447058D9BCD}"/>
              </a:ext>
            </a:extLst>
          </xdr:cNvPr>
          <xdr:cNvSpPr>
            <a:spLocks/>
          </xdr:cNvSpPr>
        </xdr:nvSpPr>
        <xdr:spPr bwMode="auto">
          <a:xfrm>
            <a:off x="608013" y="136525"/>
            <a:ext cx="41275" cy="41275"/>
          </a:xfrm>
          <a:custGeom>
            <a:avLst/>
            <a:gdLst>
              <a:gd name="T0" fmla="*/ 26 w 26"/>
              <a:gd name="T1" fmla="*/ 3 h 26"/>
              <a:gd name="T2" fmla="*/ 4 w 26"/>
              <a:gd name="T3" fmla="*/ 0 h 26"/>
              <a:gd name="T4" fmla="*/ 0 w 26"/>
              <a:gd name="T5" fmla="*/ 23 h 26"/>
              <a:gd name="T6" fmla="*/ 22 w 26"/>
              <a:gd name="T7" fmla="*/ 26 h 26"/>
              <a:gd name="T8" fmla="*/ 26 w 26"/>
              <a:gd name="T9" fmla="*/ 3 h 26"/>
            </a:gdLst>
            <a:ahLst/>
            <a:cxnLst>
              <a:cxn ang="0">
                <a:pos x="T0" y="T1"/>
              </a:cxn>
              <a:cxn ang="0">
                <a:pos x="T2" y="T3"/>
              </a:cxn>
              <a:cxn ang="0">
                <a:pos x="T4" y="T5"/>
              </a:cxn>
              <a:cxn ang="0">
                <a:pos x="T6" y="T7"/>
              </a:cxn>
              <a:cxn ang="0">
                <a:pos x="T8" y="T9"/>
              </a:cxn>
            </a:cxnLst>
            <a:rect l="0" t="0" r="r" b="b"/>
            <a:pathLst>
              <a:path w="26" h="26">
                <a:moveTo>
                  <a:pt x="26" y="3"/>
                </a:moveTo>
                <a:lnTo>
                  <a:pt x="4" y="0"/>
                </a:lnTo>
                <a:lnTo>
                  <a:pt x="0" y="23"/>
                </a:lnTo>
                <a:lnTo>
                  <a:pt x="22" y="26"/>
                </a:lnTo>
                <a:lnTo>
                  <a:pt x="26"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5" name="Freeform 68">
            <a:extLst>
              <a:ext uri="{FF2B5EF4-FFF2-40B4-BE49-F238E27FC236}">
                <a16:creationId xmlns:a16="http://schemas.microsoft.com/office/drawing/2014/main" id="{2B006592-F3CD-5D12-6423-B47B828E0F6D}"/>
              </a:ext>
            </a:extLst>
          </xdr:cNvPr>
          <xdr:cNvSpPr>
            <a:spLocks/>
          </xdr:cNvSpPr>
        </xdr:nvSpPr>
        <xdr:spPr bwMode="auto">
          <a:xfrm>
            <a:off x="663575" y="96837"/>
            <a:ext cx="41275" cy="41275"/>
          </a:xfrm>
          <a:custGeom>
            <a:avLst/>
            <a:gdLst>
              <a:gd name="T0" fmla="*/ 23 w 26"/>
              <a:gd name="T1" fmla="*/ 26 h 26"/>
              <a:gd name="T2" fmla="*/ 26 w 26"/>
              <a:gd name="T3" fmla="*/ 4 h 26"/>
              <a:gd name="T4" fmla="*/ 3 w 26"/>
              <a:gd name="T5" fmla="*/ 0 h 26"/>
              <a:gd name="T6" fmla="*/ 0 w 26"/>
              <a:gd name="T7" fmla="*/ 22 h 26"/>
              <a:gd name="T8" fmla="*/ 23 w 26"/>
              <a:gd name="T9" fmla="*/ 26 h 26"/>
            </a:gdLst>
            <a:ahLst/>
            <a:cxnLst>
              <a:cxn ang="0">
                <a:pos x="T0" y="T1"/>
              </a:cxn>
              <a:cxn ang="0">
                <a:pos x="T2" y="T3"/>
              </a:cxn>
              <a:cxn ang="0">
                <a:pos x="T4" y="T5"/>
              </a:cxn>
              <a:cxn ang="0">
                <a:pos x="T6" y="T7"/>
              </a:cxn>
              <a:cxn ang="0">
                <a:pos x="T8" y="T9"/>
              </a:cxn>
            </a:cxnLst>
            <a:rect l="0" t="0" r="r" b="b"/>
            <a:pathLst>
              <a:path w="26" h="26">
                <a:moveTo>
                  <a:pt x="23" y="26"/>
                </a:moveTo>
                <a:lnTo>
                  <a:pt x="26" y="4"/>
                </a:lnTo>
                <a:lnTo>
                  <a:pt x="3" y="0"/>
                </a:lnTo>
                <a:lnTo>
                  <a:pt x="0" y="22"/>
                </a:lnTo>
                <a:lnTo>
                  <a:pt x="23" y="2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6" name="Freeform 69">
            <a:extLst>
              <a:ext uri="{FF2B5EF4-FFF2-40B4-BE49-F238E27FC236}">
                <a16:creationId xmlns:a16="http://schemas.microsoft.com/office/drawing/2014/main" id="{FA9F1775-E5ED-E67C-9A8F-35132EFE5A7B}"/>
              </a:ext>
            </a:extLst>
          </xdr:cNvPr>
          <xdr:cNvSpPr>
            <a:spLocks/>
          </xdr:cNvSpPr>
        </xdr:nvSpPr>
        <xdr:spPr bwMode="auto">
          <a:xfrm>
            <a:off x="654050" y="142875"/>
            <a:ext cx="42863" cy="42863"/>
          </a:xfrm>
          <a:custGeom>
            <a:avLst/>
            <a:gdLst>
              <a:gd name="T0" fmla="*/ 0 w 27"/>
              <a:gd name="T1" fmla="*/ 23 h 27"/>
              <a:gd name="T2" fmla="*/ 24 w 27"/>
              <a:gd name="T3" fmla="*/ 27 h 27"/>
              <a:gd name="T4" fmla="*/ 27 w 27"/>
              <a:gd name="T5" fmla="*/ 5 h 27"/>
              <a:gd name="T6" fmla="*/ 4 w 27"/>
              <a:gd name="T7" fmla="*/ 0 h 27"/>
              <a:gd name="T8" fmla="*/ 0 w 27"/>
              <a:gd name="T9" fmla="*/ 23 h 27"/>
            </a:gdLst>
            <a:ahLst/>
            <a:cxnLst>
              <a:cxn ang="0">
                <a:pos x="T0" y="T1"/>
              </a:cxn>
              <a:cxn ang="0">
                <a:pos x="T2" y="T3"/>
              </a:cxn>
              <a:cxn ang="0">
                <a:pos x="T4" y="T5"/>
              </a:cxn>
              <a:cxn ang="0">
                <a:pos x="T6" y="T7"/>
              </a:cxn>
              <a:cxn ang="0">
                <a:pos x="T8" y="T9"/>
              </a:cxn>
            </a:cxnLst>
            <a:rect l="0" t="0" r="r" b="b"/>
            <a:pathLst>
              <a:path w="27" h="27">
                <a:moveTo>
                  <a:pt x="0" y="23"/>
                </a:moveTo>
                <a:lnTo>
                  <a:pt x="24" y="27"/>
                </a:lnTo>
                <a:lnTo>
                  <a:pt x="27" y="5"/>
                </a:lnTo>
                <a:lnTo>
                  <a:pt x="4" y="0"/>
                </a:lnTo>
                <a:lnTo>
                  <a:pt x="0" y="2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7" name="Freeform 70">
            <a:extLst>
              <a:ext uri="{FF2B5EF4-FFF2-40B4-BE49-F238E27FC236}">
                <a16:creationId xmlns:a16="http://schemas.microsoft.com/office/drawing/2014/main" id="{86FA54B9-C44F-4BF2-B389-9A8D12BFE2FC}"/>
              </a:ext>
            </a:extLst>
          </xdr:cNvPr>
          <xdr:cNvSpPr>
            <a:spLocks/>
          </xdr:cNvSpPr>
        </xdr:nvSpPr>
        <xdr:spPr bwMode="auto">
          <a:xfrm>
            <a:off x="615950" y="90487"/>
            <a:ext cx="41275" cy="38100"/>
          </a:xfrm>
          <a:custGeom>
            <a:avLst/>
            <a:gdLst>
              <a:gd name="T0" fmla="*/ 22 w 22"/>
              <a:gd name="T1" fmla="*/ 3 h 21"/>
              <a:gd name="T2" fmla="*/ 5 w 22"/>
              <a:gd name="T3" fmla="*/ 1 h 21"/>
              <a:gd name="T4" fmla="*/ 2 w 22"/>
              <a:gd name="T5" fmla="*/ 3 h 21"/>
              <a:gd name="T6" fmla="*/ 0 w 22"/>
              <a:gd name="T7" fmla="*/ 18 h 21"/>
              <a:gd name="T8" fmla="*/ 19 w 22"/>
              <a:gd name="T9" fmla="*/ 21 h 21"/>
              <a:gd name="T10" fmla="*/ 22 w 22"/>
              <a:gd name="T11" fmla="*/ 3 h 21"/>
            </a:gdLst>
            <a:ahLst/>
            <a:cxnLst>
              <a:cxn ang="0">
                <a:pos x="T0" y="T1"/>
              </a:cxn>
              <a:cxn ang="0">
                <a:pos x="T2" y="T3"/>
              </a:cxn>
              <a:cxn ang="0">
                <a:pos x="T4" y="T5"/>
              </a:cxn>
              <a:cxn ang="0">
                <a:pos x="T6" y="T7"/>
              </a:cxn>
              <a:cxn ang="0">
                <a:pos x="T8" y="T9"/>
              </a:cxn>
              <a:cxn ang="0">
                <a:pos x="T10" y="T11"/>
              </a:cxn>
            </a:cxnLst>
            <a:rect l="0" t="0" r="r" b="b"/>
            <a:pathLst>
              <a:path w="22" h="21">
                <a:moveTo>
                  <a:pt x="22" y="3"/>
                </a:moveTo>
                <a:cubicBezTo>
                  <a:pt x="5" y="1"/>
                  <a:pt x="5" y="1"/>
                  <a:pt x="5" y="1"/>
                </a:cubicBezTo>
                <a:cubicBezTo>
                  <a:pt x="4" y="0"/>
                  <a:pt x="3" y="1"/>
                  <a:pt x="2" y="3"/>
                </a:cubicBezTo>
                <a:cubicBezTo>
                  <a:pt x="0" y="18"/>
                  <a:pt x="0" y="18"/>
                  <a:pt x="0" y="18"/>
                </a:cubicBezTo>
                <a:cubicBezTo>
                  <a:pt x="19" y="21"/>
                  <a:pt x="19" y="21"/>
                  <a:pt x="19" y="21"/>
                </a:cubicBezTo>
                <a:lnTo>
                  <a:pt x="22" y="3"/>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8" name="Freeform 71">
            <a:extLst>
              <a:ext uri="{FF2B5EF4-FFF2-40B4-BE49-F238E27FC236}">
                <a16:creationId xmlns:a16="http://schemas.microsoft.com/office/drawing/2014/main" id="{BA620879-1B5A-14F8-68AA-275B8C13D0EF}"/>
              </a:ext>
            </a:extLst>
          </xdr:cNvPr>
          <xdr:cNvSpPr>
            <a:spLocks/>
          </xdr:cNvSpPr>
        </xdr:nvSpPr>
        <xdr:spPr bwMode="auto">
          <a:xfrm>
            <a:off x="711200" y="104775"/>
            <a:ext cx="42863" cy="39688"/>
          </a:xfrm>
          <a:custGeom>
            <a:avLst/>
            <a:gdLst>
              <a:gd name="T0" fmla="*/ 20 w 23"/>
              <a:gd name="T1" fmla="*/ 22 h 22"/>
              <a:gd name="T2" fmla="*/ 23 w 23"/>
              <a:gd name="T3" fmla="*/ 6 h 22"/>
              <a:gd name="T4" fmla="*/ 20 w 23"/>
              <a:gd name="T5" fmla="*/ 3 h 22"/>
              <a:gd name="T6" fmla="*/ 3 w 23"/>
              <a:gd name="T7" fmla="*/ 0 h 22"/>
              <a:gd name="T8" fmla="*/ 0 w 23"/>
              <a:gd name="T9" fmla="*/ 19 h 22"/>
              <a:gd name="T10" fmla="*/ 20 w 23"/>
              <a:gd name="T11" fmla="*/ 22 h 22"/>
            </a:gdLst>
            <a:ahLst/>
            <a:cxnLst>
              <a:cxn ang="0">
                <a:pos x="T0" y="T1"/>
              </a:cxn>
              <a:cxn ang="0">
                <a:pos x="T2" y="T3"/>
              </a:cxn>
              <a:cxn ang="0">
                <a:pos x="T4" y="T5"/>
              </a:cxn>
              <a:cxn ang="0">
                <a:pos x="T6" y="T7"/>
              </a:cxn>
              <a:cxn ang="0">
                <a:pos x="T8" y="T9"/>
              </a:cxn>
              <a:cxn ang="0">
                <a:pos x="T10" y="T11"/>
              </a:cxn>
            </a:cxnLst>
            <a:rect l="0" t="0" r="r" b="b"/>
            <a:pathLst>
              <a:path w="23" h="22">
                <a:moveTo>
                  <a:pt x="20" y="22"/>
                </a:moveTo>
                <a:cubicBezTo>
                  <a:pt x="23" y="6"/>
                  <a:pt x="23" y="6"/>
                  <a:pt x="23" y="6"/>
                </a:cubicBezTo>
                <a:cubicBezTo>
                  <a:pt x="23" y="5"/>
                  <a:pt x="22" y="3"/>
                  <a:pt x="20" y="3"/>
                </a:cubicBezTo>
                <a:cubicBezTo>
                  <a:pt x="3" y="0"/>
                  <a:pt x="3" y="0"/>
                  <a:pt x="3" y="0"/>
                </a:cubicBezTo>
                <a:cubicBezTo>
                  <a:pt x="0" y="19"/>
                  <a:pt x="0" y="19"/>
                  <a:pt x="0" y="19"/>
                </a:cubicBezTo>
                <a:lnTo>
                  <a:pt x="20" y="2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sp macro="" textlink="">
        <xdr:nvSpPr>
          <xdr:cNvPr id="249" name="Freeform 72">
            <a:extLst>
              <a:ext uri="{FF2B5EF4-FFF2-40B4-BE49-F238E27FC236}">
                <a16:creationId xmlns:a16="http://schemas.microsoft.com/office/drawing/2014/main" id="{6D608D7A-73EB-BAD0-AB07-0FA219DDBF16}"/>
              </a:ext>
            </a:extLst>
          </xdr:cNvPr>
          <xdr:cNvSpPr>
            <a:spLocks noEditPoints="1"/>
          </xdr:cNvSpPr>
        </xdr:nvSpPr>
        <xdr:spPr bwMode="auto">
          <a:xfrm>
            <a:off x="203200" y="0"/>
            <a:ext cx="608013" cy="265113"/>
          </a:xfrm>
          <a:custGeom>
            <a:avLst/>
            <a:gdLst>
              <a:gd name="T0" fmla="*/ 311 w 330"/>
              <a:gd name="T1" fmla="*/ 65 h 144"/>
              <a:gd name="T2" fmla="*/ 309 w 330"/>
              <a:gd name="T3" fmla="*/ 50 h 144"/>
              <a:gd name="T4" fmla="*/ 216 w 330"/>
              <a:gd name="T5" fmla="*/ 39 h 144"/>
              <a:gd name="T6" fmla="*/ 207 w 330"/>
              <a:gd name="T7" fmla="*/ 48 h 144"/>
              <a:gd name="T8" fmla="*/ 206 w 330"/>
              <a:gd name="T9" fmla="*/ 33 h 144"/>
              <a:gd name="T10" fmla="*/ 113 w 330"/>
              <a:gd name="T11" fmla="*/ 21 h 144"/>
              <a:gd name="T12" fmla="*/ 104 w 330"/>
              <a:gd name="T13" fmla="*/ 30 h 144"/>
              <a:gd name="T14" fmla="*/ 102 w 330"/>
              <a:gd name="T15" fmla="*/ 15 h 144"/>
              <a:gd name="T16" fmla="*/ 10 w 330"/>
              <a:gd name="T17" fmla="*/ 3 h 144"/>
              <a:gd name="T18" fmla="*/ 5 w 330"/>
              <a:gd name="T19" fmla="*/ 62 h 144"/>
              <a:gd name="T20" fmla="*/ 17 w 330"/>
              <a:gd name="T21" fmla="*/ 6 h 144"/>
              <a:gd name="T22" fmla="*/ 99 w 330"/>
              <a:gd name="T23" fmla="*/ 23 h 144"/>
              <a:gd name="T24" fmla="*/ 97 w 330"/>
              <a:gd name="T25" fmla="*/ 38 h 144"/>
              <a:gd name="T26" fmla="*/ 92 w 330"/>
              <a:gd name="T27" fmla="*/ 67 h 144"/>
              <a:gd name="T28" fmla="*/ 96 w 330"/>
              <a:gd name="T29" fmla="*/ 77 h 144"/>
              <a:gd name="T30" fmla="*/ 105 w 330"/>
              <a:gd name="T31" fmla="*/ 69 h 144"/>
              <a:gd name="T32" fmla="*/ 109 w 330"/>
              <a:gd name="T33" fmla="*/ 80 h 144"/>
              <a:gd name="T34" fmla="*/ 121 w 330"/>
              <a:gd name="T35" fmla="*/ 24 h 144"/>
              <a:gd name="T36" fmla="*/ 203 w 330"/>
              <a:gd name="T37" fmla="*/ 41 h 144"/>
              <a:gd name="T38" fmla="*/ 201 w 330"/>
              <a:gd name="T39" fmla="*/ 56 h 144"/>
              <a:gd name="T40" fmla="*/ 196 w 330"/>
              <a:gd name="T41" fmla="*/ 85 h 144"/>
              <a:gd name="T42" fmla="*/ 200 w 330"/>
              <a:gd name="T43" fmla="*/ 95 h 144"/>
              <a:gd name="T44" fmla="*/ 209 w 330"/>
              <a:gd name="T45" fmla="*/ 87 h 144"/>
              <a:gd name="T46" fmla="*/ 213 w 330"/>
              <a:gd name="T47" fmla="*/ 97 h 144"/>
              <a:gd name="T48" fmla="*/ 224 w 330"/>
              <a:gd name="T49" fmla="*/ 42 h 144"/>
              <a:gd name="T50" fmla="*/ 306 w 330"/>
              <a:gd name="T51" fmla="*/ 58 h 144"/>
              <a:gd name="T52" fmla="*/ 304 w 330"/>
              <a:gd name="T53" fmla="*/ 73 h 144"/>
              <a:gd name="T54" fmla="*/ 299 w 330"/>
              <a:gd name="T55" fmla="*/ 102 h 144"/>
              <a:gd name="T56" fmla="*/ 291 w 330"/>
              <a:gd name="T57" fmla="*/ 138 h 144"/>
              <a:gd name="T58" fmla="*/ 285 w 330"/>
              <a:gd name="T59" fmla="*/ 142 h 144"/>
              <a:gd name="T60" fmla="*/ 299 w 330"/>
              <a:gd name="T61" fmla="*/ 141 h 144"/>
              <a:gd name="T62" fmla="*/ 316 w 330"/>
              <a:gd name="T63" fmla="*/ 104 h 144"/>
              <a:gd name="T64" fmla="*/ 326 w 330"/>
              <a:gd name="T65" fmla="*/ 119 h 144"/>
              <a:gd name="T66" fmla="*/ 99 w 330"/>
              <a:gd name="T67" fmla="*/ 61 h 144"/>
              <a:gd name="T68" fmla="*/ 106 w 330"/>
              <a:gd name="T69" fmla="*/ 61 h 144"/>
              <a:gd name="T70" fmla="*/ 202 w 330"/>
              <a:gd name="T71" fmla="*/ 78 h 144"/>
              <a:gd name="T72" fmla="*/ 209 w 330"/>
              <a:gd name="T73" fmla="*/ 79 h 144"/>
              <a:gd name="T74" fmla="*/ 306 w 330"/>
              <a:gd name="T75" fmla="*/ 96 h 144"/>
              <a:gd name="T76" fmla="*/ 313 w 330"/>
              <a:gd name="T77" fmla="*/ 96 h 1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Lst>
            <a:rect l="0" t="0" r="r" b="b"/>
            <a:pathLst>
              <a:path w="330" h="144">
                <a:moveTo>
                  <a:pt x="329" y="113"/>
                </a:moveTo>
                <a:cubicBezTo>
                  <a:pt x="311" y="65"/>
                  <a:pt x="311" y="65"/>
                  <a:pt x="311" y="65"/>
                </a:cubicBezTo>
                <a:cubicBezTo>
                  <a:pt x="312" y="54"/>
                  <a:pt x="312" y="54"/>
                  <a:pt x="312" y="54"/>
                </a:cubicBezTo>
                <a:cubicBezTo>
                  <a:pt x="313" y="52"/>
                  <a:pt x="311" y="50"/>
                  <a:pt x="309" y="50"/>
                </a:cubicBezTo>
                <a:cubicBezTo>
                  <a:pt x="221" y="36"/>
                  <a:pt x="221" y="36"/>
                  <a:pt x="221" y="36"/>
                </a:cubicBezTo>
                <a:cubicBezTo>
                  <a:pt x="218" y="36"/>
                  <a:pt x="216" y="37"/>
                  <a:pt x="216" y="39"/>
                </a:cubicBezTo>
                <a:cubicBezTo>
                  <a:pt x="213" y="61"/>
                  <a:pt x="213" y="61"/>
                  <a:pt x="213" y="61"/>
                </a:cubicBezTo>
                <a:cubicBezTo>
                  <a:pt x="207" y="48"/>
                  <a:pt x="207" y="48"/>
                  <a:pt x="207" y="48"/>
                </a:cubicBezTo>
                <a:cubicBezTo>
                  <a:pt x="209" y="37"/>
                  <a:pt x="209" y="37"/>
                  <a:pt x="209" y="37"/>
                </a:cubicBezTo>
                <a:cubicBezTo>
                  <a:pt x="210" y="35"/>
                  <a:pt x="208" y="33"/>
                  <a:pt x="206" y="33"/>
                </a:cubicBezTo>
                <a:cubicBezTo>
                  <a:pt x="118" y="18"/>
                  <a:pt x="118" y="18"/>
                  <a:pt x="118" y="18"/>
                </a:cubicBezTo>
                <a:cubicBezTo>
                  <a:pt x="116" y="18"/>
                  <a:pt x="114" y="19"/>
                  <a:pt x="113" y="21"/>
                </a:cubicBezTo>
                <a:cubicBezTo>
                  <a:pt x="109" y="45"/>
                  <a:pt x="109" y="45"/>
                  <a:pt x="109" y="45"/>
                </a:cubicBezTo>
                <a:cubicBezTo>
                  <a:pt x="104" y="30"/>
                  <a:pt x="104" y="30"/>
                  <a:pt x="104" y="30"/>
                </a:cubicBezTo>
                <a:cubicBezTo>
                  <a:pt x="106" y="19"/>
                  <a:pt x="106" y="19"/>
                  <a:pt x="106" y="19"/>
                </a:cubicBezTo>
                <a:cubicBezTo>
                  <a:pt x="106" y="17"/>
                  <a:pt x="104" y="15"/>
                  <a:pt x="102" y="15"/>
                </a:cubicBezTo>
                <a:cubicBezTo>
                  <a:pt x="14" y="0"/>
                  <a:pt x="14" y="0"/>
                  <a:pt x="14" y="0"/>
                </a:cubicBezTo>
                <a:cubicBezTo>
                  <a:pt x="12" y="0"/>
                  <a:pt x="10" y="1"/>
                  <a:pt x="10" y="3"/>
                </a:cubicBezTo>
                <a:cubicBezTo>
                  <a:pt x="0" y="61"/>
                  <a:pt x="0" y="61"/>
                  <a:pt x="0" y="61"/>
                </a:cubicBezTo>
                <a:cubicBezTo>
                  <a:pt x="5" y="62"/>
                  <a:pt x="5" y="62"/>
                  <a:pt x="5" y="62"/>
                </a:cubicBezTo>
                <a:cubicBezTo>
                  <a:pt x="14" y="8"/>
                  <a:pt x="14" y="8"/>
                  <a:pt x="14" y="8"/>
                </a:cubicBezTo>
                <a:cubicBezTo>
                  <a:pt x="15" y="7"/>
                  <a:pt x="16" y="6"/>
                  <a:pt x="17" y="6"/>
                </a:cubicBezTo>
                <a:cubicBezTo>
                  <a:pt x="97" y="20"/>
                  <a:pt x="97" y="20"/>
                  <a:pt x="97" y="20"/>
                </a:cubicBezTo>
                <a:cubicBezTo>
                  <a:pt x="99" y="20"/>
                  <a:pt x="100" y="21"/>
                  <a:pt x="99" y="23"/>
                </a:cubicBezTo>
                <a:cubicBezTo>
                  <a:pt x="97" y="36"/>
                  <a:pt x="97" y="36"/>
                  <a:pt x="97" y="36"/>
                </a:cubicBezTo>
                <a:cubicBezTo>
                  <a:pt x="97" y="38"/>
                  <a:pt x="97" y="38"/>
                  <a:pt x="97" y="38"/>
                </a:cubicBezTo>
                <a:cubicBezTo>
                  <a:pt x="93" y="60"/>
                  <a:pt x="93" y="60"/>
                  <a:pt x="93" y="60"/>
                </a:cubicBezTo>
                <a:cubicBezTo>
                  <a:pt x="92" y="67"/>
                  <a:pt x="92" y="67"/>
                  <a:pt x="92" y="67"/>
                </a:cubicBezTo>
                <a:cubicBezTo>
                  <a:pt x="90" y="77"/>
                  <a:pt x="90" y="77"/>
                  <a:pt x="90" y="77"/>
                </a:cubicBezTo>
                <a:cubicBezTo>
                  <a:pt x="96" y="77"/>
                  <a:pt x="96" y="77"/>
                  <a:pt x="96" y="77"/>
                </a:cubicBezTo>
                <a:cubicBezTo>
                  <a:pt x="97" y="68"/>
                  <a:pt x="97" y="68"/>
                  <a:pt x="97" y="68"/>
                </a:cubicBezTo>
                <a:cubicBezTo>
                  <a:pt x="105" y="69"/>
                  <a:pt x="105" y="69"/>
                  <a:pt x="105" y="69"/>
                </a:cubicBezTo>
                <a:cubicBezTo>
                  <a:pt x="104" y="79"/>
                  <a:pt x="104" y="79"/>
                  <a:pt x="104" y="79"/>
                </a:cubicBezTo>
                <a:cubicBezTo>
                  <a:pt x="109" y="80"/>
                  <a:pt x="109" y="80"/>
                  <a:pt x="109" y="80"/>
                </a:cubicBezTo>
                <a:cubicBezTo>
                  <a:pt x="118" y="26"/>
                  <a:pt x="118" y="26"/>
                  <a:pt x="118" y="26"/>
                </a:cubicBezTo>
                <a:cubicBezTo>
                  <a:pt x="118" y="25"/>
                  <a:pt x="120" y="24"/>
                  <a:pt x="121" y="24"/>
                </a:cubicBezTo>
                <a:cubicBezTo>
                  <a:pt x="201" y="38"/>
                  <a:pt x="201" y="38"/>
                  <a:pt x="201" y="38"/>
                </a:cubicBezTo>
                <a:cubicBezTo>
                  <a:pt x="202" y="38"/>
                  <a:pt x="203" y="39"/>
                  <a:pt x="203" y="41"/>
                </a:cubicBezTo>
                <a:cubicBezTo>
                  <a:pt x="201" y="54"/>
                  <a:pt x="201" y="54"/>
                  <a:pt x="201" y="54"/>
                </a:cubicBezTo>
                <a:cubicBezTo>
                  <a:pt x="201" y="56"/>
                  <a:pt x="201" y="56"/>
                  <a:pt x="201" y="56"/>
                </a:cubicBezTo>
                <a:cubicBezTo>
                  <a:pt x="197" y="78"/>
                  <a:pt x="197" y="78"/>
                  <a:pt x="197" y="78"/>
                </a:cubicBezTo>
                <a:cubicBezTo>
                  <a:pt x="196" y="85"/>
                  <a:pt x="196" y="85"/>
                  <a:pt x="196" y="85"/>
                </a:cubicBezTo>
                <a:cubicBezTo>
                  <a:pt x="194" y="94"/>
                  <a:pt x="194" y="94"/>
                  <a:pt x="194" y="94"/>
                </a:cubicBezTo>
                <a:cubicBezTo>
                  <a:pt x="200" y="95"/>
                  <a:pt x="200" y="95"/>
                  <a:pt x="200" y="95"/>
                </a:cubicBezTo>
                <a:cubicBezTo>
                  <a:pt x="201" y="86"/>
                  <a:pt x="201" y="86"/>
                  <a:pt x="201" y="86"/>
                </a:cubicBezTo>
                <a:cubicBezTo>
                  <a:pt x="209" y="87"/>
                  <a:pt x="209" y="87"/>
                  <a:pt x="209" y="87"/>
                </a:cubicBezTo>
                <a:cubicBezTo>
                  <a:pt x="207" y="96"/>
                  <a:pt x="207" y="96"/>
                  <a:pt x="207" y="96"/>
                </a:cubicBezTo>
                <a:cubicBezTo>
                  <a:pt x="213" y="97"/>
                  <a:pt x="213" y="97"/>
                  <a:pt x="213" y="97"/>
                </a:cubicBezTo>
                <a:cubicBezTo>
                  <a:pt x="221" y="44"/>
                  <a:pt x="221" y="44"/>
                  <a:pt x="221" y="44"/>
                </a:cubicBezTo>
                <a:cubicBezTo>
                  <a:pt x="221" y="43"/>
                  <a:pt x="223" y="42"/>
                  <a:pt x="224" y="42"/>
                </a:cubicBezTo>
                <a:cubicBezTo>
                  <a:pt x="304" y="55"/>
                  <a:pt x="304" y="55"/>
                  <a:pt x="304" y="55"/>
                </a:cubicBezTo>
                <a:cubicBezTo>
                  <a:pt x="305" y="55"/>
                  <a:pt x="306" y="56"/>
                  <a:pt x="306" y="58"/>
                </a:cubicBezTo>
                <a:cubicBezTo>
                  <a:pt x="304" y="71"/>
                  <a:pt x="304" y="71"/>
                  <a:pt x="304" y="71"/>
                </a:cubicBezTo>
                <a:cubicBezTo>
                  <a:pt x="304" y="73"/>
                  <a:pt x="304" y="73"/>
                  <a:pt x="304" y="73"/>
                </a:cubicBezTo>
                <a:cubicBezTo>
                  <a:pt x="300" y="95"/>
                  <a:pt x="300" y="95"/>
                  <a:pt x="300" y="95"/>
                </a:cubicBezTo>
                <a:cubicBezTo>
                  <a:pt x="299" y="102"/>
                  <a:pt x="299" y="102"/>
                  <a:pt x="299" y="102"/>
                </a:cubicBezTo>
                <a:cubicBezTo>
                  <a:pt x="294" y="135"/>
                  <a:pt x="294" y="135"/>
                  <a:pt x="294" y="135"/>
                </a:cubicBezTo>
                <a:cubicBezTo>
                  <a:pt x="294" y="137"/>
                  <a:pt x="292" y="138"/>
                  <a:pt x="291" y="138"/>
                </a:cubicBezTo>
                <a:cubicBezTo>
                  <a:pt x="286" y="137"/>
                  <a:pt x="286" y="137"/>
                  <a:pt x="286" y="137"/>
                </a:cubicBezTo>
                <a:cubicBezTo>
                  <a:pt x="285" y="142"/>
                  <a:pt x="285" y="142"/>
                  <a:pt x="285" y="142"/>
                </a:cubicBezTo>
                <a:cubicBezTo>
                  <a:pt x="294" y="144"/>
                  <a:pt x="294" y="144"/>
                  <a:pt x="294" y="144"/>
                </a:cubicBezTo>
                <a:cubicBezTo>
                  <a:pt x="296" y="144"/>
                  <a:pt x="298" y="143"/>
                  <a:pt x="299" y="141"/>
                </a:cubicBezTo>
                <a:cubicBezTo>
                  <a:pt x="305" y="103"/>
                  <a:pt x="305" y="103"/>
                  <a:pt x="305" y="103"/>
                </a:cubicBezTo>
                <a:cubicBezTo>
                  <a:pt x="316" y="104"/>
                  <a:pt x="316" y="104"/>
                  <a:pt x="316" y="104"/>
                </a:cubicBezTo>
                <a:cubicBezTo>
                  <a:pt x="320" y="116"/>
                  <a:pt x="320" y="116"/>
                  <a:pt x="320" y="116"/>
                </a:cubicBezTo>
                <a:cubicBezTo>
                  <a:pt x="321" y="118"/>
                  <a:pt x="324" y="120"/>
                  <a:pt x="326" y="119"/>
                </a:cubicBezTo>
                <a:cubicBezTo>
                  <a:pt x="329" y="118"/>
                  <a:pt x="330" y="115"/>
                  <a:pt x="329" y="113"/>
                </a:cubicBezTo>
                <a:close/>
                <a:moveTo>
                  <a:pt x="99" y="61"/>
                </a:moveTo>
                <a:cubicBezTo>
                  <a:pt x="101" y="48"/>
                  <a:pt x="101" y="48"/>
                  <a:pt x="101" y="48"/>
                </a:cubicBezTo>
                <a:cubicBezTo>
                  <a:pt x="106" y="61"/>
                  <a:pt x="106" y="61"/>
                  <a:pt x="106" y="61"/>
                </a:cubicBezTo>
                <a:lnTo>
                  <a:pt x="99" y="61"/>
                </a:lnTo>
                <a:close/>
                <a:moveTo>
                  <a:pt x="202" y="78"/>
                </a:moveTo>
                <a:cubicBezTo>
                  <a:pt x="204" y="66"/>
                  <a:pt x="204" y="66"/>
                  <a:pt x="204" y="66"/>
                </a:cubicBezTo>
                <a:cubicBezTo>
                  <a:pt x="209" y="79"/>
                  <a:pt x="209" y="79"/>
                  <a:pt x="209" y="79"/>
                </a:cubicBezTo>
                <a:lnTo>
                  <a:pt x="202" y="78"/>
                </a:lnTo>
                <a:close/>
                <a:moveTo>
                  <a:pt x="306" y="96"/>
                </a:moveTo>
                <a:cubicBezTo>
                  <a:pt x="308" y="83"/>
                  <a:pt x="308" y="83"/>
                  <a:pt x="308" y="83"/>
                </a:cubicBezTo>
                <a:cubicBezTo>
                  <a:pt x="313" y="96"/>
                  <a:pt x="313" y="96"/>
                  <a:pt x="313" y="96"/>
                </a:cubicBezTo>
                <a:lnTo>
                  <a:pt x="306" y="9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a:p>
        </xdr:txBody>
      </xdr:sp>
    </xdr:grpSp>
    <xdr:clientData/>
  </xdr:twoCellAnchor>
  <xdr:twoCellAnchor>
    <xdr:from>
      <xdr:col>3</xdr:col>
      <xdr:colOff>1918040</xdr:colOff>
      <xdr:row>92</xdr:row>
      <xdr:rowOff>92463</xdr:rowOff>
    </xdr:from>
    <xdr:to>
      <xdr:col>3</xdr:col>
      <xdr:colOff>2283266</xdr:colOff>
      <xdr:row>99</xdr:row>
      <xdr:rowOff>144991</xdr:rowOff>
    </xdr:to>
    <xdr:sp macro="" textlink="">
      <xdr:nvSpPr>
        <xdr:cNvPr id="250" name="正方形/長方形 249">
          <a:extLst>
            <a:ext uri="{FF2B5EF4-FFF2-40B4-BE49-F238E27FC236}">
              <a16:creationId xmlns:a16="http://schemas.microsoft.com/office/drawing/2014/main" id="{4BD74E35-7577-4E58-80C6-E7E5528601BB}"/>
            </a:ext>
          </a:extLst>
        </xdr:cNvPr>
        <xdr:cNvSpPr/>
      </xdr:nvSpPr>
      <xdr:spPr>
        <a:xfrm>
          <a:off x="3061040" y="21037938"/>
          <a:ext cx="365226" cy="1719403"/>
        </a:xfrm>
        <a:prstGeom prst="rect">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1923356</xdr:colOff>
      <xdr:row>97</xdr:row>
      <xdr:rowOff>99288</xdr:rowOff>
    </xdr:from>
    <xdr:to>
      <xdr:col>4</xdr:col>
      <xdr:colOff>747025</xdr:colOff>
      <xdr:row>100</xdr:row>
      <xdr:rowOff>72546</xdr:rowOff>
    </xdr:to>
    <xdr:sp macro="" textlink="">
      <xdr:nvSpPr>
        <xdr:cNvPr id="251" name="矢印: 右 250">
          <a:extLst>
            <a:ext uri="{FF2B5EF4-FFF2-40B4-BE49-F238E27FC236}">
              <a16:creationId xmlns:a16="http://schemas.microsoft.com/office/drawing/2014/main" id="{49B870C6-AEE9-41EB-8D41-06107CE3D9AE}"/>
            </a:ext>
          </a:extLst>
        </xdr:cNvPr>
        <xdr:cNvSpPr/>
      </xdr:nvSpPr>
      <xdr:spPr>
        <a:xfrm>
          <a:off x="3066356" y="22235388"/>
          <a:ext cx="1462094" cy="687633"/>
        </a:xfrm>
        <a:prstGeom prst="rightArrow">
          <a:avLst>
            <a:gd name="adj1" fmla="val 50000"/>
            <a:gd name="adj2" fmla="val 62339"/>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en-US" altLang="ja-JP" sz="1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3</xdr:col>
      <xdr:colOff>1009002</xdr:colOff>
      <xdr:row>94</xdr:row>
      <xdr:rowOff>196359</xdr:rowOff>
    </xdr:from>
    <xdr:to>
      <xdr:col>3</xdr:col>
      <xdr:colOff>2121735</xdr:colOff>
      <xdr:row>96</xdr:row>
      <xdr:rowOff>124913</xdr:rowOff>
    </xdr:to>
    <xdr:sp macro="" textlink="">
      <xdr:nvSpPr>
        <xdr:cNvPr id="252" name="正方形/長方形 251">
          <a:extLst>
            <a:ext uri="{FF2B5EF4-FFF2-40B4-BE49-F238E27FC236}">
              <a16:creationId xmlns:a16="http://schemas.microsoft.com/office/drawing/2014/main" id="{6BFC12D0-C20B-4E6B-9675-3527447D951B}"/>
            </a:ext>
          </a:extLst>
        </xdr:cNvPr>
        <xdr:cNvSpPr/>
      </xdr:nvSpPr>
      <xdr:spPr>
        <a:xfrm>
          <a:off x="2152002" y="21618084"/>
          <a:ext cx="1112733" cy="404804"/>
        </a:xfrm>
        <a:prstGeom prst="rect">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1403087</xdr:colOff>
      <xdr:row>91</xdr:row>
      <xdr:rowOff>172100</xdr:rowOff>
    </xdr:from>
    <xdr:to>
      <xdr:col>4</xdr:col>
      <xdr:colOff>586009</xdr:colOff>
      <xdr:row>94</xdr:row>
      <xdr:rowOff>106240</xdr:rowOff>
    </xdr:to>
    <xdr:sp macro="" textlink="">
      <xdr:nvSpPr>
        <xdr:cNvPr id="253" name="テキスト ボックス 41">
          <a:extLst>
            <a:ext uri="{FF2B5EF4-FFF2-40B4-BE49-F238E27FC236}">
              <a16:creationId xmlns:a16="http://schemas.microsoft.com/office/drawing/2014/main" id="{D6043EE3-94CA-4739-A8A3-6F2B7FC149B9}"/>
            </a:ext>
          </a:extLst>
        </xdr:cNvPr>
        <xdr:cNvSpPr txBox="1">
          <a:spLocks noChangeArrowheads="1"/>
        </xdr:cNvSpPr>
      </xdr:nvSpPr>
      <xdr:spPr bwMode="auto">
        <a:xfrm>
          <a:off x="2546087" y="20879450"/>
          <a:ext cx="1821347" cy="64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非化石証書</a:t>
          </a:r>
          <a:endParaRPr kumimoji="1" lang="en-US" altLang="ja-JP"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（市外）</a:t>
          </a:r>
          <a:endParaRPr kumimoji="1" lang="en-US" altLang="ja-JP"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3</xdr:col>
      <xdr:colOff>1334903</xdr:colOff>
      <xdr:row>97</xdr:row>
      <xdr:rowOff>158508</xdr:rowOff>
    </xdr:from>
    <xdr:to>
      <xdr:col>4</xdr:col>
      <xdr:colOff>546400</xdr:colOff>
      <xdr:row>100</xdr:row>
      <xdr:rowOff>93021</xdr:rowOff>
    </xdr:to>
    <xdr:sp macro="" textlink="">
      <xdr:nvSpPr>
        <xdr:cNvPr id="254" name="テキスト ボックス 41">
          <a:extLst>
            <a:ext uri="{FF2B5EF4-FFF2-40B4-BE49-F238E27FC236}">
              <a16:creationId xmlns:a16="http://schemas.microsoft.com/office/drawing/2014/main" id="{C2DAF8AB-F0C2-4934-8936-0168B9223C30}"/>
            </a:ext>
          </a:extLst>
        </xdr:cNvPr>
        <xdr:cNvSpPr txBox="1">
          <a:spLocks noChangeArrowheads="1"/>
        </xdr:cNvSpPr>
      </xdr:nvSpPr>
      <xdr:spPr bwMode="auto">
        <a:xfrm>
          <a:off x="2477903" y="22294608"/>
          <a:ext cx="1849922" cy="648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1" fontAlgn="base" latinLnBrk="0" hangingPunct="1">
            <a:lnSpc>
              <a:spcPct val="100000"/>
            </a:lnSpc>
            <a:spcBef>
              <a:spcPts val="600"/>
            </a:spcBef>
            <a:spcAft>
              <a:spcPct val="0"/>
            </a:spcAft>
            <a:buClrTx/>
            <a:buSzTx/>
            <a:buFont typeface="Arial" panose="020B0604020202020204" pitchFamily="34" charset="0"/>
            <a:buNone/>
            <a:tabLst/>
            <a:defRPr/>
          </a:pPr>
          <a:r>
            <a:rPr kumimoji="1" lang="ja-JP" altLang="en-US"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非化石証書</a:t>
          </a:r>
          <a:endParaRPr kumimoji="1" lang="en-US" altLang="ja-JP"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marL="0" marR="0" lvl="0" indent="0" algn="ctr" defTabSz="914400" rtl="0" eaLnBrk="1" fontAlgn="base" latinLnBrk="0" hangingPunct="1">
            <a:lnSpc>
              <a:spcPct val="100000"/>
            </a:lnSpc>
            <a:spcBef>
              <a:spcPts val="0"/>
            </a:spcBef>
            <a:spcAft>
              <a:spcPct val="0"/>
            </a:spcAft>
            <a:buClrTx/>
            <a:buSzTx/>
            <a:buFont typeface="Arial" panose="020B0604020202020204" pitchFamily="34" charset="0"/>
            <a:buNone/>
            <a:tabLst/>
            <a:defRPr/>
          </a:pPr>
          <a:r>
            <a:rPr kumimoji="1" lang="ja-JP" altLang="en-US"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（市外）</a:t>
          </a:r>
          <a:endParaRPr kumimoji="1" lang="en-US" altLang="ja-JP"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1</xdr:col>
      <xdr:colOff>148738</xdr:colOff>
      <xdr:row>75</xdr:row>
      <xdr:rowOff>186825</xdr:rowOff>
    </xdr:from>
    <xdr:to>
      <xdr:col>3</xdr:col>
      <xdr:colOff>1306503</xdr:colOff>
      <xdr:row>77</xdr:row>
      <xdr:rowOff>37963</xdr:rowOff>
    </xdr:to>
    <xdr:sp macro="" textlink="">
      <xdr:nvSpPr>
        <xdr:cNvPr id="255" name="正方形/長方形 254">
          <a:extLst>
            <a:ext uri="{FF2B5EF4-FFF2-40B4-BE49-F238E27FC236}">
              <a16:creationId xmlns:a16="http://schemas.microsoft.com/office/drawing/2014/main" id="{4614CAF9-249D-4D97-A0EA-69F46F7952CE}"/>
            </a:ext>
          </a:extLst>
        </xdr:cNvPr>
        <xdr:cNvSpPr/>
      </xdr:nvSpPr>
      <xdr:spPr>
        <a:xfrm>
          <a:off x="434488" y="17084175"/>
          <a:ext cx="2015015" cy="327388"/>
        </a:xfrm>
        <a:prstGeom prst="rect">
          <a:avLst/>
        </a:prstGeom>
        <a:solidFill>
          <a:schemeClr val="bg2"/>
        </a:solidFill>
        <a:ln>
          <a:solidFill>
            <a:schemeClr val="bg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400">
              <a:solidFill>
                <a:schemeClr val="tx1"/>
              </a:solidFill>
              <a:latin typeface="Meiryo UI" panose="020B0604030504040204" pitchFamily="50" charset="-128"/>
              <a:ea typeface="Meiryo UI" panose="020B0604030504040204" pitchFamily="50" charset="-128"/>
            </a:rPr>
            <a:t>供給</a:t>
          </a:r>
          <a:endParaRPr kumimoji="1" lang="en-US" altLang="ja-JP" sz="14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382969</xdr:colOff>
      <xdr:row>75</xdr:row>
      <xdr:rowOff>185821</xdr:rowOff>
    </xdr:from>
    <xdr:to>
      <xdr:col>12</xdr:col>
      <xdr:colOff>205586</xdr:colOff>
      <xdr:row>77</xdr:row>
      <xdr:rowOff>37266</xdr:rowOff>
    </xdr:to>
    <xdr:sp macro="" textlink="">
      <xdr:nvSpPr>
        <xdr:cNvPr id="256" name="正方形/長方形 255">
          <a:extLst>
            <a:ext uri="{FF2B5EF4-FFF2-40B4-BE49-F238E27FC236}">
              <a16:creationId xmlns:a16="http://schemas.microsoft.com/office/drawing/2014/main" id="{53B93F40-EAED-4AD3-851B-95A6B663C2CD}"/>
            </a:ext>
          </a:extLst>
        </xdr:cNvPr>
        <xdr:cNvSpPr/>
      </xdr:nvSpPr>
      <xdr:spPr>
        <a:xfrm>
          <a:off x="7117144" y="17083171"/>
          <a:ext cx="4966117" cy="327695"/>
        </a:xfrm>
        <a:prstGeom prst="rect">
          <a:avLst/>
        </a:prstGeom>
        <a:solidFill>
          <a:schemeClr val="bg2"/>
        </a:solidFill>
        <a:ln>
          <a:solidFill>
            <a:schemeClr val="bg2"/>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400">
              <a:solidFill>
                <a:schemeClr val="tx1"/>
              </a:solidFill>
              <a:latin typeface="Meiryo UI" panose="020B0604030504040204" pitchFamily="50" charset="-128"/>
              <a:ea typeface="Meiryo UI" panose="020B0604030504040204" pitchFamily="50" charset="-128"/>
            </a:rPr>
            <a:t>需要</a:t>
          </a:r>
          <a:endParaRPr kumimoji="1" lang="en-US" altLang="ja-JP" sz="1400">
            <a:solidFill>
              <a:schemeClr val="tx1"/>
            </a:solidFill>
            <a:latin typeface="Meiryo UI" panose="020B0604030504040204" pitchFamily="50" charset="-128"/>
            <a:ea typeface="Meiryo UI" panose="020B0604030504040204" pitchFamily="50" charset="-128"/>
          </a:endParaRPr>
        </a:p>
      </xdr:txBody>
    </xdr:sp>
    <xdr:clientData/>
  </xdr:twoCellAnchor>
  <xdr:oneCellAnchor>
    <xdr:from>
      <xdr:col>2</xdr:col>
      <xdr:colOff>411286</xdr:colOff>
      <xdr:row>72</xdr:row>
      <xdr:rowOff>229145</xdr:rowOff>
    </xdr:from>
    <xdr:ext cx="10927772" cy="521425"/>
    <xdr:sp macro="" textlink="">
      <xdr:nvSpPr>
        <xdr:cNvPr id="257" name="テキスト ボックス 256">
          <a:extLst>
            <a:ext uri="{FF2B5EF4-FFF2-40B4-BE49-F238E27FC236}">
              <a16:creationId xmlns:a16="http://schemas.microsoft.com/office/drawing/2014/main" id="{F07DCE20-B13B-4217-B700-14425C3A791B}"/>
            </a:ext>
          </a:extLst>
        </xdr:cNvPr>
        <xdr:cNvSpPr txBox="1"/>
      </xdr:nvSpPr>
      <xdr:spPr>
        <a:xfrm>
          <a:off x="954211" y="16412120"/>
          <a:ext cx="10927772" cy="521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2000"/>
            <a:t>【</a:t>
          </a:r>
          <a:r>
            <a:rPr kumimoji="1" lang="ja-JP" altLang="en-US" sz="2000"/>
            <a:t>参考図</a:t>
          </a:r>
          <a:r>
            <a:rPr kumimoji="1" lang="en-US" altLang="ja-JP" sz="2000"/>
            <a:t>】</a:t>
          </a:r>
          <a:r>
            <a:rPr kumimoji="1" lang="ja-JP" altLang="en-US" sz="2000"/>
            <a:t>電力調達・需給管理　（必要に応じて図・書式をご利用ください）</a:t>
          </a:r>
        </a:p>
      </xdr:txBody>
    </xdr:sp>
    <xdr:clientData/>
  </xdr:oneCellAnchor>
  <xdr:oneCellAnchor>
    <xdr:from>
      <xdr:col>13</xdr:col>
      <xdr:colOff>333375</xdr:colOff>
      <xdr:row>1</xdr:row>
      <xdr:rowOff>0</xdr:rowOff>
    </xdr:from>
    <xdr:ext cx="2993906" cy="1267715"/>
    <xdr:sp macro="" textlink="">
      <xdr:nvSpPr>
        <xdr:cNvPr id="258" name="吹き出し: 角を丸めた四角形 4">
          <a:extLst>
            <a:ext uri="{FF2B5EF4-FFF2-40B4-BE49-F238E27FC236}">
              <a16:creationId xmlns:a16="http://schemas.microsoft.com/office/drawing/2014/main" id="{EFAD634A-B29C-4F47-8379-1A5A847F77F8}"/>
            </a:ext>
          </a:extLst>
        </xdr:cNvPr>
        <xdr:cNvSpPr/>
      </xdr:nvSpPr>
      <xdr:spPr>
        <a:xfrm>
          <a:off x="13228760" y="307731"/>
          <a:ext cx="2993906" cy="1267715"/>
        </a:xfrm>
        <a:prstGeom prst="wedgeRoundRectCallout">
          <a:avLst>
            <a:gd name="adj1" fmla="val 43853"/>
            <a:gd name="adj2" fmla="val 7551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電力供給量には</a:t>
          </a:r>
          <a:r>
            <a:rPr kumimoji="1" lang="en-US" altLang="ja-JP" sz="1400" b="0">
              <a:solidFill>
                <a:sysClr val="windowText" lastClr="000000"/>
              </a:solidFill>
              <a:latin typeface="Meiryo UI" panose="020B0604030504040204" pitchFamily="50" charset="-128"/>
              <a:ea typeface="Meiryo UI" panose="020B0604030504040204" pitchFamily="50" charset="-128"/>
            </a:rPr>
            <a:t>F</a:t>
          </a:r>
          <a:r>
            <a:rPr kumimoji="1" lang="ja-JP" altLang="en-US" sz="1400" b="0">
              <a:solidFill>
                <a:sysClr val="windowText" lastClr="000000"/>
              </a:solidFill>
              <a:latin typeface="Meiryo UI" panose="020B0604030504040204" pitchFamily="50" charset="-128"/>
              <a:ea typeface="Meiryo UI" panose="020B0604030504040204" pitchFamily="50" charset="-128"/>
            </a:rPr>
            <a:t>列から</a:t>
          </a:r>
          <a:r>
            <a:rPr kumimoji="1" lang="en-US" altLang="ja-JP" sz="1400" b="0">
              <a:solidFill>
                <a:sysClr val="windowText" lastClr="000000"/>
              </a:solidFill>
              <a:latin typeface="Meiryo UI" panose="020B0604030504040204" pitchFamily="50" charset="-128"/>
              <a:ea typeface="Meiryo UI" panose="020B0604030504040204" pitchFamily="50" charset="-128"/>
            </a:rPr>
            <a:t>M</a:t>
          </a:r>
          <a:r>
            <a:rPr kumimoji="1" lang="ja-JP" altLang="en-US" sz="1400" b="0">
              <a:solidFill>
                <a:sysClr val="windowText" lastClr="000000"/>
              </a:solidFill>
              <a:latin typeface="Meiryo UI" panose="020B0604030504040204" pitchFamily="50" charset="-128"/>
              <a:ea typeface="Meiryo UI" panose="020B0604030504040204" pitchFamily="50" charset="-128"/>
            </a:rPr>
            <a:t>列までの</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ja-JP" altLang="en-US" sz="1400" b="0">
              <a:solidFill>
                <a:sysClr val="windowText" lastClr="000000"/>
              </a:solidFill>
              <a:latin typeface="Meiryo UI" panose="020B0604030504040204" pitchFamily="50" charset="-128"/>
              <a:ea typeface="Meiryo UI" panose="020B0604030504040204" pitchFamily="50" charset="-128"/>
            </a:rPr>
            <a:t>和が自動計算されるため</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O</a:t>
          </a:r>
          <a:r>
            <a:rPr kumimoji="1" lang="ja-JP" altLang="en-US" sz="1400" b="0">
              <a:solidFill>
                <a:sysClr val="windowText" lastClr="000000"/>
              </a:solidFill>
              <a:latin typeface="Meiryo UI" panose="020B0604030504040204" pitchFamily="50" charset="-128"/>
              <a:ea typeface="Meiryo UI" panose="020B0604030504040204" pitchFamily="50" charset="-128"/>
            </a:rPr>
            <a:t>列への入力は不要です</a:t>
          </a:r>
        </a:p>
      </xdr:txBody>
    </xdr:sp>
    <xdr:clientData/>
  </xdr:oneCellAnchor>
  <xdr:absoluteAnchor>
    <xdr:pos x="17432581" y="9505006"/>
    <xdr:ext cx="7975264" cy="9056293"/>
    <xdr:pic>
      <xdr:nvPicPr>
        <xdr:cNvPr id="259" name="図 1">
          <a:extLst>
            <a:ext uri="{FF2B5EF4-FFF2-40B4-BE49-F238E27FC236}">
              <a16:creationId xmlns:a16="http://schemas.microsoft.com/office/drawing/2014/main" id="{02777CB9-781A-4EC0-A3B4-73CDA19B9F99}"/>
            </a:ext>
          </a:extLst>
        </xdr:cNvPr>
        <xdr:cNvPicPr>
          <a:picLocks noChangeAspect="1"/>
        </xdr:cNvPicPr>
      </xdr:nvPicPr>
      <xdr:blipFill>
        <a:blip xmlns:r="http://schemas.openxmlformats.org/officeDocument/2006/relationships" r:embed="rId4"/>
        <a:stretch>
          <a:fillRect/>
        </a:stretch>
      </xdr:blipFill>
      <xdr:spPr>
        <a:xfrm>
          <a:off x="17432581" y="9505006"/>
          <a:ext cx="7975264" cy="9056293"/>
        </a:xfrm>
        <a:prstGeom prst="rect">
          <a:avLst/>
        </a:prstGeom>
      </xdr:spPr>
    </xdr:pic>
    <xdr:clientData/>
  </xdr:absoluteAnchor>
  <xdr:absoluteAnchor>
    <xdr:pos x="29207609" y="382880"/>
    <xdr:ext cx="8016861" cy="8167754"/>
    <xdr:pic>
      <xdr:nvPicPr>
        <xdr:cNvPr id="260" name="図 4">
          <a:extLst>
            <a:ext uri="{FF2B5EF4-FFF2-40B4-BE49-F238E27FC236}">
              <a16:creationId xmlns:a16="http://schemas.microsoft.com/office/drawing/2014/main" id="{FE37C977-479E-46AA-86CC-65340CD7FB6B}"/>
            </a:ext>
          </a:extLst>
        </xdr:cNvPr>
        <xdr:cNvPicPr>
          <a:picLocks noChangeAspect="1"/>
        </xdr:cNvPicPr>
      </xdr:nvPicPr>
      <xdr:blipFill>
        <a:blip xmlns:r="http://schemas.openxmlformats.org/officeDocument/2006/relationships" r:embed="rId5"/>
        <a:stretch>
          <a:fillRect/>
        </a:stretch>
      </xdr:blipFill>
      <xdr:spPr>
        <a:xfrm>
          <a:off x="29207609" y="382880"/>
          <a:ext cx="8016861" cy="8167754"/>
        </a:xfrm>
        <a:prstGeom prst="rect">
          <a:avLst/>
        </a:prstGeom>
      </xdr:spPr>
    </xdr:pic>
    <xdr:clientData/>
  </xdr:absoluteAnchor>
  <xdr:oneCellAnchor>
    <xdr:from>
      <xdr:col>9</xdr:col>
      <xdr:colOff>256495</xdr:colOff>
      <xdr:row>14</xdr:row>
      <xdr:rowOff>188178</xdr:rowOff>
    </xdr:from>
    <xdr:ext cx="5313816" cy="3641725"/>
    <xdr:sp macro="" textlink="">
      <xdr:nvSpPr>
        <xdr:cNvPr id="271" name="吹き出し: 角を丸めた四角形 62">
          <a:extLst>
            <a:ext uri="{FF2B5EF4-FFF2-40B4-BE49-F238E27FC236}">
              <a16:creationId xmlns:a16="http://schemas.microsoft.com/office/drawing/2014/main" id="{14FEC223-D079-47CF-93A0-40335D30BB77}"/>
            </a:ext>
          </a:extLst>
        </xdr:cNvPr>
        <xdr:cNvSpPr/>
      </xdr:nvSpPr>
      <xdr:spPr>
        <a:xfrm>
          <a:off x="9048070" y="3817203"/>
          <a:ext cx="5313816" cy="3641725"/>
        </a:xfrm>
        <a:prstGeom prst="wedgeRoundRectCallout">
          <a:avLst>
            <a:gd name="adj1" fmla="val -17033"/>
            <a:gd name="adj2" fmla="val -8163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再エネ等の電力供給元（発電主体）</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＜記入例＞</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・自家消費オンサイト</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・自家消費オフサイト</a:t>
          </a:r>
          <a:r>
            <a:rPr kumimoji="1" lang="en-US" altLang="ja-JP" sz="1400" b="0">
              <a:solidFill>
                <a:sysClr val="windowText" lastClr="000000"/>
              </a:solidFill>
              <a:latin typeface="Meiryo UI" panose="020B0604030504040204" pitchFamily="50" charset="-128"/>
              <a:ea typeface="Meiryo UI" panose="020B0604030504040204" pitchFamily="50" charset="-128"/>
            </a:rPr>
            <a:t>PPA</a:t>
          </a:r>
          <a:r>
            <a:rPr kumimoji="1" lang="ja-JP" altLang="en-US" sz="1400" b="0">
              <a:solidFill>
                <a:sysClr val="windowText" lastClr="000000"/>
              </a:solidFill>
              <a:latin typeface="Meiryo UI" panose="020B0604030504040204" pitchFamily="50" charset="-128"/>
              <a:ea typeface="Meiryo UI" panose="020B0604030504040204" pitchFamily="50" charset="-128"/>
            </a:rPr>
            <a:t>（○○会社による太陽光発電</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野立て</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・相対契約（○○会社による○○地区太陽光発電）</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・相対契約（○○会社による○○地区○○バイオマス発電）</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・相対契約（広域連携協定に基づく域外再エネ発電設備）</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・再エネ電力メニュー（地域新電力）</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・再エネ電力メニュー（広域連携協定に基づく共同購入）</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・証書同等（廃棄物発電のプラスチック発電分）</a:t>
          </a:r>
        </a:p>
      </xdr:txBody>
    </xdr:sp>
    <xdr:clientData/>
  </xdr:oneCellAnchor>
  <xdr:oneCellAnchor>
    <xdr:from>
      <xdr:col>3</xdr:col>
      <xdr:colOff>869228</xdr:colOff>
      <xdr:row>25</xdr:row>
      <xdr:rowOff>206094</xdr:rowOff>
    </xdr:from>
    <xdr:ext cx="4023071" cy="1273944"/>
    <xdr:sp macro="" textlink="">
      <xdr:nvSpPr>
        <xdr:cNvPr id="272" name="吹き出し: 角を丸めた四角形 271">
          <a:extLst>
            <a:ext uri="{FF2B5EF4-FFF2-40B4-BE49-F238E27FC236}">
              <a16:creationId xmlns:a16="http://schemas.microsoft.com/office/drawing/2014/main" id="{3645409D-E638-4F07-AABD-6EAEF1CE5138}"/>
            </a:ext>
          </a:extLst>
        </xdr:cNvPr>
        <xdr:cNvSpPr/>
      </xdr:nvSpPr>
      <xdr:spPr>
        <a:xfrm>
          <a:off x="2026882" y="5921094"/>
          <a:ext cx="4023071" cy="1273944"/>
        </a:xfrm>
        <a:prstGeom prst="wedgeRoundRectCallout">
          <a:avLst>
            <a:gd name="adj1" fmla="val -75825"/>
            <a:gd name="adj2" fmla="val -7076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対象が入力されている行</a:t>
          </a:r>
          <a:r>
            <a:rPr kumimoji="1" lang="ja-JP" altLang="en-US" sz="1400" b="0">
              <a:solidFill>
                <a:sysClr val="windowText" lastClr="000000"/>
              </a:solidFill>
              <a:latin typeface="Meiryo UI" panose="020B0604030504040204" pitchFamily="50" charset="-128"/>
              <a:ea typeface="Meiryo UI" panose="020B0604030504040204" pitchFamily="50" charset="-128"/>
            </a:rPr>
            <a:t>を</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コピーしたセルの挿入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にて複製すると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エラーの原因になりますのでお控えください</a:t>
          </a:r>
          <a:endParaRPr kumimoji="1" lang="ja-JP" altLang="en-US" sz="1400" b="0">
            <a:solidFill>
              <a:srgbClr val="FF0000"/>
            </a:solidFill>
            <a:latin typeface="Meiryo UI" panose="020B0604030504040204" pitchFamily="50" charset="-128"/>
            <a:ea typeface="Meiryo UI" panose="020B0604030504040204" pitchFamily="50" charset="-128"/>
          </a:endParaRPr>
        </a:p>
      </xdr:txBody>
    </xdr:sp>
    <xdr:clientData/>
  </xdr:oneCellAnchor>
  <xdr:oneCellAnchor>
    <xdr:from>
      <xdr:col>3</xdr:col>
      <xdr:colOff>1209140</xdr:colOff>
      <xdr:row>16</xdr:row>
      <xdr:rowOff>215389</xdr:rowOff>
    </xdr:from>
    <xdr:ext cx="4514373" cy="982530"/>
    <xdr:sp macro="" textlink="">
      <xdr:nvSpPr>
        <xdr:cNvPr id="273" name="吹き出し: 角を丸めた四角形 62">
          <a:extLst>
            <a:ext uri="{FF2B5EF4-FFF2-40B4-BE49-F238E27FC236}">
              <a16:creationId xmlns:a16="http://schemas.microsoft.com/office/drawing/2014/main" id="{B725C1DB-89A6-4FB0-A817-8D26DD70BE0C}"/>
            </a:ext>
          </a:extLst>
        </xdr:cNvPr>
        <xdr:cNvSpPr/>
      </xdr:nvSpPr>
      <xdr:spPr>
        <a:xfrm>
          <a:off x="2352140" y="4320664"/>
          <a:ext cx="4514373" cy="982530"/>
        </a:xfrm>
        <a:prstGeom prst="wedgeRoundRectCallout">
          <a:avLst>
            <a:gd name="adj1" fmla="val -96786"/>
            <a:gd name="adj2" fmla="val -13129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対象が入力されていない行</a:t>
          </a:r>
          <a:r>
            <a:rPr kumimoji="1" lang="ja-JP" altLang="en-US" sz="1400" b="0">
              <a:solidFill>
                <a:sysClr val="windowText" lastClr="000000"/>
              </a:solidFill>
              <a:latin typeface="Meiryo UI" panose="020B0604030504040204" pitchFamily="50" charset="-128"/>
              <a:ea typeface="Meiryo UI" panose="020B0604030504040204" pitchFamily="50" charset="-128"/>
            </a:rPr>
            <a:t>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行の削除</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コピーした行の挿入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による行の追加が可能です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追加方法は表右下の吹き出し参照</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oneCellAnchor>
  <xdr:twoCellAnchor>
    <xdr:from>
      <xdr:col>0</xdr:col>
      <xdr:colOff>47625</xdr:colOff>
      <xdr:row>11</xdr:row>
      <xdr:rowOff>78187</xdr:rowOff>
    </xdr:from>
    <xdr:to>
      <xdr:col>0</xdr:col>
      <xdr:colOff>227639</xdr:colOff>
      <xdr:row>15</xdr:row>
      <xdr:rowOff>209886</xdr:rowOff>
    </xdr:to>
    <xdr:sp macro="" textlink="">
      <xdr:nvSpPr>
        <xdr:cNvPr id="274" name="左中かっこ 10">
          <a:extLst>
            <a:ext uri="{FF2B5EF4-FFF2-40B4-BE49-F238E27FC236}">
              <a16:creationId xmlns:a16="http://schemas.microsoft.com/office/drawing/2014/main" id="{3B6EF9AB-A9B2-41AB-A5E8-8806472F7C86}"/>
            </a:ext>
          </a:extLst>
        </xdr:cNvPr>
        <xdr:cNvSpPr/>
      </xdr:nvSpPr>
      <xdr:spPr>
        <a:xfrm flipH="1">
          <a:off x="47625" y="2992837"/>
          <a:ext cx="180014" cy="1084199"/>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723899</xdr:colOff>
      <xdr:row>83</xdr:row>
      <xdr:rowOff>41448</xdr:rowOff>
    </xdr:from>
    <xdr:to>
      <xdr:col>31</xdr:col>
      <xdr:colOff>342899</xdr:colOff>
      <xdr:row>141</xdr:row>
      <xdr:rowOff>152400</xdr:rowOff>
    </xdr:to>
    <xdr:sp macro="" textlink="">
      <xdr:nvSpPr>
        <xdr:cNvPr id="276" name="四角形: 角を丸くする 275">
          <a:extLst>
            <a:ext uri="{FF2B5EF4-FFF2-40B4-BE49-F238E27FC236}">
              <a16:creationId xmlns:a16="http://schemas.microsoft.com/office/drawing/2014/main" id="{61329D04-9418-418C-809F-192DB9E00494}"/>
            </a:ext>
          </a:extLst>
        </xdr:cNvPr>
        <xdr:cNvSpPr/>
      </xdr:nvSpPr>
      <xdr:spPr>
        <a:xfrm>
          <a:off x="12601574" y="18843798"/>
          <a:ext cx="11515725" cy="13922202"/>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r>
            <a:rPr kumimoji="1" lang="ja-JP" altLang="ja-JP" sz="1400" b="1">
              <a:solidFill>
                <a:sysClr val="windowText" lastClr="000000"/>
              </a:solidFill>
              <a:effectLst/>
              <a:latin typeface="+mn-lt"/>
              <a:ea typeface="+mn-ea"/>
              <a:cs typeface="+mn-cs"/>
            </a:rPr>
            <a:t>自家消費</a:t>
          </a:r>
          <a:r>
            <a:rPr kumimoji="1" lang="ja-JP" altLang="en-US" sz="1400" b="1">
              <a:solidFill>
                <a:sysClr val="windowText" lastClr="000000"/>
              </a:solidFill>
              <a:effectLst/>
              <a:latin typeface="+mn-lt"/>
              <a:ea typeface="+mn-ea"/>
              <a:cs typeface="+mn-cs"/>
            </a:rPr>
            <a:t>、相対契約、再エネメニューの活用、証書の活用について、先行地域のある地方公共団体内、当該地方公共団体の域外で整理のうえ、</a:t>
          </a:r>
          <a:r>
            <a:rPr kumimoji="1" lang="ja-JP" altLang="en-US" sz="1400" b="0">
              <a:solidFill>
                <a:sysClr val="windowText" lastClr="000000"/>
              </a:solidFill>
              <a:effectLst/>
              <a:latin typeface="+mn-lt"/>
              <a:ea typeface="+mn-ea"/>
              <a:cs typeface="+mn-cs"/>
            </a:rPr>
            <a:t>記入してください。</a:t>
          </a:r>
          <a:endParaRPr lang="ja-JP" altLang="ja-JP" sz="1400">
            <a:solidFill>
              <a:sysClr val="windowText" lastClr="000000"/>
            </a:solidFill>
            <a:effectLst/>
          </a:endParaRPr>
        </a:p>
      </xdr:txBody>
    </xdr:sp>
    <xdr:clientData/>
  </xdr:twoCellAnchor>
  <xdr:oneCellAnchor>
    <xdr:from>
      <xdr:col>12</xdr:col>
      <xdr:colOff>951998</xdr:colOff>
      <xdr:row>88</xdr:row>
      <xdr:rowOff>169580</xdr:rowOff>
    </xdr:from>
    <xdr:ext cx="11031049" cy="6173439"/>
    <xdr:pic>
      <xdr:nvPicPr>
        <xdr:cNvPr id="277" name="図 276">
          <a:extLst>
            <a:ext uri="{FF2B5EF4-FFF2-40B4-BE49-F238E27FC236}">
              <a16:creationId xmlns:a16="http://schemas.microsoft.com/office/drawing/2014/main" id="{046D8BA2-C05F-41A7-ADC1-D28F5DE64F7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829673" y="20162555"/>
          <a:ext cx="11031049" cy="617343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282575</xdr:colOff>
      <xdr:row>115</xdr:row>
      <xdr:rowOff>162551</xdr:rowOff>
    </xdr:from>
    <xdr:ext cx="10028629" cy="5118831"/>
    <xdr:pic>
      <xdr:nvPicPr>
        <xdr:cNvPr id="278" name="図 277">
          <a:extLst>
            <a:ext uri="{FF2B5EF4-FFF2-40B4-BE49-F238E27FC236}">
              <a16:creationId xmlns:a16="http://schemas.microsoft.com/office/drawing/2014/main" id="{6D96852A-5F9A-4DF4-B696-75AAF850EAE2}"/>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r="4210" b="6796"/>
        <a:stretch/>
      </xdr:blipFill>
      <xdr:spPr bwMode="auto">
        <a:xfrm>
          <a:off x="13188950" y="26584901"/>
          <a:ext cx="10028629" cy="51188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16</xdr:col>
      <xdr:colOff>504826</xdr:colOff>
      <xdr:row>1</xdr:row>
      <xdr:rowOff>47625</xdr:rowOff>
    </xdr:from>
    <xdr:to>
      <xdr:col>38</xdr:col>
      <xdr:colOff>619125</xdr:colOff>
      <xdr:row>42</xdr:row>
      <xdr:rowOff>56415</xdr:rowOff>
    </xdr:to>
    <xdr:grpSp>
      <xdr:nvGrpSpPr>
        <xdr:cNvPr id="279" name="グループ化 278">
          <a:extLst>
            <a:ext uri="{FF2B5EF4-FFF2-40B4-BE49-F238E27FC236}">
              <a16:creationId xmlns:a16="http://schemas.microsoft.com/office/drawing/2014/main" id="{BF2679CE-73A1-41BD-8CCF-8256625F5BC3}"/>
            </a:ext>
          </a:extLst>
        </xdr:cNvPr>
        <xdr:cNvGrpSpPr/>
      </xdr:nvGrpSpPr>
      <xdr:grpSpPr>
        <a:xfrm>
          <a:off x="18246726" y="349250"/>
          <a:ext cx="10944224" cy="9013090"/>
          <a:chOff x="18592800" y="-163"/>
          <a:chExt cx="9609858" cy="9037781"/>
        </a:xfrm>
      </xdr:grpSpPr>
      <xdr:sp macro="" textlink="">
        <xdr:nvSpPr>
          <xdr:cNvPr id="280" name="吹き出し: 角を丸めた四角形 279">
            <a:extLst>
              <a:ext uri="{FF2B5EF4-FFF2-40B4-BE49-F238E27FC236}">
                <a16:creationId xmlns:a16="http://schemas.microsoft.com/office/drawing/2014/main" id="{0E380406-5074-11DA-FCC1-07F2313578CB}"/>
              </a:ext>
            </a:extLst>
          </xdr:cNvPr>
          <xdr:cNvSpPr/>
        </xdr:nvSpPr>
        <xdr:spPr>
          <a:xfrm>
            <a:off x="18592800" y="-163"/>
            <a:ext cx="9609858" cy="9037781"/>
          </a:xfrm>
          <a:prstGeom prst="wedgeRoundRectCallout">
            <a:avLst>
              <a:gd name="adj1" fmla="val -54119"/>
              <a:gd name="adj2" fmla="val -1962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200" b="1">
                <a:solidFill>
                  <a:sysClr val="windowText" lastClr="000000"/>
                </a:solidFill>
              </a:rPr>
              <a:t>➊自家消費等</a:t>
            </a:r>
          </a:p>
          <a:p>
            <a:pPr algn="l"/>
            <a:r>
              <a:rPr kumimoji="1" lang="ja-JP" altLang="en-US" sz="1200" b="0">
                <a:solidFill>
                  <a:sysClr val="windowText" lastClr="000000"/>
                </a:solidFill>
              </a:rPr>
              <a:t>自ら対象施設の敷地内に設置した再エネ発電設備で発電した電力量（対象施設の需要量分に限る）、</a:t>
            </a:r>
            <a:endParaRPr kumimoji="1" lang="en-US" altLang="ja-JP" sz="1200" b="0">
              <a:solidFill>
                <a:sysClr val="windowText" lastClr="000000"/>
              </a:solidFill>
            </a:endParaRPr>
          </a:p>
          <a:p>
            <a:pPr algn="l"/>
            <a:r>
              <a:rPr kumimoji="1" lang="ja-JP" altLang="en-US" sz="1200" b="0">
                <a:solidFill>
                  <a:sysClr val="windowText" lastClr="000000"/>
                </a:solidFill>
              </a:rPr>
              <a:t>又は、自ら対象施設の敷地外に設置した再エネ発電設備で発電する再エネ電力を自営線等により</a:t>
            </a:r>
            <a:endParaRPr kumimoji="1" lang="en-US" altLang="ja-JP" sz="1200" b="0">
              <a:solidFill>
                <a:sysClr val="windowText" lastClr="000000"/>
              </a:solidFill>
            </a:endParaRPr>
          </a:p>
          <a:p>
            <a:pPr algn="l"/>
            <a:r>
              <a:rPr kumimoji="1" lang="ja-JP" altLang="en-US" sz="1200" b="0">
                <a:solidFill>
                  <a:sysClr val="windowText" lastClr="000000"/>
                </a:solidFill>
              </a:rPr>
              <a:t>対象施設に供給して消費する電力量。</a:t>
            </a:r>
            <a:r>
              <a:rPr kumimoji="1" lang="en-US" altLang="ja-JP" sz="1200" b="0">
                <a:solidFill>
                  <a:sysClr val="windowText" lastClr="000000"/>
                </a:solidFill>
              </a:rPr>
              <a:t>(※1)(※2)</a:t>
            </a:r>
          </a:p>
          <a:p>
            <a:pPr algn="l"/>
            <a:r>
              <a:rPr kumimoji="1" lang="en-US" altLang="ja-JP" sz="1200" b="0">
                <a:solidFill>
                  <a:sysClr val="windowText" lastClr="000000"/>
                </a:solidFill>
              </a:rPr>
              <a:t>(※1)</a:t>
            </a:r>
            <a:r>
              <a:rPr kumimoji="1" lang="ja-JP" altLang="en-US" sz="1200" b="0">
                <a:solidFill>
                  <a:sysClr val="windowText" lastClr="000000"/>
                </a:solidFill>
              </a:rPr>
              <a:t>リース契約、</a:t>
            </a:r>
            <a:r>
              <a:rPr kumimoji="1" lang="en-US" altLang="ja-JP" sz="1200" b="0">
                <a:solidFill>
                  <a:sysClr val="windowText" lastClr="000000"/>
                </a:solidFill>
              </a:rPr>
              <a:t>PPA (ESP (Energy Service Provider) </a:t>
            </a:r>
            <a:r>
              <a:rPr kumimoji="1" lang="ja-JP" altLang="en-US" sz="1200" b="0">
                <a:solidFill>
                  <a:sysClr val="windowText" lastClr="000000"/>
                </a:solidFill>
              </a:rPr>
              <a:t>等が設置した再エネ発設備で発電した電気を、</a:t>
            </a:r>
            <a:endParaRPr kumimoji="1" lang="en-US" altLang="ja-JP" sz="1200" b="0">
              <a:solidFill>
                <a:sysClr val="windowText" lastClr="000000"/>
              </a:solidFill>
            </a:endParaRPr>
          </a:p>
          <a:p>
            <a:pPr algn="l"/>
            <a:r>
              <a:rPr kumimoji="1" lang="ja-JP" altLang="en-US" sz="1200" b="0">
                <a:solidFill>
                  <a:sysClr val="windowText" lastClr="000000"/>
                </a:solidFill>
              </a:rPr>
              <a:t>　　地域内電力需要家が電気と環境価値が紐付いた状態で調達し消費する契約形態。オンサイト</a:t>
            </a:r>
            <a:r>
              <a:rPr kumimoji="1" lang="en-US" altLang="ja-JP" sz="1200" b="0">
                <a:solidFill>
                  <a:sysClr val="windowText" lastClr="000000"/>
                </a:solidFill>
              </a:rPr>
              <a:t>/</a:t>
            </a:r>
          </a:p>
          <a:p>
            <a:pPr algn="l"/>
            <a:r>
              <a:rPr kumimoji="1" lang="ja-JP" altLang="en-US" sz="1200" b="0">
                <a:solidFill>
                  <a:sysClr val="windowText" lastClr="000000"/>
                </a:solidFill>
              </a:rPr>
              <a:t>　　オフサイトがある。</a:t>
            </a:r>
            <a:r>
              <a:rPr kumimoji="1" lang="en-US" altLang="ja-JP" sz="1200" b="0">
                <a:solidFill>
                  <a:sysClr val="windowText" lastClr="000000"/>
                </a:solidFill>
              </a:rPr>
              <a:t>)</a:t>
            </a:r>
            <a:r>
              <a:rPr kumimoji="1" lang="ja-JP" altLang="en-US" sz="1200" b="0">
                <a:solidFill>
                  <a:sysClr val="windowText" lastClr="000000"/>
                </a:solidFill>
              </a:rPr>
              <a:t>により設置するものも含みます。また、自己託送や特定供給も自家消費</a:t>
            </a:r>
            <a:endParaRPr kumimoji="1" lang="en-US" altLang="ja-JP" sz="1200" b="0">
              <a:solidFill>
                <a:sysClr val="windowText" lastClr="000000"/>
              </a:solidFill>
            </a:endParaRPr>
          </a:p>
          <a:p>
            <a:pPr algn="l"/>
            <a:r>
              <a:rPr kumimoji="1" lang="ja-JP" altLang="en-US" sz="1200" b="0">
                <a:solidFill>
                  <a:sysClr val="windowText" lastClr="000000"/>
                </a:solidFill>
              </a:rPr>
              <a:t>　　としてカウントします。</a:t>
            </a:r>
            <a:endParaRPr kumimoji="1" lang="en-US" altLang="ja-JP" sz="1200" b="0">
              <a:solidFill>
                <a:sysClr val="windowText" lastClr="000000"/>
              </a:solidFill>
            </a:endParaRPr>
          </a:p>
          <a:p>
            <a:pPr algn="l"/>
            <a:r>
              <a:rPr kumimoji="1" lang="en-US" altLang="ja-JP" sz="1200" b="0">
                <a:solidFill>
                  <a:sysClr val="windowText" lastClr="000000"/>
                </a:solidFill>
              </a:rPr>
              <a:t>(※2)</a:t>
            </a:r>
            <a:r>
              <a:rPr kumimoji="1" lang="ja-JP" altLang="en-US" sz="1200" b="0">
                <a:solidFill>
                  <a:sysClr val="windowText" lastClr="000000"/>
                </a:solidFill>
              </a:rPr>
              <a:t>時間帯によって需給バランスが必ずしも一致しないことにより発生する余剰電力を脱炭素先行</a:t>
            </a:r>
            <a:endParaRPr kumimoji="1" lang="en-US" altLang="ja-JP" sz="1200" b="0">
              <a:solidFill>
                <a:sysClr val="windowText" lastClr="000000"/>
              </a:solidFill>
            </a:endParaRPr>
          </a:p>
          <a:p>
            <a:pPr algn="l"/>
            <a:r>
              <a:rPr kumimoji="1" lang="ja-JP" altLang="en-US" sz="1200" b="0">
                <a:solidFill>
                  <a:sysClr val="windowText" lastClr="000000"/>
                </a:solidFill>
              </a:rPr>
              <a:t>　　地域外に売電しているものも「再エネ等の電力供給量」に含まれるものとします。</a:t>
            </a:r>
          </a:p>
          <a:p>
            <a:pPr algn="l"/>
            <a:endParaRPr kumimoji="1" lang="en-US" altLang="ja-JP" sz="1200" b="0">
              <a:solidFill>
                <a:sysClr val="windowText" lastClr="000000"/>
              </a:solidFill>
            </a:endParaRPr>
          </a:p>
          <a:p>
            <a:pPr algn="l"/>
            <a:endParaRPr kumimoji="1" lang="ja-JP" altLang="en-US" sz="1200" b="0">
              <a:solidFill>
                <a:sysClr val="windowText" lastClr="000000"/>
              </a:solidFill>
            </a:endParaRPr>
          </a:p>
          <a:p>
            <a:pPr algn="l"/>
            <a:r>
              <a:rPr kumimoji="1" lang="ja-JP" altLang="en-US" sz="1200" b="1">
                <a:solidFill>
                  <a:sysClr val="windowText" lastClr="000000"/>
                </a:solidFill>
              </a:rPr>
              <a:t>❷相対契約</a:t>
            </a:r>
          </a:p>
          <a:p>
            <a:pPr algn="l"/>
            <a:r>
              <a:rPr kumimoji="1" lang="ja-JP" altLang="en-US" sz="1200" b="0">
                <a:solidFill>
                  <a:sysClr val="windowText" lastClr="000000"/>
                </a:solidFill>
              </a:rPr>
              <a:t>地域内電力需要家が、</a:t>
            </a:r>
            <a:r>
              <a:rPr kumimoji="1" lang="ja-JP" altLang="en-US" sz="1200" b="0">
                <a:solidFill>
                  <a:srgbClr val="FF0000"/>
                </a:solidFill>
              </a:rPr>
              <a:t>再エネ電源 </a:t>
            </a:r>
            <a:r>
              <a:rPr kumimoji="1" lang="en-US" altLang="ja-JP" sz="1200" b="0">
                <a:solidFill>
                  <a:srgbClr val="FF0000"/>
                </a:solidFill>
              </a:rPr>
              <a:t>(</a:t>
            </a:r>
            <a:r>
              <a:rPr kumimoji="1" lang="ja-JP" altLang="en-US" sz="1200" b="0">
                <a:solidFill>
                  <a:srgbClr val="FF0000"/>
                </a:solidFill>
              </a:rPr>
              <a:t>非</a:t>
            </a:r>
            <a:r>
              <a:rPr kumimoji="1" lang="en-US" altLang="ja-JP" sz="1200" b="0">
                <a:solidFill>
                  <a:srgbClr val="FF0000"/>
                </a:solidFill>
              </a:rPr>
              <a:t>FIT</a:t>
            </a:r>
            <a:r>
              <a:rPr kumimoji="1" lang="ja-JP" altLang="en-US" sz="1200" b="0">
                <a:solidFill>
                  <a:srgbClr val="FF0000"/>
                </a:solidFill>
              </a:rPr>
              <a:t>・卒</a:t>
            </a:r>
            <a:r>
              <a:rPr kumimoji="1" lang="en-US" altLang="ja-JP" sz="1200" b="0">
                <a:solidFill>
                  <a:srgbClr val="FF0000"/>
                </a:solidFill>
              </a:rPr>
              <a:t>FIT)</a:t>
            </a:r>
            <a:r>
              <a:rPr kumimoji="1" lang="ja-JP" altLang="en-US" sz="1200" b="0">
                <a:solidFill>
                  <a:srgbClr val="FF0000"/>
                </a:solidFill>
              </a:rPr>
              <a:t>を指定した上で</a:t>
            </a:r>
            <a:endParaRPr kumimoji="1" lang="en-US" altLang="ja-JP" sz="1200" b="0">
              <a:solidFill>
                <a:srgbClr val="FF0000"/>
              </a:solidFill>
            </a:endParaRPr>
          </a:p>
          <a:p>
            <a:pPr algn="l"/>
            <a:r>
              <a:rPr kumimoji="1" lang="ja-JP" altLang="en-US" sz="1200" b="0">
                <a:solidFill>
                  <a:srgbClr val="FF0000"/>
                </a:solidFill>
              </a:rPr>
              <a:t>小売電気事業者等から電気と環境価値が付加された状態で調達</a:t>
            </a:r>
            <a:r>
              <a:rPr kumimoji="1" lang="ja-JP" altLang="en-US" sz="1200" b="0">
                <a:solidFill>
                  <a:sysClr val="windowText" lastClr="000000"/>
                </a:solidFill>
              </a:rPr>
              <a:t>し</a:t>
            </a:r>
            <a:endParaRPr kumimoji="1" lang="en-US" altLang="ja-JP" sz="1200" b="0">
              <a:solidFill>
                <a:sysClr val="windowText" lastClr="000000"/>
              </a:solidFill>
            </a:endParaRPr>
          </a:p>
          <a:p>
            <a:pPr algn="l"/>
            <a:r>
              <a:rPr kumimoji="1" lang="ja-JP" altLang="en-US" sz="1200" b="0">
                <a:solidFill>
                  <a:sysClr val="windowText" lastClr="000000"/>
                </a:solidFill>
              </a:rPr>
              <a:t>消費する電力量。</a:t>
            </a:r>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r>
              <a:rPr kumimoji="1" lang="ja-JP" altLang="en-US" sz="1200" b="1">
                <a:solidFill>
                  <a:sysClr val="windowText" lastClr="000000"/>
                </a:solidFill>
              </a:rPr>
              <a:t>❸小売電気事業者等の再エネメニューの活用</a:t>
            </a:r>
          </a:p>
          <a:p>
            <a:pPr algn="l"/>
            <a:r>
              <a:rPr kumimoji="1" lang="ja-JP" altLang="en-US" sz="1200" b="0">
                <a:solidFill>
                  <a:sysClr val="windowText" lastClr="000000"/>
                </a:solidFill>
              </a:rPr>
              <a:t>地域内電力需要家が、</a:t>
            </a:r>
            <a:r>
              <a:rPr kumimoji="1" lang="ja-JP" altLang="en-US" sz="1200" b="0">
                <a:solidFill>
                  <a:srgbClr val="FF0000"/>
                </a:solidFill>
              </a:rPr>
              <a:t>小売電気事業者等から、非再エネ電力や再エネ電力</a:t>
            </a:r>
            <a:endParaRPr kumimoji="1" lang="en-US" altLang="ja-JP" sz="1200" b="0">
              <a:solidFill>
                <a:srgbClr val="FF0000"/>
              </a:solidFill>
            </a:endParaRPr>
          </a:p>
          <a:p>
            <a:pPr algn="l"/>
            <a:r>
              <a:rPr kumimoji="1" lang="ja-JP" altLang="en-US" sz="1200" b="0">
                <a:solidFill>
                  <a:srgbClr val="FF0000"/>
                </a:solidFill>
              </a:rPr>
              <a:t> </a:t>
            </a:r>
            <a:r>
              <a:rPr kumimoji="1" lang="en-US" altLang="ja-JP" sz="1200" b="0">
                <a:solidFill>
                  <a:srgbClr val="FF0000"/>
                </a:solidFill>
              </a:rPr>
              <a:t>(FIT) </a:t>
            </a:r>
            <a:r>
              <a:rPr kumimoji="1" lang="ja-JP" altLang="en-US" sz="1200" b="0">
                <a:solidFill>
                  <a:srgbClr val="FF0000"/>
                </a:solidFill>
              </a:rPr>
              <a:t>を環境価値が付加された状態で調達</a:t>
            </a:r>
            <a:r>
              <a:rPr kumimoji="1" lang="ja-JP" altLang="en-US" sz="1200" b="0">
                <a:solidFill>
                  <a:sysClr val="windowText" lastClr="000000"/>
                </a:solidFill>
              </a:rPr>
              <a:t>し消費する電力量。</a:t>
            </a:r>
            <a:r>
              <a:rPr kumimoji="1" lang="en-US" altLang="ja-JP" sz="1200" b="0">
                <a:solidFill>
                  <a:sysClr val="windowText" lastClr="000000"/>
                </a:solidFill>
              </a:rPr>
              <a:t>(※</a:t>
            </a:r>
            <a:r>
              <a:rPr kumimoji="1" lang="ja-JP" altLang="en-US" sz="1200" b="0">
                <a:solidFill>
                  <a:sysClr val="windowText" lastClr="000000"/>
                </a:solidFill>
              </a:rPr>
              <a:t>３</a:t>
            </a:r>
            <a:r>
              <a:rPr kumimoji="1" lang="en-US" altLang="ja-JP" sz="1200" b="0">
                <a:solidFill>
                  <a:sysClr val="windowText" lastClr="000000"/>
                </a:solidFill>
              </a:rPr>
              <a:t>)</a:t>
            </a:r>
          </a:p>
          <a:p>
            <a:pPr algn="l"/>
            <a:r>
              <a:rPr kumimoji="1" lang="en-US" altLang="ja-JP" sz="1200" b="0">
                <a:solidFill>
                  <a:sysClr val="windowText" lastClr="000000"/>
                </a:solidFill>
              </a:rPr>
              <a:t>(※</a:t>
            </a:r>
            <a:r>
              <a:rPr kumimoji="1" lang="ja-JP" altLang="en-US" sz="1200" b="0">
                <a:solidFill>
                  <a:sysClr val="windowText" lastClr="000000"/>
                </a:solidFill>
              </a:rPr>
              <a:t>３</a:t>
            </a:r>
            <a:r>
              <a:rPr kumimoji="1" lang="en-US" altLang="ja-JP" sz="1200" b="0">
                <a:solidFill>
                  <a:sysClr val="windowText" lastClr="000000"/>
                </a:solidFill>
              </a:rPr>
              <a:t>)</a:t>
            </a:r>
            <a:r>
              <a:rPr kumimoji="1" lang="ja-JP" altLang="en-US" sz="1200" b="0">
                <a:solidFill>
                  <a:sysClr val="windowText" lastClr="000000"/>
                </a:solidFill>
              </a:rPr>
              <a:t>特定卸供給・任意卸供給でかつ環境価値を買い戻す場合も含みます。</a:t>
            </a:r>
          </a:p>
          <a:p>
            <a:pPr algn="l"/>
            <a:endParaRPr kumimoji="1" lang="ja-JP" altLang="en-US"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r>
              <a:rPr kumimoji="1" lang="ja-JP" altLang="en-US" sz="1200" b="1">
                <a:solidFill>
                  <a:sysClr val="windowText" lastClr="000000"/>
                </a:solidFill>
              </a:rPr>
              <a:t>❹再エネ等電力証書の活用</a:t>
            </a:r>
          </a:p>
          <a:p>
            <a:pPr algn="l"/>
            <a:r>
              <a:rPr kumimoji="1" lang="ja-JP" altLang="en-US" sz="1200" b="0">
                <a:solidFill>
                  <a:sysClr val="windowText" lastClr="000000"/>
                </a:solidFill>
              </a:rPr>
              <a:t>地域内電力需要家が、再エネ等電力証書を活用して</a:t>
            </a:r>
            <a:r>
              <a:rPr kumimoji="1" lang="en-US" altLang="ja-JP" sz="1200" b="0">
                <a:solidFill>
                  <a:sysClr val="windowText" lastClr="000000"/>
                </a:solidFill>
              </a:rPr>
              <a:t>CO2</a:t>
            </a:r>
            <a:r>
              <a:rPr kumimoji="1" lang="ja-JP" altLang="en-US" sz="1200" b="0">
                <a:solidFill>
                  <a:sysClr val="windowText" lastClr="000000"/>
                </a:solidFill>
              </a:rPr>
              <a:t>排出量を相殺 </a:t>
            </a:r>
            <a:r>
              <a:rPr kumimoji="1" lang="en-US" altLang="ja-JP" sz="1200" b="0">
                <a:solidFill>
                  <a:sysClr val="windowText" lastClr="000000"/>
                </a:solidFill>
              </a:rPr>
              <a:t>(</a:t>
            </a:r>
            <a:r>
              <a:rPr kumimoji="1" lang="ja-JP" altLang="en-US" sz="1200" b="0">
                <a:solidFill>
                  <a:sysClr val="windowText" lastClr="000000"/>
                </a:solidFill>
              </a:rPr>
              <a:t>オフセット</a:t>
            </a:r>
            <a:r>
              <a:rPr kumimoji="1" lang="en-US" altLang="ja-JP" sz="1200" b="0">
                <a:solidFill>
                  <a:sysClr val="windowText" lastClr="000000"/>
                </a:solidFill>
              </a:rPr>
              <a:t>)</a:t>
            </a:r>
          </a:p>
          <a:p>
            <a:pPr algn="l"/>
            <a:r>
              <a:rPr kumimoji="1" lang="en-US" altLang="ja-JP" sz="1200" b="0">
                <a:solidFill>
                  <a:sysClr val="windowText" lastClr="000000"/>
                </a:solidFill>
              </a:rPr>
              <a:t> </a:t>
            </a:r>
            <a:r>
              <a:rPr kumimoji="1" lang="ja-JP" altLang="en-US" sz="1200" b="0">
                <a:solidFill>
                  <a:sysClr val="windowText" lastClr="000000"/>
                </a:solidFill>
              </a:rPr>
              <a:t>した電力量。再エネ等電力証書は、地球温暖化対策推進法に基づく温室効果ガス</a:t>
            </a:r>
            <a:endParaRPr kumimoji="1" lang="en-US" altLang="ja-JP" sz="1200" b="0">
              <a:solidFill>
                <a:sysClr val="windowText" lastClr="000000"/>
              </a:solidFill>
            </a:endParaRPr>
          </a:p>
          <a:p>
            <a:pPr algn="l"/>
            <a:r>
              <a:rPr kumimoji="1" lang="ja-JP" altLang="en-US" sz="1200" b="0">
                <a:solidFill>
                  <a:sysClr val="windowText" lastClr="000000"/>
                </a:solidFill>
              </a:rPr>
              <a:t>排出量算定・報告・公表制度における調整後排出量の算定・報告に利用可能な</a:t>
            </a:r>
            <a:endParaRPr kumimoji="1" lang="en-US" altLang="ja-JP" sz="1200" b="0">
              <a:solidFill>
                <a:sysClr val="windowText" lastClr="000000"/>
              </a:solidFill>
            </a:endParaRPr>
          </a:p>
          <a:p>
            <a:pPr algn="l"/>
            <a:r>
              <a:rPr kumimoji="1" lang="ja-JP" altLang="en-US" sz="1200" b="0">
                <a:solidFill>
                  <a:sysClr val="windowText" lastClr="000000"/>
                </a:solidFill>
              </a:rPr>
              <a:t>国内認証排出削減量・海外認証排出削減量 </a:t>
            </a:r>
            <a:r>
              <a:rPr kumimoji="1" lang="en-US" altLang="ja-JP" sz="1200" b="0">
                <a:solidFill>
                  <a:sysClr val="windowText" lastClr="000000"/>
                </a:solidFill>
              </a:rPr>
              <a:t>(J-</a:t>
            </a:r>
            <a:r>
              <a:rPr kumimoji="1" lang="ja-JP" altLang="en-US" sz="1200" b="0">
                <a:solidFill>
                  <a:sysClr val="windowText" lastClr="000000"/>
                </a:solidFill>
              </a:rPr>
              <a:t>クレジット、グリーン電力証書、</a:t>
            </a:r>
            <a:r>
              <a:rPr kumimoji="1" lang="en-US" altLang="ja-JP" sz="1200" b="0">
                <a:solidFill>
                  <a:sysClr val="windowText" lastClr="000000"/>
                </a:solidFill>
              </a:rPr>
              <a:t>JCM</a:t>
            </a:r>
            <a:r>
              <a:rPr kumimoji="1" lang="ja-JP" altLang="en-US" sz="1200" b="0">
                <a:solidFill>
                  <a:sysClr val="windowText" lastClr="000000"/>
                </a:solidFill>
              </a:rPr>
              <a:t>、</a:t>
            </a:r>
            <a:endParaRPr kumimoji="1" lang="en-US" altLang="ja-JP" sz="1200" b="0">
              <a:solidFill>
                <a:sysClr val="windowText" lastClr="000000"/>
              </a:solidFill>
            </a:endParaRPr>
          </a:p>
          <a:p>
            <a:pPr algn="l"/>
            <a:r>
              <a:rPr kumimoji="1" lang="ja-JP" altLang="en-US" sz="1200" b="0">
                <a:solidFill>
                  <a:sysClr val="windowText" lastClr="000000"/>
                </a:solidFill>
              </a:rPr>
              <a:t>非化石証書等</a:t>
            </a:r>
            <a:r>
              <a:rPr kumimoji="1" lang="en-US" altLang="ja-JP" sz="1200" b="0">
                <a:solidFill>
                  <a:sysClr val="windowText" lastClr="000000"/>
                </a:solidFill>
              </a:rPr>
              <a:t>) </a:t>
            </a:r>
            <a:r>
              <a:rPr kumimoji="1" lang="ja-JP" altLang="en-US" sz="1200" b="0">
                <a:solidFill>
                  <a:sysClr val="windowText" lastClr="000000"/>
                </a:solidFill>
              </a:rPr>
              <a:t>を基本とする。なお、電力需要家の当該対象施設の電力使用量のうち、</a:t>
            </a:r>
            <a:endParaRPr kumimoji="1" lang="en-US" altLang="ja-JP" sz="1200" b="0">
              <a:solidFill>
                <a:sysClr val="windowText" lastClr="000000"/>
              </a:solidFill>
            </a:endParaRPr>
          </a:p>
          <a:p>
            <a:pPr algn="l"/>
            <a:r>
              <a:rPr kumimoji="1" lang="ja-JP" altLang="en-US" sz="1200" b="0">
                <a:solidFill>
                  <a:sysClr val="windowText" lastClr="000000"/>
                </a:solidFill>
              </a:rPr>
              <a:t>オフセット調整に使用する量のみとします。</a:t>
            </a:r>
          </a:p>
        </xdr:txBody>
      </xdr:sp>
      <xdr:pic>
        <xdr:nvPicPr>
          <xdr:cNvPr id="281" name="図 280">
            <a:extLst>
              <a:ext uri="{FF2B5EF4-FFF2-40B4-BE49-F238E27FC236}">
                <a16:creationId xmlns:a16="http://schemas.microsoft.com/office/drawing/2014/main" id="{295EA002-6C56-253A-1028-1ACA82FAA5E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307491" y="294296"/>
            <a:ext cx="1379854" cy="2629766"/>
          </a:xfrm>
          <a:prstGeom prst="rect">
            <a:avLst/>
          </a:prstGeom>
          <a:noFill/>
          <a:ln>
            <a:noFill/>
          </a:ln>
        </xdr:spPr>
      </xdr:pic>
      <xdr:sp macro="" textlink="">
        <xdr:nvSpPr>
          <xdr:cNvPr id="282" name="テキスト ボックス 50">
            <a:extLst>
              <a:ext uri="{FF2B5EF4-FFF2-40B4-BE49-F238E27FC236}">
                <a16:creationId xmlns:a16="http://schemas.microsoft.com/office/drawing/2014/main" id="{95FAF997-D983-40F5-99BF-6660AA6B1AC0}"/>
              </a:ext>
            </a:extLst>
          </xdr:cNvPr>
          <xdr:cNvSpPr txBox="1"/>
        </xdr:nvSpPr>
        <xdr:spPr>
          <a:xfrm>
            <a:off x="25009485" y="170701"/>
            <a:ext cx="1094365" cy="29358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Mangal" panose="02040503050203030202" pitchFamily="18" charset="0"/>
              </a:rPr>
              <a:t>❶自家消費等</a:t>
            </a:r>
          </a:p>
        </xdr:txBody>
      </xdr:sp>
      <xdr:sp macro="" textlink="">
        <xdr:nvSpPr>
          <xdr:cNvPr id="283" name="テキスト ボックス 53">
            <a:extLst>
              <a:ext uri="{FF2B5EF4-FFF2-40B4-BE49-F238E27FC236}">
                <a16:creationId xmlns:a16="http://schemas.microsoft.com/office/drawing/2014/main" id="{EC651A04-FF14-1168-2FB5-25D99733CB63}"/>
              </a:ext>
            </a:extLst>
          </xdr:cNvPr>
          <xdr:cNvSpPr txBox="1"/>
        </xdr:nvSpPr>
        <xdr:spPr>
          <a:xfrm>
            <a:off x="25061663" y="3211766"/>
            <a:ext cx="1107065" cy="35358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ＭＳ 明朝" panose="02020609040205080304" pitchFamily="17" charset="-128"/>
              </a:rPr>
              <a:t>❷</a:t>
            </a:r>
            <a:r>
              <a:rPr lang="ja-JP" sz="1050" kern="100">
                <a:effectLst/>
                <a:latin typeface="Century" panose="02040604050505020304" pitchFamily="18" charset="0"/>
                <a:ea typeface="ＭＳ 明朝" panose="02020609040205080304" pitchFamily="17" charset="-128"/>
                <a:cs typeface="Mangal" panose="02040503050203030202" pitchFamily="18" charset="0"/>
              </a:rPr>
              <a:t>相対契約</a:t>
            </a:r>
          </a:p>
        </xdr:txBody>
      </xdr:sp>
      <xdr:sp macro="" textlink="">
        <xdr:nvSpPr>
          <xdr:cNvPr id="284" name="テキスト ボックス 55">
            <a:extLst>
              <a:ext uri="{FF2B5EF4-FFF2-40B4-BE49-F238E27FC236}">
                <a16:creationId xmlns:a16="http://schemas.microsoft.com/office/drawing/2014/main" id="{816712B1-1CBA-B645-4AB8-BC749CBAFB26}"/>
              </a:ext>
            </a:extLst>
          </xdr:cNvPr>
          <xdr:cNvSpPr txBox="1"/>
        </xdr:nvSpPr>
        <xdr:spPr>
          <a:xfrm>
            <a:off x="24840117" y="5182752"/>
            <a:ext cx="1644651" cy="510599"/>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ＭＳ 明朝" panose="02020609040205080304" pitchFamily="17" charset="-128"/>
              </a:rPr>
              <a:t>❸</a:t>
            </a:r>
            <a:r>
              <a:rPr lang="ja-JP" sz="1050" kern="100">
                <a:effectLst/>
                <a:latin typeface="Century" panose="02040604050505020304" pitchFamily="18" charset="0"/>
                <a:ea typeface="ＭＳ 明朝" panose="02020609040205080304" pitchFamily="17" charset="-128"/>
                <a:cs typeface="Mangal" panose="02040503050203030202" pitchFamily="18" charset="0"/>
              </a:rPr>
              <a:t>小売電気事業者等の再エネメニューの活用</a:t>
            </a:r>
          </a:p>
        </xdr:txBody>
      </xdr:sp>
      <xdr:sp macro="" textlink="">
        <xdr:nvSpPr>
          <xdr:cNvPr id="285" name="テキスト ボックス 58">
            <a:extLst>
              <a:ext uri="{FF2B5EF4-FFF2-40B4-BE49-F238E27FC236}">
                <a16:creationId xmlns:a16="http://schemas.microsoft.com/office/drawing/2014/main" id="{93368720-C5E8-BE53-6009-1F8EF638E1D1}"/>
              </a:ext>
            </a:extLst>
          </xdr:cNvPr>
          <xdr:cNvSpPr txBox="1"/>
        </xdr:nvSpPr>
        <xdr:spPr>
          <a:xfrm>
            <a:off x="24864746" y="6718607"/>
            <a:ext cx="1902403" cy="341168"/>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ＭＳ 明朝" panose="02020609040205080304" pitchFamily="17" charset="-128"/>
              </a:rPr>
              <a:t>❹</a:t>
            </a:r>
            <a:r>
              <a:rPr lang="ja-JP" sz="1050" kern="100">
                <a:effectLst/>
                <a:latin typeface="Century" panose="02040604050505020304" pitchFamily="18" charset="0"/>
                <a:ea typeface="ＭＳ 明朝" panose="02020609040205080304" pitchFamily="17" charset="-128"/>
                <a:cs typeface="Mangal" panose="02040503050203030202" pitchFamily="18" charset="0"/>
              </a:rPr>
              <a:t>再エネ等電力証書の活用</a:t>
            </a:r>
          </a:p>
        </xdr:txBody>
      </xdr:sp>
      <xdr:pic>
        <xdr:nvPicPr>
          <xdr:cNvPr id="286" name="図 285">
            <a:extLst>
              <a:ext uri="{FF2B5EF4-FFF2-40B4-BE49-F238E27FC236}">
                <a16:creationId xmlns:a16="http://schemas.microsoft.com/office/drawing/2014/main" id="{CBAA24C8-A5CE-9467-2829-F11629D7C29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6063491" y="3576219"/>
            <a:ext cx="1854778" cy="1452707"/>
          </a:xfrm>
          <a:prstGeom prst="rect">
            <a:avLst/>
          </a:prstGeom>
          <a:noFill/>
          <a:ln>
            <a:noFill/>
          </a:ln>
        </xdr:spPr>
      </xdr:pic>
      <xdr:pic>
        <xdr:nvPicPr>
          <xdr:cNvPr id="287" name="図 286">
            <a:extLst>
              <a:ext uri="{FF2B5EF4-FFF2-40B4-BE49-F238E27FC236}">
                <a16:creationId xmlns:a16="http://schemas.microsoft.com/office/drawing/2014/main" id="{8AFC8AD1-7800-4FFE-7796-997D7A0AB26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84036" y="5323585"/>
            <a:ext cx="1464685" cy="1211407"/>
          </a:xfrm>
          <a:prstGeom prst="rect">
            <a:avLst/>
          </a:prstGeom>
          <a:noFill/>
          <a:ln>
            <a:noFill/>
          </a:ln>
        </xdr:spPr>
      </xdr:pic>
      <xdr:pic>
        <xdr:nvPicPr>
          <xdr:cNvPr id="288" name="図 287">
            <a:extLst>
              <a:ext uri="{FF2B5EF4-FFF2-40B4-BE49-F238E27FC236}">
                <a16:creationId xmlns:a16="http://schemas.microsoft.com/office/drawing/2014/main" id="{957E41F6-85A4-34FA-6B3D-F115FDA5DC3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13535" y="7312777"/>
            <a:ext cx="1351973" cy="1324552"/>
          </a:xfrm>
          <a:prstGeom prst="rect">
            <a:avLst/>
          </a:prstGeom>
          <a:noFill/>
          <a:ln>
            <a:noFill/>
          </a:ln>
        </xdr:spPr>
      </xdr:pic>
    </xdr:grpSp>
    <xdr:clientData/>
  </xdr:twoCellAnchor>
  <xdr:twoCellAnchor editAs="absolute">
    <xdr:from>
      <xdr:col>5</xdr:col>
      <xdr:colOff>400050</xdr:colOff>
      <xdr:row>4</xdr:row>
      <xdr:rowOff>19050</xdr:rowOff>
    </xdr:from>
    <xdr:to>
      <xdr:col>10</xdr:col>
      <xdr:colOff>597355</xdr:colOff>
      <xdr:row>6</xdr:row>
      <xdr:rowOff>23132</xdr:rowOff>
    </xdr:to>
    <xdr:sp macro="" textlink="">
      <xdr:nvSpPr>
        <xdr:cNvPr id="3" name="吹き出し: 角を丸めた四角形 4">
          <a:extLst>
            <a:ext uri="{FF2B5EF4-FFF2-40B4-BE49-F238E27FC236}">
              <a16:creationId xmlns:a16="http://schemas.microsoft.com/office/drawing/2014/main" id="{33E8FC90-2F0B-4F0B-91E3-7CCA6AA2E467}"/>
            </a:ext>
          </a:extLst>
        </xdr:cNvPr>
        <xdr:cNvSpPr/>
      </xdr:nvSpPr>
      <xdr:spPr>
        <a:xfrm>
          <a:off x="5076825" y="876300"/>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xdr:from>
      <xdr:col>6</xdr:col>
      <xdr:colOff>203344</xdr:colOff>
      <xdr:row>90</xdr:row>
      <xdr:rowOff>102574</xdr:rowOff>
    </xdr:from>
    <xdr:to>
      <xdr:col>8</xdr:col>
      <xdr:colOff>132021</xdr:colOff>
      <xdr:row>93</xdr:row>
      <xdr:rowOff>179274</xdr:rowOff>
    </xdr:to>
    <xdr:sp macro="" textlink="">
      <xdr:nvSpPr>
        <xdr:cNvPr id="263" name="矢印: 右 262">
          <a:extLst>
            <a:ext uri="{FF2B5EF4-FFF2-40B4-BE49-F238E27FC236}">
              <a16:creationId xmlns:a16="http://schemas.microsoft.com/office/drawing/2014/main" id="{00B7E6AF-B26F-7E30-A392-5E73368B7C13}"/>
            </a:ext>
          </a:extLst>
        </xdr:cNvPr>
        <xdr:cNvSpPr/>
      </xdr:nvSpPr>
      <xdr:spPr>
        <a:xfrm>
          <a:off x="5918344" y="20324882"/>
          <a:ext cx="1980215" cy="780084"/>
        </a:xfrm>
        <a:prstGeom prst="righ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1600">
              <a:solidFill>
                <a:schemeClr val="tx1"/>
              </a:solidFill>
              <a:latin typeface="Meiryo UI" panose="020B0604030504040204" pitchFamily="50" charset="-128"/>
              <a:ea typeface="Meiryo UI" panose="020B0604030504040204" pitchFamily="50" charset="-128"/>
            </a:rPr>
            <a:t>再エネメニュー供給</a:t>
          </a:r>
          <a:endParaRPr kumimoji="1" lang="en-US" altLang="ja-JP" sz="1600">
            <a:solidFill>
              <a:schemeClr val="tx1"/>
            </a:solidFill>
            <a:latin typeface="Meiryo UI" panose="020B0604030504040204" pitchFamily="50" charset="-128"/>
            <a:ea typeface="Meiryo UI" panose="020B0604030504040204" pitchFamily="50" charset="-128"/>
          </a:endParaRPr>
        </a:p>
        <a:p>
          <a:pPr algn="ctr"/>
          <a:r>
            <a:rPr lang="ja-JP" altLang="en-US" sz="1600">
              <a:solidFill>
                <a:schemeClr val="tx1"/>
              </a:solidFill>
              <a:latin typeface="Meiryo UI" panose="020B0604030504040204" pitchFamily="50" charset="-128"/>
              <a:ea typeface="Meiryo UI" panose="020B0604030504040204" pitchFamily="50" charset="-128"/>
            </a:rPr>
            <a:t>（○○</a:t>
          </a:r>
          <a:r>
            <a:rPr lang="en-US" altLang="ja-JP" sz="1600">
              <a:solidFill>
                <a:schemeClr val="tx1"/>
              </a:solidFill>
              <a:latin typeface="Meiryo UI" panose="020B0604030504040204" pitchFamily="50" charset="-128"/>
              <a:ea typeface="Meiryo UI" panose="020B0604030504040204" pitchFamily="50" charset="-128"/>
            </a:rPr>
            <a:t>kWh/</a:t>
          </a:r>
          <a:r>
            <a:rPr lang="ja-JP" altLang="en-US" sz="1600">
              <a:solidFill>
                <a:schemeClr val="tx1"/>
              </a:solidFill>
              <a:latin typeface="Meiryo UI" panose="020B0604030504040204" pitchFamily="50" charset="-128"/>
              <a:ea typeface="Meiryo UI" panose="020B0604030504040204" pitchFamily="50" charset="-128"/>
            </a:rPr>
            <a:t>年）</a:t>
          </a:r>
          <a:endParaRPr kumimoji="1" lang="ja-JP" altLang="en-US" sz="1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257484</xdr:colOff>
      <xdr:row>4</xdr:row>
      <xdr:rowOff>234847</xdr:rowOff>
    </xdr:from>
    <xdr:to>
      <xdr:col>19</xdr:col>
      <xdr:colOff>204370</xdr:colOff>
      <xdr:row>28</xdr:row>
      <xdr:rowOff>40908</xdr:rowOff>
    </xdr:to>
    <xdr:grpSp>
      <xdr:nvGrpSpPr>
        <xdr:cNvPr id="2" name="グループ化 1">
          <a:extLst>
            <a:ext uri="{FF2B5EF4-FFF2-40B4-BE49-F238E27FC236}">
              <a16:creationId xmlns:a16="http://schemas.microsoft.com/office/drawing/2014/main" id="{696340C1-2CBD-4A3A-8D88-02E4EE34F7D1}"/>
            </a:ext>
          </a:extLst>
        </xdr:cNvPr>
        <xdr:cNvGrpSpPr/>
      </xdr:nvGrpSpPr>
      <xdr:grpSpPr>
        <a:xfrm>
          <a:off x="7007534" y="1142897"/>
          <a:ext cx="9548086" cy="5298811"/>
          <a:chOff x="8085219" y="331870"/>
          <a:chExt cx="13480262" cy="7199489"/>
        </a:xfrm>
      </xdr:grpSpPr>
      <xdr:sp macro="" textlink="">
        <xdr:nvSpPr>
          <xdr:cNvPr id="3" name="吹き出し: 角を丸めた四角形 2">
            <a:extLst>
              <a:ext uri="{FF2B5EF4-FFF2-40B4-BE49-F238E27FC236}">
                <a16:creationId xmlns:a16="http://schemas.microsoft.com/office/drawing/2014/main" id="{4902AEED-BBBC-7C3D-2807-07261B3C1BEA}"/>
              </a:ext>
            </a:extLst>
          </xdr:cNvPr>
          <xdr:cNvSpPr/>
        </xdr:nvSpPr>
        <xdr:spPr>
          <a:xfrm>
            <a:off x="8085219" y="331870"/>
            <a:ext cx="13480262" cy="7199489"/>
          </a:xfrm>
          <a:prstGeom prst="wedgeRoundRectCallout">
            <a:avLst>
              <a:gd name="adj1" fmla="val -58823"/>
              <a:gd name="adj2" fmla="val -1947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作成日と自治体名、共同提案者名を入力してください。</a:t>
            </a:r>
            <a:endParaRPr kumimoji="1" lang="en-US" altLang="ja-JP" sz="1400" b="1">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・記入のない欄はそのままで構いません。</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・行が足りない場合は、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①複製したい行全体をコピー</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②コピーした行を「コピーしたセルを挿入」</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で対応ください。</a:t>
            </a:r>
          </a:p>
        </xdr:txBody>
      </xdr:sp>
      <xdr:pic>
        <xdr:nvPicPr>
          <xdr:cNvPr id="4" name="図 3">
            <a:extLst>
              <a:ext uri="{FF2B5EF4-FFF2-40B4-BE49-F238E27FC236}">
                <a16:creationId xmlns:a16="http://schemas.microsoft.com/office/drawing/2014/main" id="{83B6D3D5-F403-EDCF-695B-988E85B813ED}"/>
              </a:ext>
            </a:extLst>
          </xdr:cNvPr>
          <xdr:cNvPicPr>
            <a:picLocks noChangeAspect="1"/>
          </xdr:cNvPicPr>
        </xdr:nvPicPr>
        <xdr:blipFill>
          <a:blip xmlns:r="http://schemas.openxmlformats.org/officeDocument/2006/relationships" r:embed="rId1"/>
          <a:stretch>
            <a:fillRect/>
          </a:stretch>
        </xdr:blipFill>
        <xdr:spPr>
          <a:xfrm>
            <a:off x="17097239" y="1636177"/>
            <a:ext cx="3956128" cy="5469323"/>
          </a:xfrm>
          <a:prstGeom prst="rect">
            <a:avLst/>
          </a:prstGeom>
        </xdr:spPr>
      </xdr:pic>
      <xdr:pic>
        <xdr:nvPicPr>
          <xdr:cNvPr id="5" name="図 4">
            <a:extLst>
              <a:ext uri="{FF2B5EF4-FFF2-40B4-BE49-F238E27FC236}">
                <a16:creationId xmlns:a16="http://schemas.microsoft.com/office/drawing/2014/main" id="{932AA3E1-74A0-598F-FE6F-5AD38F87BFDF}"/>
              </a:ext>
            </a:extLst>
          </xdr:cNvPr>
          <xdr:cNvPicPr>
            <a:picLocks noChangeAspect="1"/>
          </xdr:cNvPicPr>
        </xdr:nvPicPr>
        <xdr:blipFill>
          <a:blip xmlns:r="http://schemas.openxmlformats.org/officeDocument/2006/relationships" r:embed="rId2"/>
          <a:stretch>
            <a:fillRect/>
          </a:stretch>
        </xdr:blipFill>
        <xdr:spPr>
          <a:xfrm>
            <a:off x="12841041" y="1653615"/>
            <a:ext cx="3932504" cy="5458196"/>
          </a:xfrm>
          <a:prstGeom prst="rect">
            <a:avLst/>
          </a:prstGeom>
        </xdr:spPr>
      </xdr:pic>
      <xdr:sp macro="" textlink="">
        <xdr:nvSpPr>
          <xdr:cNvPr id="6" name="テキスト ボックス 5">
            <a:extLst>
              <a:ext uri="{FF2B5EF4-FFF2-40B4-BE49-F238E27FC236}">
                <a16:creationId xmlns:a16="http://schemas.microsoft.com/office/drawing/2014/main" id="{EB6E55A2-01BF-1CF1-EC14-531241409F2C}"/>
              </a:ext>
            </a:extLst>
          </xdr:cNvPr>
          <xdr:cNvSpPr txBox="1"/>
        </xdr:nvSpPr>
        <xdr:spPr>
          <a:xfrm>
            <a:off x="12823485" y="1160769"/>
            <a:ext cx="2794578" cy="469835"/>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solidFill>
                  <a:srgbClr val="FF0000"/>
                </a:solidFill>
                <a:latin typeface="Meiryo UI" panose="020B0604030504040204" pitchFamily="50" charset="-128"/>
                <a:ea typeface="Meiryo UI" panose="020B0604030504040204" pitchFamily="50" charset="-128"/>
              </a:rPr>
              <a:t>①複製したい行全体をコピー</a:t>
            </a:r>
          </a:p>
        </xdr:txBody>
      </xdr:sp>
      <xdr:sp macro="" textlink="">
        <xdr:nvSpPr>
          <xdr:cNvPr id="7" name="テキスト ボックス 6">
            <a:extLst>
              <a:ext uri="{FF2B5EF4-FFF2-40B4-BE49-F238E27FC236}">
                <a16:creationId xmlns:a16="http://schemas.microsoft.com/office/drawing/2014/main" id="{0226CBE1-483F-E561-6EF4-B155321084AA}"/>
              </a:ext>
            </a:extLst>
          </xdr:cNvPr>
          <xdr:cNvSpPr txBox="1"/>
        </xdr:nvSpPr>
        <xdr:spPr>
          <a:xfrm>
            <a:off x="17115219" y="1198308"/>
            <a:ext cx="3482635" cy="469835"/>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solidFill>
                  <a:srgbClr val="FF0000"/>
                </a:solidFill>
                <a:latin typeface="Meiryo UI" panose="020B0604030504040204" pitchFamily="50" charset="-128"/>
                <a:ea typeface="Meiryo UI" panose="020B0604030504040204" pitchFamily="50" charset="-128"/>
              </a:rPr>
              <a:t>②コピーした行を「コピーしたセルを挿入」</a:t>
            </a:r>
          </a:p>
        </xdr:txBody>
      </xdr:sp>
      <xdr:sp macro="" textlink="">
        <xdr:nvSpPr>
          <xdr:cNvPr id="8" name="四角形: 角を丸くする 7">
            <a:extLst>
              <a:ext uri="{FF2B5EF4-FFF2-40B4-BE49-F238E27FC236}">
                <a16:creationId xmlns:a16="http://schemas.microsoft.com/office/drawing/2014/main" id="{ECEDBD2D-9D30-3144-CAC8-4A5DD3F1BDDC}"/>
              </a:ext>
            </a:extLst>
          </xdr:cNvPr>
          <xdr:cNvSpPr/>
        </xdr:nvSpPr>
        <xdr:spPr>
          <a:xfrm>
            <a:off x="12936837" y="4028321"/>
            <a:ext cx="1355991" cy="207308"/>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四角形: 角を丸くする 8">
            <a:extLst>
              <a:ext uri="{FF2B5EF4-FFF2-40B4-BE49-F238E27FC236}">
                <a16:creationId xmlns:a16="http://schemas.microsoft.com/office/drawing/2014/main" id="{D53678BF-255E-BF5A-C70C-5F79B9A471A1}"/>
              </a:ext>
            </a:extLst>
          </xdr:cNvPr>
          <xdr:cNvSpPr/>
        </xdr:nvSpPr>
        <xdr:spPr>
          <a:xfrm>
            <a:off x="17166980" y="4764499"/>
            <a:ext cx="1428907" cy="207307"/>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2</xdr:col>
      <xdr:colOff>655487</xdr:colOff>
      <xdr:row>13</xdr:row>
      <xdr:rowOff>184354</xdr:rowOff>
    </xdr:from>
    <xdr:to>
      <xdr:col>2</xdr:col>
      <xdr:colOff>2700513</xdr:colOff>
      <xdr:row>17</xdr:row>
      <xdr:rowOff>30726</xdr:rowOff>
    </xdr:to>
    <xdr:pic>
      <xdr:nvPicPr>
        <xdr:cNvPr id="10" name="図 9">
          <a:extLst>
            <a:ext uri="{FF2B5EF4-FFF2-40B4-BE49-F238E27FC236}">
              <a16:creationId xmlns:a16="http://schemas.microsoft.com/office/drawing/2014/main" id="{C5006AF5-6460-495C-A4B1-A2557B9E67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14842" y="3246693"/>
          <a:ext cx="2045026" cy="788630"/>
        </a:xfrm>
        <a:prstGeom prst="rect">
          <a:avLst/>
        </a:prstGeom>
      </xdr:spPr>
    </xdr:pic>
    <xdr:clientData/>
  </xdr:twoCellAnchor>
  <xdr:twoCellAnchor editAs="oneCell">
    <xdr:from>
      <xdr:col>4</xdr:col>
      <xdr:colOff>85726</xdr:colOff>
      <xdr:row>0</xdr:row>
      <xdr:rowOff>152400</xdr:rowOff>
    </xdr:from>
    <xdr:to>
      <xdr:col>10</xdr:col>
      <xdr:colOff>619126</xdr:colOff>
      <xdr:row>4</xdr:row>
      <xdr:rowOff>76200</xdr:rowOff>
    </xdr:to>
    <xdr:sp macro="" textlink="">
      <xdr:nvSpPr>
        <xdr:cNvPr id="11" name="吹き出し: 角を丸めた四角形 62">
          <a:extLst>
            <a:ext uri="{FF2B5EF4-FFF2-40B4-BE49-F238E27FC236}">
              <a16:creationId xmlns:a16="http://schemas.microsoft.com/office/drawing/2014/main" id="{033C755F-DCD9-4A58-9C36-084627590D4A}"/>
            </a:ext>
          </a:extLst>
        </xdr:cNvPr>
        <xdr:cNvSpPr/>
      </xdr:nvSpPr>
      <xdr:spPr>
        <a:xfrm>
          <a:off x="6838951" y="152400"/>
          <a:ext cx="3962400" cy="876300"/>
        </a:xfrm>
        <a:prstGeom prst="wedgeRoundRectCallout">
          <a:avLst>
            <a:gd name="adj1" fmla="val -66398"/>
            <a:gd name="adj2" fmla="val 3384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地方公共団体名は、都道府県名も記載ください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例</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○○県△△市</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1125681</xdr:colOff>
      <xdr:row>1</xdr:row>
      <xdr:rowOff>184005</xdr:rowOff>
    </xdr:from>
    <xdr:to>
      <xdr:col>10</xdr:col>
      <xdr:colOff>16203</xdr:colOff>
      <xdr:row>2</xdr:row>
      <xdr:rowOff>836456</xdr:rowOff>
    </xdr:to>
    <xdr:pic>
      <xdr:nvPicPr>
        <xdr:cNvPr id="2" name="図 1">
          <a:extLst>
            <a:ext uri="{FF2B5EF4-FFF2-40B4-BE49-F238E27FC236}">
              <a16:creationId xmlns:a16="http://schemas.microsoft.com/office/drawing/2014/main" id="{82F8B9B7-45DB-464C-ABAF-5FA9678B83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30653" y="368011"/>
          <a:ext cx="2343334" cy="923047"/>
        </a:xfrm>
        <a:prstGeom prst="rect">
          <a:avLst/>
        </a:prstGeom>
      </xdr:spPr>
    </xdr:pic>
    <xdr:clientData/>
  </xdr:twoCellAnchor>
  <xdr:twoCellAnchor editAs="absolute">
    <xdr:from>
      <xdr:col>7</xdr:col>
      <xdr:colOff>1350614</xdr:colOff>
      <xdr:row>2</xdr:row>
      <xdr:rowOff>619125</xdr:rowOff>
    </xdr:from>
    <xdr:to>
      <xdr:col>21</xdr:col>
      <xdr:colOff>99088</xdr:colOff>
      <xdr:row>5</xdr:row>
      <xdr:rowOff>161839</xdr:rowOff>
    </xdr:to>
    <xdr:sp macro="" textlink="">
      <xdr:nvSpPr>
        <xdr:cNvPr id="8" name="吹き出し: 角を丸めた四角形 9">
          <a:extLst>
            <a:ext uri="{FF2B5EF4-FFF2-40B4-BE49-F238E27FC236}">
              <a16:creationId xmlns:a16="http://schemas.microsoft.com/office/drawing/2014/main" id="{6708C315-E696-4950-91CF-31A06D6019FE}"/>
            </a:ext>
          </a:extLst>
        </xdr:cNvPr>
        <xdr:cNvSpPr/>
      </xdr:nvSpPr>
      <xdr:spPr>
        <a:xfrm>
          <a:off x="9970739" y="1066800"/>
          <a:ext cx="3444299" cy="904789"/>
        </a:xfrm>
        <a:prstGeom prst="wedgeRoundRectCallout">
          <a:avLst>
            <a:gd name="adj1" fmla="val -45751"/>
            <a:gd name="adj2" fmla="val 7368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”電力供給状況”シートに入力した</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ja-JP" altLang="en-US" sz="1400" b="0">
              <a:solidFill>
                <a:sysClr val="windowText" lastClr="000000"/>
              </a:solidFill>
              <a:latin typeface="Meiryo UI" panose="020B0604030504040204" pitchFamily="50" charset="-128"/>
              <a:ea typeface="Meiryo UI" panose="020B0604030504040204" pitchFamily="50" charset="-128"/>
            </a:rPr>
            <a:t>電力供給量が</a:t>
          </a:r>
          <a:r>
            <a:rPr kumimoji="1" lang="ja-JP" altLang="en-US" sz="1400" b="1">
              <a:solidFill>
                <a:sysClr val="windowText" lastClr="000000"/>
              </a:solidFill>
              <a:latin typeface="Meiryo UI" panose="020B0604030504040204" pitchFamily="50" charset="-128"/>
              <a:ea typeface="Meiryo UI" panose="020B0604030504040204" pitchFamily="50" charset="-128"/>
            </a:rPr>
            <a:t>自動計算で表示</a:t>
          </a:r>
          <a:r>
            <a:rPr kumimoji="1" lang="ja-JP" altLang="en-US" sz="1400" b="0">
              <a:solidFill>
                <a:sysClr val="windowText" lastClr="000000"/>
              </a:solidFill>
              <a:latin typeface="Meiryo UI" panose="020B0604030504040204" pitchFamily="50" charset="-128"/>
              <a:ea typeface="Meiryo UI" panose="020B0604030504040204" pitchFamily="50" charset="-128"/>
            </a:rPr>
            <a:t>されます</a:t>
          </a:r>
        </a:p>
      </xdr:txBody>
    </xdr:sp>
    <xdr:clientData/>
  </xdr:twoCellAnchor>
  <xdr:twoCellAnchor editAs="absolute">
    <xdr:from>
      <xdr:col>8</xdr:col>
      <xdr:colOff>157928</xdr:colOff>
      <xdr:row>5</xdr:row>
      <xdr:rowOff>129660</xdr:rowOff>
    </xdr:from>
    <xdr:to>
      <xdr:col>29</xdr:col>
      <xdr:colOff>539068</xdr:colOff>
      <xdr:row>18</xdr:row>
      <xdr:rowOff>123143</xdr:rowOff>
    </xdr:to>
    <xdr:pic>
      <xdr:nvPicPr>
        <xdr:cNvPr id="9" name="図 2">
          <a:extLst>
            <a:ext uri="{FF2B5EF4-FFF2-40B4-BE49-F238E27FC236}">
              <a16:creationId xmlns:a16="http://schemas.microsoft.com/office/drawing/2014/main" id="{8F42D8A3-BE98-4E5D-84CD-036A18DDEBE7}"/>
            </a:ext>
          </a:extLst>
        </xdr:cNvPr>
        <xdr:cNvPicPr>
          <a:picLocks noChangeAspect="1"/>
        </xdr:cNvPicPr>
      </xdr:nvPicPr>
      <xdr:blipFill>
        <a:blip xmlns:r="http://schemas.openxmlformats.org/officeDocument/2006/relationships" r:embed="rId2"/>
        <a:stretch>
          <a:fillRect/>
        </a:stretch>
      </xdr:blipFill>
      <xdr:spPr>
        <a:xfrm>
          <a:off x="11245028" y="1939410"/>
          <a:ext cx="8096390" cy="5832308"/>
        </a:xfrm>
        <a:prstGeom prst="rect">
          <a:avLst/>
        </a:prstGeom>
      </xdr:spPr>
    </xdr:pic>
    <xdr:clientData/>
  </xdr:twoCellAnchor>
  <xdr:twoCellAnchor editAs="absolute">
    <xdr:from>
      <xdr:col>5</xdr:col>
      <xdr:colOff>1543050</xdr:colOff>
      <xdr:row>12</xdr:row>
      <xdr:rowOff>152400</xdr:rowOff>
    </xdr:from>
    <xdr:to>
      <xdr:col>8</xdr:col>
      <xdr:colOff>803562</xdr:colOff>
      <xdr:row>15</xdr:row>
      <xdr:rowOff>335500</xdr:rowOff>
    </xdr:to>
    <xdr:sp macro="" textlink="">
      <xdr:nvSpPr>
        <xdr:cNvPr id="11" name="吹き出し: 角を丸めた四角形 21">
          <a:extLst>
            <a:ext uri="{FF2B5EF4-FFF2-40B4-BE49-F238E27FC236}">
              <a16:creationId xmlns:a16="http://schemas.microsoft.com/office/drawing/2014/main" id="{8E54937C-F5C7-4CFF-90F7-E22D2DFEB42A}"/>
            </a:ext>
          </a:extLst>
        </xdr:cNvPr>
        <xdr:cNvSpPr/>
      </xdr:nvSpPr>
      <xdr:spPr>
        <a:xfrm>
          <a:off x="6610350" y="5276850"/>
          <a:ext cx="5280312" cy="1002250"/>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rgbClr val="FF0000"/>
              </a:solidFill>
              <a:latin typeface="Meiryo UI" panose="020B0604030504040204" pitchFamily="50" charset="-128"/>
              <a:ea typeface="Meiryo UI" panose="020B0604030504040204" pitchFamily="50" charset="-128"/>
            </a:rPr>
            <a:t>本項目の数値は後続の</a:t>
          </a:r>
          <a:r>
            <a:rPr kumimoji="1" lang="en-US" altLang="ja-JP" sz="1400" b="1">
              <a:solidFill>
                <a:srgbClr val="FF0000"/>
              </a:solidFill>
              <a:latin typeface="Meiryo UI" panose="020B0604030504040204" pitchFamily="50" charset="-128"/>
              <a:ea typeface="Meiryo UI" panose="020B0604030504040204" pitchFamily="50" charset="-128"/>
            </a:rPr>
            <a:t>"4.3</a:t>
          </a:r>
          <a:r>
            <a:rPr kumimoji="1" lang="ja-JP" altLang="en-US" sz="1400" b="1">
              <a:solidFill>
                <a:srgbClr val="FF0000"/>
              </a:solidFill>
              <a:latin typeface="Meiryo UI" panose="020B0604030504040204" pitchFamily="50" charset="-128"/>
              <a:ea typeface="Meiryo UI" panose="020B0604030504040204" pitchFamily="50" charset="-128"/>
            </a:rPr>
            <a:t>電力供給状況</a:t>
          </a:r>
          <a:r>
            <a:rPr kumimoji="1" lang="en-US" altLang="ja-JP" sz="1400" b="1">
              <a:solidFill>
                <a:srgbClr val="FF0000"/>
              </a:solidFill>
              <a:latin typeface="Meiryo UI" panose="020B0604030504040204" pitchFamily="50" charset="-128"/>
              <a:ea typeface="Meiryo UI" panose="020B0604030504040204" pitchFamily="50" charset="-128"/>
            </a:rPr>
            <a:t>(</a:t>
          </a:r>
          <a:r>
            <a:rPr kumimoji="1" lang="ja-JP" altLang="en-US" sz="1400" b="1">
              <a:solidFill>
                <a:srgbClr val="FF0000"/>
              </a:solidFill>
              <a:latin typeface="Meiryo UI" panose="020B0604030504040204" pitchFamily="50" charset="-128"/>
              <a:ea typeface="Meiryo UI" panose="020B0604030504040204" pitchFamily="50" charset="-128"/>
            </a:rPr>
            <a:t>民生部門電力以外</a:t>
          </a:r>
          <a:r>
            <a:rPr kumimoji="1" lang="en-US" altLang="ja-JP" sz="1400" b="1">
              <a:solidFill>
                <a:srgbClr val="FF0000"/>
              </a:solidFill>
              <a:latin typeface="Meiryo UI" panose="020B0604030504040204" pitchFamily="50" charset="-128"/>
              <a:ea typeface="Meiryo UI" panose="020B0604030504040204" pitchFamily="50" charset="-128"/>
            </a:rPr>
            <a:t>)"</a:t>
          </a:r>
          <a:r>
            <a:rPr kumimoji="1" lang="ja-JP" altLang="en-US" sz="1400" b="1">
              <a:solidFill>
                <a:srgbClr val="FF0000"/>
              </a:solidFill>
              <a:latin typeface="Meiryo UI" panose="020B0604030504040204" pitchFamily="50" charset="-128"/>
              <a:ea typeface="Meiryo UI" panose="020B0604030504040204" pitchFamily="50" charset="-128"/>
            </a:rPr>
            <a:t>のシートを入力することで自動的に反映されます</a:t>
          </a:r>
        </a:p>
      </xdr:txBody>
    </xdr:sp>
    <xdr:clientData/>
  </xdr:twoCellAnchor>
  <xdr:twoCellAnchor editAs="absolute">
    <xdr:from>
      <xdr:col>1</xdr:col>
      <xdr:colOff>142875</xdr:colOff>
      <xdr:row>10</xdr:row>
      <xdr:rowOff>304800</xdr:rowOff>
    </xdr:from>
    <xdr:to>
      <xdr:col>5</xdr:col>
      <xdr:colOff>540205</xdr:colOff>
      <xdr:row>12</xdr:row>
      <xdr:rowOff>166007</xdr:rowOff>
    </xdr:to>
    <xdr:sp macro="" textlink="">
      <xdr:nvSpPr>
        <xdr:cNvPr id="3" name="吹き出し: 角を丸めた四角形 4">
          <a:extLst>
            <a:ext uri="{FF2B5EF4-FFF2-40B4-BE49-F238E27FC236}">
              <a16:creationId xmlns:a16="http://schemas.microsoft.com/office/drawing/2014/main" id="{BD7654B0-A9E2-4103-8745-0B5AD32B9E01}"/>
            </a:ext>
          </a:extLst>
        </xdr:cNvPr>
        <xdr:cNvSpPr/>
      </xdr:nvSpPr>
      <xdr:spPr>
        <a:xfrm>
          <a:off x="266700" y="4800600"/>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395186</xdr:colOff>
      <xdr:row>0</xdr:row>
      <xdr:rowOff>220896</xdr:rowOff>
    </xdr:from>
    <xdr:to>
      <xdr:col>8</xdr:col>
      <xdr:colOff>438150</xdr:colOff>
      <xdr:row>3</xdr:row>
      <xdr:rowOff>96279</xdr:rowOff>
    </xdr:to>
    <xdr:pic>
      <xdr:nvPicPr>
        <xdr:cNvPr id="2" name="図 1">
          <a:extLst>
            <a:ext uri="{FF2B5EF4-FFF2-40B4-BE49-F238E27FC236}">
              <a16:creationId xmlns:a16="http://schemas.microsoft.com/office/drawing/2014/main" id="{BA6E2426-C7E1-4871-ABEA-5CAC257BF2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2136" y="220896"/>
          <a:ext cx="1690789" cy="656433"/>
        </a:xfrm>
        <a:prstGeom prst="rect">
          <a:avLst/>
        </a:prstGeom>
      </xdr:spPr>
    </xdr:pic>
    <xdr:clientData/>
  </xdr:twoCellAnchor>
  <xdr:twoCellAnchor editAs="absolute">
    <xdr:from>
      <xdr:col>8</xdr:col>
      <xdr:colOff>201693</xdr:colOff>
      <xdr:row>5</xdr:row>
      <xdr:rowOff>49651</xdr:rowOff>
    </xdr:from>
    <xdr:to>
      <xdr:col>18</xdr:col>
      <xdr:colOff>408180</xdr:colOff>
      <xdr:row>49</xdr:row>
      <xdr:rowOff>147661</xdr:rowOff>
    </xdr:to>
    <xdr:pic>
      <xdr:nvPicPr>
        <xdr:cNvPr id="3" name="図 1">
          <a:extLst>
            <a:ext uri="{FF2B5EF4-FFF2-40B4-BE49-F238E27FC236}">
              <a16:creationId xmlns:a16="http://schemas.microsoft.com/office/drawing/2014/main" id="{59B31803-6FFC-44B1-8FD8-1602131A8728}"/>
            </a:ext>
          </a:extLst>
        </xdr:cNvPr>
        <xdr:cNvPicPr>
          <a:picLocks noChangeAspect="1"/>
        </xdr:cNvPicPr>
      </xdr:nvPicPr>
      <xdr:blipFill>
        <a:blip xmlns:r="http://schemas.openxmlformats.org/officeDocument/2006/relationships" r:embed="rId2"/>
        <a:stretch>
          <a:fillRect/>
        </a:stretch>
      </xdr:blipFill>
      <xdr:spPr>
        <a:xfrm>
          <a:off x="7926468" y="1145026"/>
          <a:ext cx="8312262" cy="9080085"/>
        </a:xfrm>
        <a:prstGeom prst="rect">
          <a:avLst/>
        </a:prstGeom>
      </xdr:spPr>
    </xdr:pic>
    <xdr:clientData/>
  </xdr:twoCellAnchor>
  <xdr:twoCellAnchor editAs="absolute">
    <xdr:from>
      <xdr:col>8</xdr:col>
      <xdr:colOff>201693</xdr:colOff>
      <xdr:row>51</xdr:row>
      <xdr:rowOff>133392</xdr:rowOff>
    </xdr:from>
    <xdr:to>
      <xdr:col>18</xdr:col>
      <xdr:colOff>351270</xdr:colOff>
      <xdr:row>89</xdr:row>
      <xdr:rowOff>3816</xdr:rowOff>
    </xdr:to>
    <xdr:pic>
      <xdr:nvPicPr>
        <xdr:cNvPr id="4" name="図 4">
          <a:extLst>
            <a:ext uri="{FF2B5EF4-FFF2-40B4-BE49-F238E27FC236}">
              <a16:creationId xmlns:a16="http://schemas.microsoft.com/office/drawing/2014/main" id="{FF2809EB-B326-4F11-9714-C32D78FBF00E}"/>
            </a:ext>
          </a:extLst>
        </xdr:cNvPr>
        <xdr:cNvPicPr>
          <a:picLocks noChangeAspect="1"/>
        </xdr:cNvPicPr>
      </xdr:nvPicPr>
      <xdr:blipFill>
        <a:blip xmlns:r="http://schemas.openxmlformats.org/officeDocument/2006/relationships" r:embed="rId3"/>
        <a:stretch>
          <a:fillRect/>
        </a:stretch>
      </xdr:blipFill>
      <xdr:spPr>
        <a:xfrm>
          <a:off x="7926468" y="10687092"/>
          <a:ext cx="8255352" cy="8300049"/>
        </a:xfrm>
        <a:prstGeom prst="rect">
          <a:avLst/>
        </a:prstGeom>
      </xdr:spPr>
    </xdr:pic>
    <xdr:clientData/>
  </xdr:twoCellAnchor>
  <xdr:twoCellAnchor editAs="oneCell">
    <xdr:from>
      <xdr:col>3</xdr:col>
      <xdr:colOff>506649</xdr:colOff>
      <xdr:row>9</xdr:row>
      <xdr:rowOff>233575</xdr:rowOff>
    </xdr:from>
    <xdr:to>
      <xdr:col>5</xdr:col>
      <xdr:colOff>1743234</xdr:colOff>
      <xdr:row>14</xdr:row>
      <xdr:rowOff>133350</xdr:rowOff>
    </xdr:to>
    <xdr:sp macro="" textlink="">
      <xdr:nvSpPr>
        <xdr:cNvPr id="5" name="吹き出し: 角を丸めた四角形 64">
          <a:extLst>
            <a:ext uri="{FF2B5EF4-FFF2-40B4-BE49-F238E27FC236}">
              <a16:creationId xmlns:a16="http://schemas.microsoft.com/office/drawing/2014/main" id="{5A06F552-2C94-4DD5-B2D2-6930D2F0AFD5}"/>
            </a:ext>
          </a:extLst>
        </xdr:cNvPr>
        <xdr:cNvSpPr/>
      </xdr:nvSpPr>
      <xdr:spPr>
        <a:xfrm>
          <a:off x="1535349" y="2214775"/>
          <a:ext cx="3941685" cy="852275"/>
        </a:xfrm>
        <a:prstGeom prst="wedgeRoundRectCallout">
          <a:avLst>
            <a:gd name="adj1" fmla="val -37406"/>
            <a:gd name="adj2" fmla="val -9095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施設名は”民生電力需要量”シートにおける</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ja-JP" altLang="en-US" sz="1400" b="0">
              <a:solidFill>
                <a:sysClr val="windowText" lastClr="000000"/>
              </a:solidFill>
              <a:latin typeface="Meiryo UI" panose="020B0604030504040204" pitchFamily="50" charset="-128"/>
              <a:ea typeface="Meiryo UI" panose="020B0604030504040204" pitchFamily="50" charset="-128"/>
            </a:rPr>
            <a:t>施設名と同一の場所を記入してください</a:t>
          </a:r>
        </a:p>
      </xdr:txBody>
    </xdr:sp>
    <xdr:clientData/>
  </xdr:twoCellAnchor>
  <xdr:twoCellAnchor editAs="absolute">
    <xdr:from>
      <xdr:col>3</xdr:col>
      <xdr:colOff>1213565</xdr:colOff>
      <xdr:row>0</xdr:row>
      <xdr:rowOff>219075</xdr:rowOff>
    </xdr:from>
    <xdr:to>
      <xdr:col>6</xdr:col>
      <xdr:colOff>642988</xdr:colOff>
      <xdr:row>7</xdr:row>
      <xdr:rowOff>47544</xdr:rowOff>
    </xdr:to>
    <xdr:sp macro="" textlink="">
      <xdr:nvSpPr>
        <xdr:cNvPr id="6" name="四角形: 角を丸くする 7">
          <a:extLst>
            <a:ext uri="{FF2B5EF4-FFF2-40B4-BE49-F238E27FC236}">
              <a16:creationId xmlns:a16="http://schemas.microsoft.com/office/drawing/2014/main" id="{7CE6E4BC-1B2B-4AF6-8A7A-E1418B97F8D2}"/>
            </a:ext>
          </a:extLst>
        </xdr:cNvPr>
        <xdr:cNvSpPr/>
      </xdr:nvSpPr>
      <xdr:spPr>
        <a:xfrm>
          <a:off x="2242265" y="219075"/>
          <a:ext cx="4477673" cy="1238169"/>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0" tIns="0" rIns="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すべての施設で電力削減量が０である場合、</a:t>
          </a:r>
          <a:endParaRPr kumimoji="1" lang="en-US" altLang="ja-JP" sz="1400" b="1">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本シートは</a:t>
          </a:r>
          <a:r>
            <a:rPr kumimoji="1" lang="en-US" altLang="ja-JP" sz="1400" b="1">
              <a:solidFill>
                <a:sysClr val="windowText" lastClr="000000"/>
              </a:solidFill>
              <a:latin typeface="Meiryo UI" panose="020B0604030504040204" pitchFamily="50" charset="-128"/>
              <a:ea typeface="Meiryo UI" panose="020B0604030504040204" pitchFamily="50" charset="-128"/>
            </a:rPr>
            <a:t>Word</a:t>
          </a:r>
          <a:r>
            <a:rPr kumimoji="1" lang="ja-JP" altLang="en-US" sz="1400" b="1">
              <a:solidFill>
                <a:sysClr val="windowText" lastClr="000000"/>
              </a:solidFill>
              <a:latin typeface="Meiryo UI" panose="020B0604030504040204" pitchFamily="50" charset="-128"/>
              <a:ea typeface="Meiryo UI" panose="020B0604030504040204" pitchFamily="50" charset="-128"/>
            </a:rPr>
            <a:t>の様式１に貼り付けず、</a:t>
          </a:r>
          <a:endParaRPr kumimoji="1" lang="en-US" altLang="ja-JP" sz="1400" b="1">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貼り付け箇所に「該当なし」と記載してください</a:t>
          </a:r>
          <a:endParaRPr kumimoji="1" lang="en-US" altLang="ja-JP" sz="14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3</xdr:col>
      <xdr:colOff>1089925</xdr:colOff>
      <xdr:row>34</xdr:row>
      <xdr:rowOff>0</xdr:rowOff>
    </xdr:from>
    <xdr:to>
      <xdr:col>6</xdr:col>
      <xdr:colOff>7382</xdr:colOff>
      <xdr:row>40</xdr:row>
      <xdr:rowOff>54280</xdr:rowOff>
    </xdr:to>
    <xdr:sp macro="" textlink="">
      <xdr:nvSpPr>
        <xdr:cNvPr id="7" name="吹き出し: 角を丸めた四角形 2">
          <a:extLst>
            <a:ext uri="{FF2B5EF4-FFF2-40B4-BE49-F238E27FC236}">
              <a16:creationId xmlns:a16="http://schemas.microsoft.com/office/drawing/2014/main" id="{3F6A490B-FCAC-4158-9267-A263492343E9}"/>
            </a:ext>
          </a:extLst>
        </xdr:cNvPr>
        <xdr:cNvSpPr/>
      </xdr:nvSpPr>
      <xdr:spPr>
        <a:xfrm>
          <a:off x="2123489" y="6810696"/>
          <a:ext cx="3963680" cy="1270238"/>
        </a:xfrm>
        <a:prstGeom prst="wedgeRoundRectCallout">
          <a:avLst>
            <a:gd name="adj1" fmla="val -96698"/>
            <a:gd name="adj2" fmla="val -7674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対象</a:t>
          </a:r>
          <a:r>
            <a:rPr kumimoji="1" lang="en-US" altLang="ja-JP"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が入力されている行</a:t>
          </a:r>
          <a:r>
            <a:rPr kumimoji="1" lang="ja-JP" altLang="en-US" sz="1400" b="0">
              <a:solidFill>
                <a:sysClr val="windowText" lastClr="000000"/>
              </a:solidFill>
              <a:latin typeface="Meiryo UI" panose="020B0604030504040204" pitchFamily="50" charset="-128"/>
              <a:ea typeface="Meiryo UI" panose="020B0604030504040204" pitchFamily="50" charset="-128"/>
            </a:rPr>
            <a:t>を</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コピーしたセルの挿入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にて複製すると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エラーの原因になりますのでお控えください</a:t>
          </a:r>
          <a:endParaRPr kumimoji="1" lang="en-US" altLang="ja-JP" sz="1400" b="1">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複製された場合、赤文字で表示されます</a:t>
          </a:r>
        </a:p>
      </xdr:txBody>
    </xdr:sp>
    <xdr:clientData/>
  </xdr:twoCellAnchor>
  <xdr:twoCellAnchor editAs="oneCell">
    <xdr:from>
      <xdr:col>3</xdr:col>
      <xdr:colOff>1233298</xdr:colOff>
      <xdr:row>26</xdr:row>
      <xdr:rowOff>220352</xdr:rowOff>
    </xdr:from>
    <xdr:to>
      <xdr:col>6</xdr:col>
      <xdr:colOff>670418</xdr:colOff>
      <xdr:row>30</xdr:row>
      <xdr:rowOff>210133</xdr:rowOff>
    </xdr:to>
    <xdr:sp macro="" textlink="">
      <xdr:nvSpPr>
        <xdr:cNvPr id="8" name="吹き出し: 角を丸めた四角形 62">
          <a:extLst>
            <a:ext uri="{FF2B5EF4-FFF2-40B4-BE49-F238E27FC236}">
              <a16:creationId xmlns:a16="http://schemas.microsoft.com/office/drawing/2014/main" id="{DDE76BC1-3CC3-43D6-B15B-999F728E25E8}"/>
            </a:ext>
          </a:extLst>
        </xdr:cNvPr>
        <xdr:cNvSpPr/>
      </xdr:nvSpPr>
      <xdr:spPr>
        <a:xfrm>
          <a:off x="2266862" y="5631363"/>
          <a:ext cx="4483343" cy="962547"/>
        </a:xfrm>
        <a:prstGeom prst="wedgeRoundRectCallout">
          <a:avLst>
            <a:gd name="adj1" fmla="val -95151"/>
            <a:gd name="adj2" fmla="val -17853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対象</a:t>
          </a:r>
          <a:r>
            <a:rPr kumimoji="1" lang="en-US" altLang="ja-JP"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が入力されていない行</a:t>
          </a:r>
          <a:r>
            <a:rPr kumimoji="1" lang="ja-JP" altLang="en-US" sz="1400" b="0">
              <a:solidFill>
                <a:sysClr val="windowText" lastClr="000000"/>
              </a:solidFill>
              <a:latin typeface="Meiryo UI" panose="020B0604030504040204" pitchFamily="50" charset="-128"/>
              <a:ea typeface="Meiryo UI" panose="020B0604030504040204" pitchFamily="50" charset="-128"/>
            </a:rPr>
            <a:t>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行の削除</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コピーした行の挿入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による行の追加が可能です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追加方法は表右下の吹き出し参照</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0</xdr:col>
      <xdr:colOff>78138</xdr:colOff>
      <xdr:row>18</xdr:row>
      <xdr:rowOff>48092</xdr:rowOff>
    </xdr:from>
    <xdr:to>
      <xdr:col>0</xdr:col>
      <xdr:colOff>277202</xdr:colOff>
      <xdr:row>22</xdr:row>
      <xdr:rowOff>209706</xdr:rowOff>
    </xdr:to>
    <xdr:sp macro="" textlink="">
      <xdr:nvSpPr>
        <xdr:cNvPr id="9" name="左中かっこ 10">
          <a:extLst>
            <a:ext uri="{FF2B5EF4-FFF2-40B4-BE49-F238E27FC236}">
              <a16:creationId xmlns:a16="http://schemas.microsoft.com/office/drawing/2014/main" id="{B8818DBB-DB0F-4149-8CA1-56DA479B91A4}"/>
            </a:ext>
          </a:extLst>
        </xdr:cNvPr>
        <xdr:cNvSpPr/>
      </xdr:nvSpPr>
      <xdr:spPr>
        <a:xfrm flipH="1">
          <a:off x="78138" y="3756762"/>
          <a:ext cx="199064" cy="1134380"/>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78138</xdr:colOff>
      <xdr:row>29</xdr:row>
      <xdr:rowOff>220399</xdr:rowOff>
    </xdr:from>
    <xdr:to>
      <xdr:col>0</xdr:col>
      <xdr:colOff>277202</xdr:colOff>
      <xdr:row>30</xdr:row>
      <xdr:rowOff>189101</xdr:rowOff>
    </xdr:to>
    <xdr:sp macro="" textlink="">
      <xdr:nvSpPr>
        <xdr:cNvPr id="10" name="左中かっこ 11">
          <a:extLst>
            <a:ext uri="{FF2B5EF4-FFF2-40B4-BE49-F238E27FC236}">
              <a16:creationId xmlns:a16="http://schemas.microsoft.com/office/drawing/2014/main" id="{D3016CB0-1EDB-4B7C-BD8D-A9D93F7FFA45}"/>
            </a:ext>
          </a:extLst>
        </xdr:cNvPr>
        <xdr:cNvSpPr/>
      </xdr:nvSpPr>
      <xdr:spPr>
        <a:xfrm flipH="1">
          <a:off x="78138" y="6360984"/>
          <a:ext cx="199064" cy="211894"/>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absolute">
    <xdr:from>
      <xdr:col>2</xdr:col>
      <xdr:colOff>390525</xdr:colOff>
      <xdr:row>65</xdr:row>
      <xdr:rowOff>66675</xdr:rowOff>
    </xdr:from>
    <xdr:to>
      <xdr:col>6</xdr:col>
      <xdr:colOff>6805</xdr:colOff>
      <xdr:row>67</xdr:row>
      <xdr:rowOff>223157</xdr:rowOff>
    </xdr:to>
    <xdr:sp macro="" textlink="">
      <xdr:nvSpPr>
        <xdr:cNvPr id="11" name="吹き出し: 角を丸めた四角形 4">
          <a:extLst>
            <a:ext uri="{FF2B5EF4-FFF2-40B4-BE49-F238E27FC236}">
              <a16:creationId xmlns:a16="http://schemas.microsoft.com/office/drawing/2014/main" id="{9B531C65-82DD-480D-8423-48EF8980388C}"/>
            </a:ext>
          </a:extLst>
        </xdr:cNvPr>
        <xdr:cNvSpPr/>
      </xdr:nvSpPr>
      <xdr:spPr>
        <a:xfrm>
          <a:off x="742950" y="13477875"/>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369794</xdr:colOff>
      <xdr:row>0</xdr:row>
      <xdr:rowOff>36019</xdr:rowOff>
    </xdr:from>
    <xdr:to>
      <xdr:col>11</xdr:col>
      <xdr:colOff>1</xdr:colOff>
      <xdr:row>2</xdr:row>
      <xdr:rowOff>196579</xdr:rowOff>
    </xdr:to>
    <xdr:pic>
      <xdr:nvPicPr>
        <xdr:cNvPr id="2" name="図 1">
          <a:extLst>
            <a:ext uri="{FF2B5EF4-FFF2-40B4-BE49-F238E27FC236}">
              <a16:creationId xmlns:a16="http://schemas.microsoft.com/office/drawing/2014/main" id="{4D5217A0-F64B-4F14-8617-52A28D510E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75912" y="36019"/>
          <a:ext cx="1602442" cy="631207"/>
        </a:xfrm>
        <a:prstGeom prst="rect">
          <a:avLst/>
        </a:prstGeom>
      </xdr:spPr>
    </xdr:pic>
    <xdr:clientData/>
  </xdr:twoCellAnchor>
  <xdr:twoCellAnchor editAs="oneCell">
    <xdr:from>
      <xdr:col>3</xdr:col>
      <xdr:colOff>332268</xdr:colOff>
      <xdr:row>18</xdr:row>
      <xdr:rowOff>43793</xdr:rowOff>
    </xdr:from>
    <xdr:to>
      <xdr:col>4</xdr:col>
      <xdr:colOff>3533775</xdr:colOff>
      <xdr:row>24</xdr:row>
      <xdr:rowOff>4482</xdr:rowOff>
    </xdr:to>
    <xdr:sp macro="" textlink="">
      <xdr:nvSpPr>
        <xdr:cNvPr id="3" name="吹き出し: 角を丸めた四角形 2">
          <a:extLst>
            <a:ext uri="{FF2B5EF4-FFF2-40B4-BE49-F238E27FC236}">
              <a16:creationId xmlns:a16="http://schemas.microsoft.com/office/drawing/2014/main" id="{FF5DD29A-E670-4503-816C-D612E1F5EC95}"/>
            </a:ext>
          </a:extLst>
        </xdr:cNvPr>
        <xdr:cNvSpPr/>
      </xdr:nvSpPr>
      <xdr:spPr>
        <a:xfrm>
          <a:off x="1170468" y="4072868"/>
          <a:ext cx="3773007" cy="1151314"/>
        </a:xfrm>
        <a:prstGeom prst="wedgeRoundRectCallout">
          <a:avLst>
            <a:gd name="adj1" fmla="val -73683"/>
            <a:gd name="adj2" fmla="val -8067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区分が入力されている行</a:t>
          </a:r>
          <a:r>
            <a:rPr kumimoji="1" lang="ja-JP" altLang="en-US" sz="1400" b="0">
              <a:solidFill>
                <a:sysClr val="windowText" lastClr="000000"/>
              </a:solidFill>
              <a:latin typeface="Meiryo UI" panose="020B0604030504040204" pitchFamily="50" charset="-128"/>
              <a:ea typeface="Meiryo UI" panose="020B0604030504040204" pitchFamily="50" charset="-128"/>
            </a:rPr>
            <a:t>を</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コピーしたセルの挿入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にて複製すると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エラーの原因になりますのでお控えください</a:t>
          </a:r>
          <a:endParaRPr kumimoji="1" lang="ja-JP" altLang="en-US"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editAs="oneCell">
    <xdr:from>
      <xdr:col>3</xdr:col>
      <xdr:colOff>391658</xdr:colOff>
      <xdr:row>10</xdr:row>
      <xdr:rowOff>145205</xdr:rowOff>
    </xdr:from>
    <xdr:to>
      <xdr:col>5</xdr:col>
      <xdr:colOff>578458</xdr:colOff>
      <xdr:row>17</xdr:row>
      <xdr:rowOff>50945</xdr:rowOff>
    </xdr:to>
    <xdr:sp macro="" textlink="">
      <xdr:nvSpPr>
        <xdr:cNvPr id="4" name="吹き出し: 角を丸めた四角形 62">
          <a:extLst>
            <a:ext uri="{FF2B5EF4-FFF2-40B4-BE49-F238E27FC236}">
              <a16:creationId xmlns:a16="http://schemas.microsoft.com/office/drawing/2014/main" id="{259E4DAE-79F6-466C-87B1-E5C3092A37C5}"/>
            </a:ext>
          </a:extLst>
        </xdr:cNvPr>
        <xdr:cNvSpPr/>
      </xdr:nvSpPr>
      <xdr:spPr>
        <a:xfrm>
          <a:off x="1229858" y="2745530"/>
          <a:ext cx="4330175" cy="1096365"/>
        </a:xfrm>
        <a:prstGeom prst="wedgeRoundRectCallout">
          <a:avLst>
            <a:gd name="adj1" fmla="val -74734"/>
            <a:gd name="adj2" fmla="val -7098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区分が入力されていない行</a:t>
          </a:r>
          <a:r>
            <a:rPr kumimoji="1" lang="ja-JP" altLang="en-US" sz="1400" b="0">
              <a:solidFill>
                <a:sysClr val="windowText" lastClr="000000"/>
              </a:solidFill>
              <a:latin typeface="Meiryo UI" panose="020B0604030504040204" pitchFamily="50" charset="-128"/>
              <a:ea typeface="Meiryo UI" panose="020B0604030504040204" pitchFamily="50" charset="-128"/>
            </a:rPr>
            <a:t>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行の削除</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コピーした行の挿入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による行の追加が可能です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追加方法は表右の吹き出し参照</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editAs="oneCell">
    <xdr:from>
      <xdr:col>5</xdr:col>
      <xdr:colOff>755889</xdr:colOff>
      <xdr:row>7</xdr:row>
      <xdr:rowOff>88826</xdr:rowOff>
    </xdr:from>
    <xdr:to>
      <xdr:col>7</xdr:col>
      <xdr:colOff>775024</xdr:colOff>
      <xdr:row>13</xdr:row>
      <xdr:rowOff>25681</xdr:rowOff>
    </xdr:to>
    <xdr:sp macro="" textlink="">
      <xdr:nvSpPr>
        <xdr:cNvPr id="5" name="吹き出し: 角を丸めた四角形 10">
          <a:extLst>
            <a:ext uri="{FF2B5EF4-FFF2-40B4-BE49-F238E27FC236}">
              <a16:creationId xmlns:a16="http://schemas.microsoft.com/office/drawing/2014/main" id="{E4CB371F-D369-44C5-B7BD-BE6A729F8995}"/>
            </a:ext>
          </a:extLst>
        </xdr:cNvPr>
        <xdr:cNvSpPr/>
      </xdr:nvSpPr>
      <xdr:spPr>
        <a:xfrm>
          <a:off x="5737464" y="1974776"/>
          <a:ext cx="3381460" cy="1127480"/>
        </a:xfrm>
        <a:prstGeom prst="wedgeRoundRectCallout">
          <a:avLst>
            <a:gd name="adj1" fmla="val 38269"/>
            <a:gd name="adj2" fmla="val -8295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排出削減量は数値で入力してください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（削減量の算定をできない場合は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を入力してください）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5</xdr:col>
      <xdr:colOff>1889105</xdr:colOff>
      <xdr:row>0</xdr:row>
      <xdr:rowOff>57150</xdr:rowOff>
    </xdr:from>
    <xdr:to>
      <xdr:col>8</xdr:col>
      <xdr:colOff>104775</xdr:colOff>
      <xdr:row>4</xdr:row>
      <xdr:rowOff>57150</xdr:rowOff>
    </xdr:to>
    <xdr:sp macro="" textlink="">
      <xdr:nvSpPr>
        <xdr:cNvPr id="7" name="吹き出し: 角を丸めた四角形 2">
          <a:extLst>
            <a:ext uri="{FF2B5EF4-FFF2-40B4-BE49-F238E27FC236}">
              <a16:creationId xmlns:a16="http://schemas.microsoft.com/office/drawing/2014/main" id="{68C8A1FC-B881-4A05-812B-C4C9DFB5BFE2}"/>
            </a:ext>
          </a:extLst>
        </xdr:cNvPr>
        <xdr:cNvSpPr/>
      </xdr:nvSpPr>
      <xdr:spPr>
        <a:xfrm>
          <a:off x="6870680" y="57150"/>
          <a:ext cx="2616220" cy="790575"/>
        </a:xfrm>
        <a:prstGeom prst="wedgeRoundRectCallout">
          <a:avLst>
            <a:gd name="adj1" fmla="val 51762"/>
            <a:gd name="adj2" fmla="val 7907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小計は自動計算されるため</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I</a:t>
          </a:r>
          <a:r>
            <a:rPr kumimoji="1" lang="ja-JP" altLang="en-US" sz="1400" b="0">
              <a:solidFill>
                <a:sysClr val="windowText" lastClr="000000"/>
              </a:solidFill>
              <a:latin typeface="Meiryo UI" panose="020B0604030504040204" pitchFamily="50" charset="-128"/>
              <a:ea typeface="Meiryo UI" panose="020B0604030504040204" pitchFamily="50" charset="-128"/>
            </a:rPr>
            <a:t>列への入力は不要です</a:t>
          </a:r>
        </a:p>
      </xdr:txBody>
    </xdr:sp>
    <xdr:clientData/>
  </xdr:twoCellAnchor>
  <xdr:twoCellAnchor editAs="oneCell">
    <xdr:from>
      <xdr:col>3</xdr:col>
      <xdr:colOff>380999</xdr:colOff>
      <xdr:row>6</xdr:row>
      <xdr:rowOff>0</xdr:rowOff>
    </xdr:from>
    <xdr:to>
      <xdr:col>5</xdr:col>
      <xdr:colOff>333375</xdr:colOff>
      <xdr:row>10</xdr:row>
      <xdr:rowOff>85725</xdr:rowOff>
    </xdr:to>
    <xdr:sp macro="" textlink="">
      <xdr:nvSpPr>
        <xdr:cNvPr id="8" name="吹き出し: 角を丸めた四角形 2">
          <a:extLst>
            <a:ext uri="{FF2B5EF4-FFF2-40B4-BE49-F238E27FC236}">
              <a16:creationId xmlns:a16="http://schemas.microsoft.com/office/drawing/2014/main" id="{D03A3ADE-7622-4F73-B6F6-95BF99DADFD3}"/>
            </a:ext>
          </a:extLst>
        </xdr:cNvPr>
        <xdr:cNvSpPr/>
      </xdr:nvSpPr>
      <xdr:spPr>
        <a:xfrm>
          <a:off x="1219199" y="1885950"/>
          <a:ext cx="4095751" cy="800100"/>
        </a:xfrm>
        <a:prstGeom prst="wedgeRoundRectCallout">
          <a:avLst>
            <a:gd name="adj1" fmla="val -63844"/>
            <a:gd name="adj2" fmla="val -12612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民生部門以外の取組</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No</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は、”②</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-1</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、②</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-2</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、･･･”と、通し番号を記入してください。</a:t>
          </a:r>
        </a:p>
      </xdr:txBody>
    </xdr:sp>
    <xdr:clientData/>
  </xdr:twoCellAnchor>
  <xdr:twoCellAnchor>
    <xdr:from>
      <xdr:col>0</xdr:col>
      <xdr:colOff>64942</xdr:colOff>
      <xdr:row>7</xdr:row>
      <xdr:rowOff>57150</xdr:rowOff>
    </xdr:from>
    <xdr:to>
      <xdr:col>0</xdr:col>
      <xdr:colOff>171449</xdr:colOff>
      <xdr:row>9</xdr:row>
      <xdr:rowOff>209550</xdr:rowOff>
    </xdr:to>
    <xdr:sp macro="" textlink="">
      <xdr:nvSpPr>
        <xdr:cNvPr id="9" name="左中かっこ 6">
          <a:extLst>
            <a:ext uri="{FF2B5EF4-FFF2-40B4-BE49-F238E27FC236}">
              <a16:creationId xmlns:a16="http://schemas.microsoft.com/office/drawing/2014/main" id="{D34799B2-8348-4949-8883-A56609BDC87B}"/>
            </a:ext>
          </a:extLst>
        </xdr:cNvPr>
        <xdr:cNvSpPr/>
      </xdr:nvSpPr>
      <xdr:spPr>
        <a:xfrm flipH="1">
          <a:off x="64942" y="1943100"/>
          <a:ext cx="106507" cy="628650"/>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66675</xdr:colOff>
      <xdr:row>15</xdr:row>
      <xdr:rowOff>45707</xdr:rowOff>
    </xdr:from>
    <xdr:to>
      <xdr:col>0</xdr:col>
      <xdr:colOff>172045</xdr:colOff>
      <xdr:row>15</xdr:row>
      <xdr:rowOff>236289</xdr:rowOff>
    </xdr:to>
    <xdr:sp macro="" textlink="">
      <xdr:nvSpPr>
        <xdr:cNvPr id="10" name="左中かっこ 7">
          <a:extLst>
            <a:ext uri="{FF2B5EF4-FFF2-40B4-BE49-F238E27FC236}">
              <a16:creationId xmlns:a16="http://schemas.microsoft.com/office/drawing/2014/main" id="{6A96668F-EE69-4908-906C-48100B75CB4D}"/>
            </a:ext>
          </a:extLst>
        </xdr:cNvPr>
        <xdr:cNvSpPr/>
      </xdr:nvSpPr>
      <xdr:spPr>
        <a:xfrm flipH="1">
          <a:off x="66675" y="3598532"/>
          <a:ext cx="105370" cy="190582"/>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absolute">
    <xdr:from>
      <xdr:col>9</xdr:col>
      <xdr:colOff>542925</xdr:colOff>
      <xdr:row>2</xdr:row>
      <xdr:rowOff>190500</xdr:rowOff>
    </xdr:from>
    <xdr:to>
      <xdr:col>30</xdr:col>
      <xdr:colOff>9525</xdr:colOff>
      <xdr:row>48</xdr:row>
      <xdr:rowOff>204673</xdr:rowOff>
    </xdr:to>
    <xdr:pic>
      <xdr:nvPicPr>
        <xdr:cNvPr id="11" name="図 9">
          <a:extLst>
            <a:ext uri="{FF2B5EF4-FFF2-40B4-BE49-F238E27FC236}">
              <a16:creationId xmlns:a16="http://schemas.microsoft.com/office/drawing/2014/main" id="{CE1AE46C-5513-4A6D-9077-AA6DFC4E10E5}"/>
            </a:ext>
          </a:extLst>
        </xdr:cNvPr>
        <xdr:cNvPicPr>
          <a:picLocks noChangeAspect="1"/>
        </xdr:cNvPicPr>
      </xdr:nvPicPr>
      <xdr:blipFill>
        <a:blip xmlns:r="http://schemas.openxmlformats.org/officeDocument/2006/relationships" r:embed="rId2"/>
        <a:stretch>
          <a:fillRect/>
        </a:stretch>
      </xdr:blipFill>
      <xdr:spPr>
        <a:xfrm>
          <a:off x="10963275" y="666750"/>
          <a:ext cx="8134350" cy="9834448"/>
        </a:xfrm>
        <a:prstGeom prst="rect">
          <a:avLst/>
        </a:prstGeom>
      </xdr:spPr>
    </xdr:pic>
    <xdr:clientData/>
  </xdr:twoCellAnchor>
  <xdr:twoCellAnchor editAs="absolute">
    <xdr:from>
      <xdr:col>0</xdr:col>
      <xdr:colOff>123825</xdr:colOff>
      <xdr:row>3</xdr:row>
      <xdr:rowOff>0</xdr:rowOff>
    </xdr:from>
    <xdr:to>
      <xdr:col>5</xdr:col>
      <xdr:colOff>483055</xdr:colOff>
      <xdr:row>4</xdr:row>
      <xdr:rowOff>413657</xdr:rowOff>
    </xdr:to>
    <xdr:sp macro="" textlink="">
      <xdr:nvSpPr>
        <xdr:cNvPr id="6" name="吹き出し: 角を丸めた四角形 4">
          <a:extLst>
            <a:ext uri="{FF2B5EF4-FFF2-40B4-BE49-F238E27FC236}">
              <a16:creationId xmlns:a16="http://schemas.microsoft.com/office/drawing/2014/main" id="{520854D3-E786-4293-A5BE-33BAE7E13848}"/>
            </a:ext>
          </a:extLst>
        </xdr:cNvPr>
        <xdr:cNvSpPr/>
      </xdr:nvSpPr>
      <xdr:spPr>
        <a:xfrm>
          <a:off x="123825" y="714375"/>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oneCellAnchor>
    <xdr:from>
      <xdr:col>3</xdr:col>
      <xdr:colOff>361950</xdr:colOff>
      <xdr:row>25</xdr:row>
      <xdr:rowOff>200026</xdr:rowOff>
    </xdr:from>
    <xdr:ext cx="3781425" cy="1657350"/>
    <xdr:sp macro="" textlink="">
      <xdr:nvSpPr>
        <xdr:cNvPr id="12" name="四角形: 角を丸くする 11">
          <a:extLst>
            <a:ext uri="{FF2B5EF4-FFF2-40B4-BE49-F238E27FC236}">
              <a16:creationId xmlns:a16="http://schemas.microsoft.com/office/drawing/2014/main" id="{B47998DE-564A-4921-A832-6969894F32B6}"/>
            </a:ext>
          </a:extLst>
        </xdr:cNvPr>
        <xdr:cNvSpPr/>
      </xdr:nvSpPr>
      <xdr:spPr>
        <a:xfrm>
          <a:off x="1200150" y="5657851"/>
          <a:ext cx="3781425" cy="1657350"/>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rgbClr val="FF0000"/>
              </a:solidFill>
              <a:latin typeface="Meiryo UI" panose="020B0604030504040204" pitchFamily="50" charset="-128"/>
              <a:ea typeface="Meiryo UI" panose="020B0604030504040204" pitchFamily="50" charset="-128"/>
            </a:rPr>
            <a:t>取組の合計が</a:t>
          </a:r>
          <a:r>
            <a:rPr kumimoji="1" lang="en-US" altLang="ja-JP" sz="1400" b="0">
              <a:solidFill>
                <a:srgbClr val="FF0000"/>
              </a:solidFill>
              <a:latin typeface="Meiryo UI" panose="020B0604030504040204" pitchFamily="50" charset="-128"/>
              <a:ea typeface="Meiryo UI" panose="020B0604030504040204" pitchFamily="50" charset="-128"/>
            </a:rPr>
            <a:t>30</a:t>
          </a:r>
          <a:r>
            <a:rPr kumimoji="1" lang="ja-JP" altLang="en-US" sz="1400" b="0">
              <a:solidFill>
                <a:srgbClr val="FF0000"/>
              </a:solidFill>
              <a:latin typeface="Meiryo UI" panose="020B0604030504040204" pitchFamily="50" charset="-128"/>
              <a:ea typeface="Meiryo UI" panose="020B0604030504040204" pitchFamily="50" charset="-128"/>
            </a:rPr>
            <a:t>以下に収まるよう、同じ進捗度のものはまとめてご記載ください。</a:t>
          </a:r>
          <a:br>
            <a:rPr kumimoji="1" lang="en-US" altLang="ja-JP" sz="1400" b="0">
              <a:solidFill>
                <a:srgbClr val="FF0000"/>
              </a:solidFill>
              <a:latin typeface="Meiryo UI" panose="020B0604030504040204" pitchFamily="50" charset="-128"/>
              <a:ea typeface="Meiryo UI" panose="020B0604030504040204" pitchFamily="50" charset="-128"/>
            </a:rPr>
          </a:br>
          <a:r>
            <a:rPr kumimoji="1" lang="ja-JP" altLang="ja-JP" sz="1400" b="0">
              <a:solidFill>
                <a:sysClr val="windowText" lastClr="000000"/>
              </a:solidFill>
              <a:effectLst/>
              <a:latin typeface="Meiryo UI" panose="020B0604030504040204" pitchFamily="50" charset="-128"/>
              <a:ea typeface="Meiryo UI" panose="020B0604030504040204" pitchFamily="50" charset="-128"/>
              <a:cs typeface="+mn-cs"/>
            </a:rPr>
            <a:t>どうしても</a:t>
          </a:r>
          <a:r>
            <a:rPr kumimoji="1" lang="en-US" altLang="ja-JP" sz="1400" b="0">
              <a:solidFill>
                <a:sysClr val="windowText" lastClr="000000"/>
              </a:solidFill>
              <a:effectLst/>
              <a:latin typeface="Meiryo UI" panose="020B0604030504040204" pitchFamily="50" charset="-128"/>
              <a:ea typeface="Meiryo UI" panose="020B0604030504040204" pitchFamily="50" charset="-128"/>
              <a:cs typeface="+mn-cs"/>
            </a:rPr>
            <a:t>30</a:t>
          </a:r>
          <a:r>
            <a:rPr kumimoji="1" lang="ja-JP" altLang="en-US" sz="1400" b="0">
              <a:solidFill>
                <a:sysClr val="windowText" lastClr="000000"/>
              </a:solidFill>
              <a:effectLst/>
              <a:latin typeface="Meiryo UI" panose="020B0604030504040204" pitchFamily="50" charset="-128"/>
              <a:ea typeface="Meiryo UI" panose="020B0604030504040204" pitchFamily="50" charset="-128"/>
              <a:cs typeface="+mn-cs"/>
            </a:rPr>
            <a:t>以下</a:t>
          </a:r>
          <a:r>
            <a:rPr kumimoji="1" lang="ja-JP" altLang="ja-JP" sz="1400" b="0">
              <a:solidFill>
                <a:sysClr val="windowText" lastClr="000000"/>
              </a:solidFill>
              <a:effectLst/>
              <a:latin typeface="Meiryo UI" panose="020B0604030504040204" pitchFamily="50" charset="-128"/>
              <a:ea typeface="Meiryo UI" panose="020B0604030504040204" pitchFamily="50" charset="-128"/>
              <a:cs typeface="+mn-cs"/>
            </a:rPr>
            <a:t>にまとめることが難しい場合は、環境省へお問い合わせください。</a:t>
          </a: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8</xdr:col>
      <xdr:colOff>148827</xdr:colOff>
      <xdr:row>1</xdr:row>
      <xdr:rowOff>576570</xdr:rowOff>
    </xdr:from>
    <xdr:to>
      <xdr:col>11</xdr:col>
      <xdr:colOff>9921</xdr:colOff>
      <xdr:row>4</xdr:row>
      <xdr:rowOff>80391</xdr:rowOff>
    </xdr:to>
    <xdr:pic>
      <xdr:nvPicPr>
        <xdr:cNvPr id="2" name="図 1">
          <a:extLst>
            <a:ext uri="{FF2B5EF4-FFF2-40B4-BE49-F238E27FC236}">
              <a16:creationId xmlns:a16="http://schemas.microsoft.com/office/drawing/2014/main" id="{83611D62-6BAB-4701-AC7B-513F64230F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40377" y="814695"/>
          <a:ext cx="2299494" cy="903996"/>
        </a:xfrm>
        <a:prstGeom prst="rect">
          <a:avLst/>
        </a:prstGeom>
      </xdr:spPr>
    </xdr:pic>
    <xdr:clientData/>
  </xdr:twoCellAnchor>
  <xdr:twoCellAnchor editAs="absolute">
    <xdr:from>
      <xdr:col>11</xdr:col>
      <xdr:colOff>63796</xdr:colOff>
      <xdr:row>1</xdr:row>
      <xdr:rowOff>209550</xdr:rowOff>
    </xdr:from>
    <xdr:to>
      <xdr:col>27</xdr:col>
      <xdr:colOff>304800</xdr:colOff>
      <xdr:row>3</xdr:row>
      <xdr:rowOff>253748</xdr:rowOff>
    </xdr:to>
    <xdr:sp macro="" textlink="">
      <xdr:nvSpPr>
        <xdr:cNvPr id="3" name="吹き出し: 角を丸めた四角形 21">
          <a:extLst>
            <a:ext uri="{FF2B5EF4-FFF2-40B4-BE49-F238E27FC236}">
              <a16:creationId xmlns:a16="http://schemas.microsoft.com/office/drawing/2014/main" id="{B217D237-CD31-49A2-B9A7-BE8C952E6194}"/>
            </a:ext>
          </a:extLst>
        </xdr:cNvPr>
        <xdr:cNvSpPr/>
      </xdr:nvSpPr>
      <xdr:spPr>
        <a:xfrm flipH="1">
          <a:off x="11093746" y="447675"/>
          <a:ext cx="3660479" cy="1120523"/>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en-US" altLang="ja-JP" sz="1400" b="0">
              <a:solidFill>
                <a:schemeClr val="tx1"/>
              </a:solidFill>
              <a:latin typeface="Meiryo UI" panose="020B0604030504040204" pitchFamily="50" charset="-128"/>
              <a:ea typeface="Meiryo UI" panose="020B0604030504040204" pitchFamily="50" charset="-128"/>
            </a:rPr>
            <a:t>Word</a:t>
          </a:r>
          <a:r>
            <a:rPr kumimoji="1" lang="ja-JP" altLang="en-US" sz="1400" b="0">
              <a:solidFill>
                <a:schemeClr val="tx1"/>
              </a:solidFill>
              <a:latin typeface="Meiryo UI" panose="020B0604030504040204" pitchFamily="50" charset="-128"/>
              <a:ea typeface="Meiryo UI" panose="020B0604030504040204" pitchFamily="50" charset="-128"/>
            </a:rPr>
            <a:t>への貼付は点線の枠内のみ行ってください（懸念点、懸念点への対策は貼付対象外）</a:t>
          </a:r>
        </a:p>
      </xdr:txBody>
    </xdr:sp>
    <xdr:clientData/>
  </xdr:twoCellAnchor>
  <xdr:twoCellAnchor editAs="oneCell">
    <xdr:from>
      <xdr:col>1</xdr:col>
      <xdr:colOff>79375</xdr:colOff>
      <xdr:row>9</xdr:row>
      <xdr:rowOff>710173</xdr:rowOff>
    </xdr:from>
    <xdr:to>
      <xdr:col>4</xdr:col>
      <xdr:colOff>1686143</xdr:colOff>
      <xdr:row>16</xdr:row>
      <xdr:rowOff>407802</xdr:rowOff>
    </xdr:to>
    <xdr:sp macro="" textlink="">
      <xdr:nvSpPr>
        <xdr:cNvPr id="4" name="吹き出し: 角を丸めた四角形 62">
          <a:extLst>
            <a:ext uri="{FF2B5EF4-FFF2-40B4-BE49-F238E27FC236}">
              <a16:creationId xmlns:a16="http://schemas.microsoft.com/office/drawing/2014/main" id="{3BDD9CA3-C746-4908-8527-1C1A6F48717A}"/>
            </a:ext>
          </a:extLst>
        </xdr:cNvPr>
        <xdr:cNvSpPr/>
      </xdr:nvSpPr>
      <xdr:spPr>
        <a:xfrm>
          <a:off x="241300" y="3424798"/>
          <a:ext cx="3940393" cy="1393079"/>
        </a:xfrm>
        <a:prstGeom prst="wedgeRoundRectCallout">
          <a:avLst>
            <a:gd name="adj1" fmla="val -10562"/>
            <a:gd name="adj2" fmla="val -13965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対象となる取組名を選択してください。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4.3</a:t>
          </a:r>
          <a:r>
            <a:rPr kumimoji="1" lang="ja-JP" altLang="en-US" sz="1400" b="0">
              <a:solidFill>
                <a:sysClr val="windowText" lastClr="000000"/>
              </a:solidFill>
              <a:latin typeface="Meiryo UI" panose="020B0604030504040204" pitchFamily="50" charset="-128"/>
              <a:ea typeface="Meiryo UI" panose="020B0604030504040204" pitchFamily="50" charset="-128"/>
            </a:rPr>
            <a:t>民生部門電力以外の排出削減取組」のシートで記載された取組名が表示されます。なお、一度選択された施設名は表示されません。</a:t>
          </a:r>
        </a:p>
      </xdr:txBody>
    </xdr:sp>
    <xdr:clientData/>
  </xdr:twoCellAnchor>
  <xdr:twoCellAnchor editAs="oneCell">
    <xdr:from>
      <xdr:col>4</xdr:col>
      <xdr:colOff>2071976</xdr:colOff>
      <xdr:row>16</xdr:row>
      <xdr:rowOff>241411</xdr:rowOff>
    </xdr:from>
    <xdr:to>
      <xdr:col>7</xdr:col>
      <xdr:colOff>1078764</xdr:colOff>
      <xdr:row>17</xdr:row>
      <xdr:rowOff>428625</xdr:rowOff>
    </xdr:to>
    <xdr:sp macro="" textlink="">
      <xdr:nvSpPr>
        <xdr:cNvPr id="6" name="吹き出し: 角を丸めた四角形 62">
          <a:extLst>
            <a:ext uri="{FF2B5EF4-FFF2-40B4-BE49-F238E27FC236}">
              <a16:creationId xmlns:a16="http://schemas.microsoft.com/office/drawing/2014/main" id="{2C819C45-4D32-48A5-95CF-C14169BC72D3}"/>
            </a:ext>
          </a:extLst>
        </xdr:cNvPr>
        <xdr:cNvSpPr/>
      </xdr:nvSpPr>
      <xdr:spPr>
        <a:xfrm>
          <a:off x="4567526" y="4651486"/>
          <a:ext cx="3959788" cy="1501664"/>
        </a:xfrm>
        <a:prstGeom prst="wedgeRoundRectCallout">
          <a:avLst>
            <a:gd name="adj1" fmla="val -40372"/>
            <a:gd name="adj2" fmla="val -8517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合意形成対象者を記載してください。同じ業種などでまとめて記載いただいて問題ありませんが、進捗度が異なる場合は、最も進捗が遅れている合意形成対象者に合わせて記載してください。</a:t>
          </a:r>
        </a:p>
      </xdr:txBody>
    </xdr:sp>
    <xdr:clientData/>
  </xdr:twoCellAnchor>
  <xdr:twoCellAnchor editAs="oneCell">
    <xdr:from>
      <xdr:col>9</xdr:col>
      <xdr:colOff>1070787</xdr:colOff>
      <xdr:row>16</xdr:row>
      <xdr:rowOff>983954</xdr:rowOff>
    </xdr:from>
    <xdr:to>
      <xdr:col>28</xdr:col>
      <xdr:colOff>462618</xdr:colOff>
      <xdr:row>17</xdr:row>
      <xdr:rowOff>932977</xdr:rowOff>
    </xdr:to>
    <xdr:sp macro="" textlink="">
      <xdr:nvSpPr>
        <xdr:cNvPr id="7" name="吹き出し: 角を丸めた四角形 62">
          <a:extLst>
            <a:ext uri="{FF2B5EF4-FFF2-40B4-BE49-F238E27FC236}">
              <a16:creationId xmlns:a16="http://schemas.microsoft.com/office/drawing/2014/main" id="{93B3AAAB-DF79-44A1-9503-FFC05898C387}"/>
            </a:ext>
          </a:extLst>
        </xdr:cNvPr>
        <xdr:cNvSpPr/>
      </xdr:nvSpPr>
      <xdr:spPr>
        <a:xfrm>
          <a:off x="10805337" y="5394029"/>
          <a:ext cx="4792506" cy="1263473"/>
        </a:xfrm>
        <a:prstGeom prst="wedgeRoundRectCallout">
          <a:avLst>
            <a:gd name="adj1" fmla="val -63466"/>
            <a:gd name="adj2" fmla="val -39716"/>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「懸念事項」と「懸念事項への対応策」について記載してください。枠内に収まる分量で記載を御願いします。もしも枠を超えざるを得ない場合は、文字サイズを小さくして枠に収めてください。</a:t>
          </a:r>
        </a:p>
      </xdr:txBody>
    </xdr:sp>
    <xdr:clientData/>
  </xdr:twoCellAnchor>
  <xdr:oneCellAnchor>
    <xdr:from>
      <xdr:col>11</xdr:col>
      <xdr:colOff>81145</xdr:colOff>
      <xdr:row>4</xdr:row>
      <xdr:rowOff>39687</xdr:rowOff>
    </xdr:from>
    <xdr:ext cx="2976380" cy="851964"/>
    <xdr:sp macro="" textlink="">
      <xdr:nvSpPr>
        <xdr:cNvPr id="8" name="吹き出し: 角を丸めた四角形 63">
          <a:extLst>
            <a:ext uri="{FF2B5EF4-FFF2-40B4-BE49-F238E27FC236}">
              <a16:creationId xmlns:a16="http://schemas.microsoft.com/office/drawing/2014/main" id="{7AC3D9D9-A1C9-4445-9C02-DB37702178E5}"/>
            </a:ext>
          </a:extLst>
        </xdr:cNvPr>
        <xdr:cNvSpPr/>
      </xdr:nvSpPr>
      <xdr:spPr>
        <a:xfrm>
          <a:off x="11111095" y="1677987"/>
          <a:ext cx="2976380" cy="851964"/>
        </a:xfrm>
        <a:prstGeom prst="wedgeRoundRectCallout">
          <a:avLst>
            <a:gd name="adj1" fmla="val -64203"/>
            <a:gd name="adj2" fmla="val 18358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合意プロセスの行が余る場合は行削除、足りなければ行追加</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endParaRPr kumimoji="1" lang="ja-JP" altLang="en-US" sz="1400" b="0">
            <a:solidFill>
              <a:sysClr val="windowText" lastClr="000000"/>
            </a:solidFill>
            <a:latin typeface="Meiryo UI" panose="020B0604030504040204" pitchFamily="50" charset="-128"/>
            <a:ea typeface="Meiryo UI" panose="020B0604030504040204" pitchFamily="50" charset="-128"/>
          </a:endParaRPr>
        </a:p>
      </xdr:txBody>
    </xdr:sp>
    <xdr:clientData/>
  </xdr:oneCellAnchor>
  <xdr:oneCellAnchor>
    <xdr:from>
      <xdr:col>11</xdr:col>
      <xdr:colOff>267933</xdr:colOff>
      <xdr:row>9</xdr:row>
      <xdr:rowOff>638175</xdr:rowOff>
    </xdr:from>
    <xdr:ext cx="3713896" cy="771099"/>
    <xdr:sp macro="" textlink="">
      <xdr:nvSpPr>
        <xdr:cNvPr id="9" name="吹き出し: 角を丸めた四角形 63">
          <a:extLst>
            <a:ext uri="{FF2B5EF4-FFF2-40B4-BE49-F238E27FC236}">
              <a16:creationId xmlns:a16="http://schemas.microsoft.com/office/drawing/2014/main" id="{159A7A31-7F24-47FC-A41F-0E8D5C08FFDD}"/>
            </a:ext>
          </a:extLst>
        </xdr:cNvPr>
        <xdr:cNvSpPr/>
      </xdr:nvSpPr>
      <xdr:spPr>
        <a:xfrm>
          <a:off x="11297883" y="3352800"/>
          <a:ext cx="3713896" cy="771099"/>
        </a:xfrm>
        <a:prstGeom prst="flowChartAlternateProcess">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合意形成対象者を追記したい場合は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1">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”の範囲を行コピーし挿入してください</a:t>
          </a:r>
        </a:p>
      </xdr:txBody>
    </xdr:sp>
    <xdr:clientData/>
  </xdr:oneCellAnchor>
  <xdr:twoCellAnchor>
    <xdr:from>
      <xdr:col>10</xdr:col>
      <xdr:colOff>6893</xdr:colOff>
      <xdr:row>9</xdr:row>
      <xdr:rowOff>724297</xdr:rowOff>
    </xdr:from>
    <xdr:to>
      <xdr:col>11</xdr:col>
      <xdr:colOff>213254</xdr:colOff>
      <xdr:row>14</xdr:row>
      <xdr:rowOff>52797</xdr:rowOff>
    </xdr:to>
    <xdr:sp macro="" textlink="">
      <xdr:nvSpPr>
        <xdr:cNvPr id="10" name="左中かっこ 36">
          <a:extLst>
            <a:ext uri="{FF2B5EF4-FFF2-40B4-BE49-F238E27FC236}">
              <a16:creationId xmlns:a16="http://schemas.microsoft.com/office/drawing/2014/main" id="{F6066851-F41B-4ABA-A325-0EE54E4AE051}"/>
            </a:ext>
          </a:extLst>
        </xdr:cNvPr>
        <xdr:cNvSpPr/>
      </xdr:nvSpPr>
      <xdr:spPr>
        <a:xfrm flipH="1">
          <a:off x="10871346" y="3641328"/>
          <a:ext cx="355189" cy="856469"/>
        </a:xfrm>
        <a:prstGeom prst="leftBrace">
          <a:avLst>
            <a:gd name="adj1" fmla="val 53494"/>
            <a:gd name="adj2" fmla="val 50000"/>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absolute">
    <xdr:from>
      <xdr:col>1</xdr:col>
      <xdr:colOff>19050</xdr:colOff>
      <xdr:row>3</xdr:row>
      <xdr:rowOff>104775</xdr:rowOff>
    </xdr:from>
    <xdr:to>
      <xdr:col>5</xdr:col>
      <xdr:colOff>359230</xdr:colOff>
      <xdr:row>5</xdr:row>
      <xdr:rowOff>99332</xdr:rowOff>
    </xdr:to>
    <xdr:sp macro="" textlink="">
      <xdr:nvSpPr>
        <xdr:cNvPr id="5" name="吹き出し: 角を丸めた四角形 4">
          <a:extLst>
            <a:ext uri="{FF2B5EF4-FFF2-40B4-BE49-F238E27FC236}">
              <a16:creationId xmlns:a16="http://schemas.microsoft.com/office/drawing/2014/main" id="{4C830110-5DDC-42B3-83DA-6AABABF8F4F0}"/>
            </a:ext>
          </a:extLst>
        </xdr:cNvPr>
        <xdr:cNvSpPr/>
      </xdr:nvSpPr>
      <xdr:spPr>
        <a:xfrm>
          <a:off x="180975" y="1419225"/>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13</xdr:col>
      <xdr:colOff>2925504</xdr:colOff>
      <xdr:row>0</xdr:row>
      <xdr:rowOff>151986</xdr:rowOff>
    </xdr:from>
    <xdr:to>
      <xdr:col>14</xdr:col>
      <xdr:colOff>1344366</xdr:colOff>
      <xdr:row>3</xdr:row>
      <xdr:rowOff>182712</xdr:rowOff>
    </xdr:to>
    <xdr:pic>
      <xdr:nvPicPr>
        <xdr:cNvPr id="2" name="図 1">
          <a:extLst>
            <a:ext uri="{FF2B5EF4-FFF2-40B4-BE49-F238E27FC236}">
              <a16:creationId xmlns:a16="http://schemas.microsoft.com/office/drawing/2014/main" id="{CA3C56F0-7CCA-4F15-9107-493A0221D8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31879" y="151986"/>
          <a:ext cx="1914746" cy="745101"/>
        </a:xfrm>
        <a:prstGeom prst="rect">
          <a:avLst/>
        </a:prstGeom>
      </xdr:spPr>
    </xdr:pic>
    <xdr:clientData/>
  </xdr:twoCellAnchor>
  <xdr:oneCellAnchor>
    <xdr:from>
      <xdr:col>13</xdr:col>
      <xdr:colOff>11443</xdr:colOff>
      <xdr:row>2</xdr:row>
      <xdr:rowOff>167821</xdr:rowOff>
    </xdr:from>
    <xdr:ext cx="2993906" cy="1003753"/>
    <xdr:sp macro="" textlink="">
      <xdr:nvSpPr>
        <xdr:cNvPr id="3" name="吹き出し: 角を丸めた四角形 4">
          <a:extLst>
            <a:ext uri="{FF2B5EF4-FFF2-40B4-BE49-F238E27FC236}">
              <a16:creationId xmlns:a16="http://schemas.microsoft.com/office/drawing/2014/main" id="{B2CC09A6-6D30-4E11-83CC-E5B68EE56520}"/>
            </a:ext>
          </a:extLst>
        </xdr:cNvPr>
        <xdr:cNvSpPr/>
      </xdr:nvSpPr>
      <xdr:spPr>
        <a:xfrm>
          <a:off x="14156068" y="644071"/>
          <a:ext cx="2993906" cy="1003753"/>
        </a:xfrm>
        <a:prstGeom prst="wedgeRoundRectCallout">
          <a:avLst>
            <a:gd name="adj1" fmla="val 51488"/>
            <a:gd name="adj2" fmla="val 8040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電力供給量には</a:t>
          </a:r>
          <a:r>
            <a:rPr kumimoji="1" lang="en-US" altLang="ja-JP" sz="1400" b="0">
              <a:solidFill>
                <a:sysClr val="windowText" lastClr="000000"/>
              </a:solidFill>
              <a:latin typeface="Meiryo UI" panose="020B0604030504040204" pitchFamily="50" charset="-128"/>
              <a:ea typeface="Meiryo UI" panose="020B0604030504040204" pitchFamily="50" charset="-128"/>
            </a:rPr>
            <a:t>F</a:t>
          </a:r>
          <a:r>
            <a:rPr kumimoji="1" lang="ja-JP" altLang="en-US" sz="1400" b="0">
              <a:solidFill>
                <a:sysClr val="windowText" lastClr="000000"/>
              </a:solidFill>
              <a:latin typeface="Meiryo UI" panose="020B0604030504040204" pitchFamily="50" charset="-128"/>
              <a:ea typeface="Meiryo UI" panose="020B0604030504040204" pitchFamily="50" charset="-128"/>
            </a:rPr>
            <a:t>列から</a:t>
          </a:r>
          <a:r>
            <a:rPr kumimoji="1" lang="en-US" altLang="ja-JP" sz="1400" b="0">
              <a:solidFill>
                <a:sysClr val="windowText" lastClr="000000"/>
              </a:solidFill>
              <a:latin typeface="Meiryo UI" panose="020B0604030504040204" pitchFamily="50" charset="-128"/>
              <a:ea typeface="Meiryo UI" panose="020B0604030504040204" pitchFamily="50" charset="-128"/>
            </a:rPr>
            <a:t>M</a:t>
          </a:r>
          <a:r>
            <a:rPr kumimoji="1" lang="ja-JP" altLang="en-US" sz="1400" b="0">
              <a:solidFill>
                <a:sysClr val="windowText" lastClr="000000"/>
              </a:solidFill>
              <a:latin typeface="Meiryo UI" panose="020B0604030504040204" pitchFamily="50" charset="-128"/>
              <a:ea typeface="Meiryo UI" panose="020B0604030504040204" pitchFamily="50" charset="-128"/>
            </a:rPr>
            <a:t>列までの</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ja-JP" altLang="en-US" sz="1400" b="0">
              <a:solidFill>
                <a:sysClr val="windowText" lastClr="000000"/>
              </a:solidFill>
              <a:latin typeface="Meiryo UI" panose="020B0604030504040204" pitchFamily="50" charset="-128"/>
              <a:ea typeface="Meiryo UI" panose="020B0604030504040204" pitchFamily="50" charset="-128"/>
            </a:rPr>
            <a:t>和が自動計算されるため</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O</a:t>
          </a:r>
          <a:r>
            <a:rPr kumimoji="1" lang="ja-JP" altLang="en-US" sz="1400" b="0">
              <a:solidFill>
                <a:sysClr val="windowText" lastClr="000000"/>
              </a:solidFill>
              <a:latin typeface="Meiryo UI" panose="020B0604030504040204" pitchFamily="50" charset="-128"/>
              <a:ea typeface="Meiryo UI" panose="020B0604030504040204" pitchFamily="50" charset="-128"/>
            </a:rPr>
            <a:t>列への入力は不要です</a:t>
          </a:r>
        </a:p>
      </xdr:txBody>
    </xdr:sp>
    <xdr:clientData/>
  </xdr:oneCellAnchor>
  <xdr:oneCellAnchor>
    <xdr:from>
      <xdr:col>3</xdr:col>
      <xdr:colOff>972190</xdr:colOff>
      <xdr:row>11</xdr:row>
      <xdr:rowOff>62368</xdr:rowOff>
    </xdr:from>
    <xdr:ext cx="4023071" cy="1227425"/>
    <xdr:sp macro="" textlink="">
      <xdr:nvSpPr>
        <xdr:cNvPr id="4" name="吹き出し: 角を丸めた四角形 3">
          <a:extLst>
            <a:ext uri="{FF2B5EF4-FFF2-40B4-BE49-F238E27FC236}">
              <a16:creationId xmlns:a16="http://schemas.microsoft.com/office/drawing/2014/main" id="{42FB482F-20DA-4345-8AE4-2FD698E6FEC9}"/>
            </a:ext>
          </a:extLst>
        </xdr:cNvPr>
        <xdr:cNvSpPr/>
      </xdr:nvSpPr>
      <xdr:spPr>
        <a:xfrm>
          <a:off x="2117458" y="3010582"/>
          <a:ext cx="4023071" cy="1227425"/>
        </a:xfrm>
        <a:prstGeom prst="wedgeRoundRectCallout">
          <a:avLst>
            <a:gd name="adj1" fmla="val -101869"/>
            <a:gd name="adj2" fmla="val -6766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本行を</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コピーしたセルの挿入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にて複製すると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エラーの原因になりますのでお控えください</a:t>
          </a:r>
          <a:endParaRPr kumimoji="1" lang="ja-JP" altLang="en-US" sz="1400" b="0">
            <a:solidFill>
              <a:srgbClr val="FF0000"/>
            </a:solidFill>
            <a:latin typeface="Meiryo UI" panose="020B0604030504040204" pitchFamily="50" charset="-128"/>
            <a:ea typeface="Meiryo UI" panose="020B0604030504040204" pitchFamily="50" charset="-128"/>
          </a:endParaRPr>
        </a:p>
      </xdr:txBody>
    </xdr:sp>
    <xdr:clientData/>
  </xdr:oneCellAnchor>
  <xdr:oneCellAnchor>
    <xdr:from>
      <xdr:col>0</xdr:col>
      <xdr:colOff>172729</xdr:colOff>
      <xdr:row>17</xdr:row>
      <xdr:rowOff>126997</xdr:rowOff>
    </xdr:from>
    <xdr:ext cx="4514373" cy="1216028"/>
    <xdr:sp macro="" textlink="">
      <xdr:nvSpPr>
        <xdr:cNvPr id="5" name="吹き出し: 角を丸めた四角形 62">
          <a:extLst>
            <a:ext uri="{FF2B5EF4-FFF2-40B4-BE49-F238E27FC236}">
              <a16:creationId xmlns:a16="http://schemas.microsoft.com/office/drawing/2014/main" id="{6331B502-6ABC-45BE-9000-D65F092FF04A}"/>
            </a:ext>
          </a:extLst>
        </xdr:cNvPr>
        <xdr:cNvSpPr/>
      </xdr:nvSpPr>
      <xdr:spPr>
        <a:xfrm>
          <a:off x="172729" y="4498972"/>
          <a:ext cx="4514373" cy="1216028"/>
        </a:xfrm>
        <a:prstGeom prst="wedgeRoundRectCallout">
          <a:avLst>
            <a:gd name="adj1" fmla="val -47805"/>
            <a:gd name="adj2" fmla="val -8974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1">
              <a:solidFill>
                <a:sysClr val="windowText" lastClr="000000"/>
              </a:solidFill>
              <a:latin typeface="Meiryo UI" panose="020B0604030504040204" pitchFamily="50" charset="-128"/>
              <a:ea typeface="Meiryo UI" panose="020B0604030504040204" pitchFamily="50" charset="-128"/>
            </a:rPr>
            <a:t>対象が入力されていない行</a:t>
          </a:r>
          <a:r>
            <a:rPr kumimoji="1" lang="ja-JP" altLang="en-US" sz="1400" b="0">
              <a:solidFill>
                <a:sysClr val="windowText" lastClr="000000"/>
              </a:solidFill>
              <a:latin typeface="Meiryo UI" panose="020B0604030504040204" pitchFamily="50" charset="-128"/>
              <a:ea typeface="Meiryo UI" panose="020B0604030504040204" pitchFamily="50" charset="-128"/>
            </a:rPr>
            <a:t>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行の削除</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コピーした行の挿入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による行の追加が可能です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追加方法は表右下の吹き出し参照</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oneCellAnchor>
  <xdr:twoCellAnchor>
    <xdr:from>
      <xdr:col>0</xdr:col>
      <xdr:colOff>68036</xdr:colOff>
      <xdr:row>12</xdr:row>
      <xdr:rowOff>35153</xdr:rowOff>
    </xdr:from>
    <xdr:to>
      <xdr:col>0</xdr:col>
      <xdr:colOff>248050</xdr:colOff>
      <xdr:row>16</xdr:row>
      <xdr:rowOff>166852</xdr:rowOff>
    </xdr:to>
    <xdr:sp macro="" textlink="">
      <xdr:nvSpPr>
        <xdr:cNvPr id="6" name="左中かっこ 10">
          <a:extLst>
            <a:ext uri="{FF2B5EF4-FFF2-40B4-BE49-F238E27FC236}">
              <a16:creationId xmlns:a16="http://schemas.microsoft.com/office/drawing/2014/main" id="{25DFE417-E8BB-4CAD-97E5-20050AA2E19F}"/>
            </a:ext>
          </a:extLst>
        </xdr:cNvPr>
        <xdr:cNvSpPr/>
      </xdr:nvSpPr>
      <xdr:spPr>
        <a:xfrm flipH="1">
          <a:off x="68036" y="3221492"/>
          <a:ext cx="180014" cy="1084199"/>
        </a:xfrm>
        <a:prstGeom prst="lef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absoluteAnchor>
    <xdr:pos x="22282301" y="9811321"/>
    <xdr:ext cx="7975264" cy="9056293"/>
    <xdr:pic>
      <xdr:nvPicPr>
        <xdr:cNvPr id="262" name="図 1">
          <a:extLst>
            <a:ext uri="{FF2B5EF4-FFF2-40B4-BE49-F238E27FC236}">
              <a16:creationId xmlns:a16="http://schemas.microsoft.com/office/drawing/2014/main" id="{26659BA8-F88B-4815-8E5E-A5483657CD06}"/>
            </a:ext>
          </a:extLst>
        </xdr:cNvPr>
        <xdr:cNvPicPr>
          <a:picLocks noChangeAspect="1"/>
        </xdr:cNvPicPr>
      </xdr:nvPicPr>
      <xdr:blipFill>
        <a:blip xmlns:r="http://schemas.openxmlformats.org/officeDocument/2006/relationships" r:embed="rId2"/>
        <a:stretch>
          <a:fillRect/>
        </a:stretch>
      </xdr:blipFill>
      <xdr:spPr>
        <a:xfrm>
          <a:off x="22282301" y="9811321"/>
          <a:ext cx="7975264" cy="9056293"/>
        </a:xfrm>
        <a:prstGeom prst="rect">
          <a:avLst/>
        </a:prstGeom>
      </xdr:spPr>
    </xdr:pic>
    <xdr:clientData/>
  </xdr:absoluteAnchor>
  <xdr:absoluteAnchor>
    <xdr:pos x="30465676" y="587899"/>
    <xdr:ext cx="8016861" cy="8167754"/>
    <xdr:pic>
      <xdr:nvPicPr>
        <xdr:cNvPr id="263" name="図 4">
          <a:extLst>
            <a:ext uri="{FF2B5EF4-FFF2-40B4-BE49-F238E27FC236}">
              <a16:creationId xmlns:a16="http://schemas.microsoft.com/office/drawing/2014/main" id="{5F0190B4-22D7-44F9-B58D-40AB6F0DA2D5}"/>
            </a:ext>
          </a:extLst>
        </xdr:cNvPr>
        <xdr:cNvPicPr>
          <a:picLocks noChangeAspect="1"/>
        </xdr:cNvPicPr>
      </xdr:nvPicPr>
      <xdr:blipFill>
        <a:blip xmlns:r="http://schemas.openxmlformats.org/officeDocument/2006/relationships" r:embed="rId3"/>
        <a:stretch>
          <a:fillRect/>
        </a:stretch>
      </xdr:blipFill>
      <xdr:spPr>
        <a:xfrm>
          <a:off x="30465676" y="587899"/>
          <a:ext cx="8016861" cy="8167754"/>
        </a:xfrm>
        <a:prstGeom prst="rect">
          <a:avLst/>
        </a:prstGeom>
      </xdr:spPr>
    </xdr:pic>
    <xdr:clientData/>
  </xdr:absoluteAnchor>
  <xdr:oneCellAnchor>
    <xdr:from>
      <xdr:col>7</xdr:col>
      <xdr:colOff>1025115</xdr:colOff>
      <xdr:row>11</xdr:row>
      <xdr:rowOff>70648</xdr:rowOff>
    </xdr:from>
    <xdr:ext cx="5736587" cy="3641725"/>
    <xdr:sp macro="" textlink="">
      <xdr:nvSpPr>
        <xdr:cNvPr id="264" name="吹き出し: 角を丸めた四角形 62">
          <a:extLst>
            <a:ext uri="{FF2B5EF4-FFF2-40B4-BE49-F238E27FC236}">
              <a16:creationId xmlns:a16="http://schemas.microsoft.com/office/drawing/2014/main" id="{7A2F3C73-7674-44CA-A763-8AF0D2B2C6FC}"/>
            </a:ext>
          </a:extLst>
        </xdr:cNvPr>
        <xdr:cNvSpPr/>
      </xdr:nvSpPr>
      <xdr:spPr>
        <a:xfrm>
          <a:off x="7755417" y="3022351"/>
          <a:ext cx="5736587" cy="3641725"/>
        </a:xfrm>
        <a:prstGeom prst="wedgeRoundRectCallout">
          <a:avLst>
            <a:gd name="adj1" fmla="val 49920"/>
            <a:gd name="adj2" fmla="val -6488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再エネ等の電力供給元（発電主体）</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＜記入例＞</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・自家消費オンサイト</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・自家消費オフサイト</a:t>
          </a:r>
          <a:r>
            <a:rPr kumimoji="1" lang="en-US" altLang="ja-JP" sz="1400" b="0">
              <a:solidFill>
                <a:sysClr val="windowText" lastClr="000000"/>
              </a:solidFill>
              <a:latin typeface="Meiryo UI" panose="020B0604030504040204" pitchFamily="50" charset="-128"/>
              <a:ea typeface="Meiryo UI" panose="020B0604030504040204" pitchFamily="50" charset="-128"/>
            </a:rPr>
            <a:t>PPA</a:t>
          </a:r>
          <a:r>
            <a:rPr kumimoji="1" lang="ja-JP" altLang="en-US" sz="1400" b="0">
              <a:solidFill>
                <a:sysClr val="windowText" lastClr="000000"/>
              </a:solidFill>
              <a:latin typeface="Meiryo UI" panose="020B0604030504040204" pitchFamily="50" charset="-128"/>
              <a:ea typeface="Meiryo UI" panose="020B0604030504040204" pitchFamily="50" charset="-128"/>
            </a:rPr>
            <a:t>（○○会社による太陽光発電</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野立て</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・相対契約（○○会社による○○地区太陽光発電）</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・相対契約（○○会社による○○地区○○バイオマス発電）</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・相対契約（広域連携協定に基づく域外再エネ発電設備）</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・再エネ電力メニュー（地域新電力）</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・再エネ電力メニュー（広域連携協定に基づく共同購入）</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・証書同等（廃棄物発電のプラスチック発電分）</a:t>
          </a:r>
        </a:p>
      </xdr:txBody>
    </xdr:sp>
    <xdr:clientData/>
  </xdr:oneCellAnchor>
  <xdr:oneCellAnchor>
    <xdr:from>
      <xdr:col>13</xdr:col>
      <xdr:colOff>816316</xdr:colOff>
      <xdr:row>110</xdr:row>
      <xdr:rowOff>138900</xdr:rowOff>
    </xdr:from>
    <xdr:ext cx="10028629" cy="5118831"/>
    <xdr:pic>
      <xdr:nvPicPr>
        <xdr:cNvPr id="267" name="図 266">
          <a:extLst>
            <a:ext uri="{FF2B5EF4-FFF2-40B4-BE49-F238E27FC236}">
              <a16:creationId xmlns:a16="http://schemas.microsoft.com/office/drawing/2014/main" id="{1B33826A-4465-49FA-9BB2-FBEED14AEBEB}"/>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4210" b="6796"/>
        <a:stretch/>
      </xdr:blipFill>
      <xdr:spPr bwMode="auto">
        <a:xfrm>
          <a:off x="13754441" y="26944971"/>
          <a:ext cx="10028629" cy="51188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18</xdr:col>
      <xdr:colOff>201678</xdr:colOff>
      <xdr:row>2</xdr:row>
      <xdr:rowOff>85913</xdr:rowOff>
    </xdr:from>
    <xdr:to>
      <xdr:col>39</xdr:col>
      <xdr:colOff>240080</xdr:colOff>
      <xdr:row>38</xdr:row>
      <xdr:rowOff>229848</xdr:rowOff>
    </xdr:to>
    <xdr:grpSp>
      <xdr:nvGrpSpPr>
        <xdr:cNvPr id="268" name="グループ化 267">
          <a:extLst>
            <a:ext uri="{FF2B5EF4-FFF2-40B4-BE49-F238E27FC236}">
              <a16:creationId xmlns:a16="http://schemas.microsoft.com/office/drawing/2014/main" id="{0AF67DCC-4085-45F9-8FB2-D1C55334E564}"/>
            </a:ext>
          </a:extLst>
        </xdr:cNvPr>
        <xdr:cNvGrpSpPr/>
      </xdr:nvGrpSpPr>
      <xdr:grpSpPr>
        <a:xfrm>
          <a:off x="22467953" y="539938"/>
          <a:ext cx="9496727" cy="8757710"/>
          <a:chOff x="18592800" y="0"/>
          <a:chExt cx="9609858" cy="9029183"/>
        </a:xfrm>
      </xdr:grpSpPr>
      <xdr:sp macro="" textlink="">
        <xdr:nvSpPr>
          <xdr:cNvPr id="269" name="吹き出し: 角を丸めた四角形 268">
            <a:extLst>
              <a:ext uri="{FF2B5EF4-FFF2-40B4-BE49-F238E27FC236}">
                <a16:creationId xmlns:a16="http://schemas.microsoft.com/office/drawing/2014/main" id="{5EDEC7E5-5B35-D6D4-6C13-95105DAEA282}"/>
              </a:ext>
            </a:extLst>
          </xdr:cNvPr>
          <xdr:cNvSpPr/>
        </xdr:nvSpPr>
        <xdr:spPr>
          <a:xfrm>
            <a:off x="18592800" y="0"/>
            <a:ext cx="9609858" cy="9029183"/>
          </a:xfrm>
          <a:prstGeom prst="wedgeRoundRectCallout">
            <a:avLst>
              <a:gd name="adj1" fmla="val -54119"/>
              <a:gd name="adj2" fmla="val -1962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200" b="1">
                <a:solidFill>
                  <a:sysClr val="windowText" lastClr="000000"/>
                </a:solidFill>
              </a:rPr>
              <a:t>➊自家消費等</a:t>
            </a:r>
          </a:p>
          <a:p>
            <a:pPr algn="l"/>
            <a:r>
              <a:rPr kumimoji="1" lang="ja-JP" altLang="en-US" sz="1200" b="0">
                <a:solidFill>
                  <a:sysClr val="windowText" lastClr="000000"/>
                </a:solidFill>
              </a:rPr>
              <a:t>自ら対象施設の敷地内に設置した再エネ発電設備で発電した電力量（対象施設の需要量分に限る）、</a:t>
            </a:r>
            <a:endParaRPr kumimoji="1" lang="en-US" altLang="ja-JP" sz="1200" b="0">
              <a:solidFill>
                <a:sysClr val="windowText" lastClr="000000"/>
              </a:solidFill>
            </a:endParaRPr>
          </a:p>
          <a:p>
            <a:pPr algn="l"/>
            <a:r>
              <a:rPr kumimoji="1" lang="ja-JP" altLang="en-US" sz="1200" b="0">
                <a:solidFill>
                  <a:sysClr val="windowText" lastClr="000000"/>
                </a:solidFill>
              </a:rPr>
              <a:t>又は、自ら対象施設の敷地外に設置した再エネ発電設備で発電する再エネ電力を自営線等により</a:t>
            </a:r>
            <a:endParaRPr kumimoji="1" lang="en-US" altLang="ja-JP" sz="1200" b="0">
              <a:solidFill>
                <a:sysClr val="windowText" lastClr="000000"/>
              </a:solidFill>
            </a:endParaRPr>
          </a:p>
          <a:p>
            <a:pPr algn="l"/>
            <a:r>
              <a:rPr kumimoji="1" lang="ja-JP" altLang="en-US" sz="1200" b="0">
                <a:solidFill>
                  <a:sysClr val="windowText" lastClr="000000"/>
                </a:solidFill>
              </a:rPr>
              <a:t>対象施設に供給して消費する電力量。</a:t>
            </a:r>
            <a:r>
              <a:rPr kumimoji="1" lang="en-US" altLang="ja-JP" sz="1200" b="0">
                <a:solidFill>
                  <a:sysClr val="windowText" lastClr="000000"/>
                </a:solidFill>
              </a:rPr>
              <a:t>(※1)(※2)</a:t>
            </a:r>
          </a:p>
          <a:p>
            <a:pPr algn="l"/>
            <a:r>
              <a:rPr kumimoji="1" lang="en-US" altLang="ja-JP" sz="1200" b="0">
                <a:solidFill>
                  <a:sysClr val="windowText" lastClr="000000"/>
                </a:solidFill>
              </a:rPr>
              <a:t>(※1)</a:t>
            </a:r>
            <a:r>
              <a:rPr kumimoji="1" lang="ja-JP" altLang="en-US" sz="1200" b="0">
                <a:solidFill>
                  <a:sysClr val="windowText" lastClr="000000"/>
                </a:solidFill>
              </a:rPr>
              <a:t>リース契約、</a:t>
            </a:r>
            <a:r>
              <a:rPr kumimoji="1" lang="en-US" altLang="ja-JP" sz="1200" b="0">
                <a:solidFill>
                  <a:sysClr val="windowText" lastClr="000000"/>
                </a:solidFill>
              </a:rPr>
              <a:t>PPA (ESP (Energy Service Provider) </a:t>
            </a:r>
            <a:r>
              <a:rPr kumimoji="1" lang="ja-JP" altLang="en-US" sz="1200" b="0">
                <a:solidFill>
                  <a:sysClr val="windowText" lastClr="000000"/>
                </a:solidFill>
              </a:rPr>
              <a:t>等が設置した再エネ発設備で発電した電気を、</a:t>
            </a:r>
            <a:endParaRPr kumimoji="1" lang="en-US" altLang="ja-JP" sz="1200" b="0">
              <a:solidFill>
                <a:sysClr val="windowText" lastClr="000000"/>
              </a:solidFill>
            </a:endParaRPr>
          </a:p>
          <a:p>
            <a:pPr algn="l"/>
            <a:r>
              <a:rPr kumimoji="1" lang="ja-JP" altLang="en-US" sz="1200" b="0">
                <a:solidFill>
                  <a:sysClr val="windowText" lastClr="000000"/>
                </a:solidFill>
              </a:rPr>
              <a:t>　　地域内電力需要家が電気と環境価値が紐付いた状態で調達し消費する契約形態。オンサイト</a:t>
            </a:r>
            <a:r>
              <a:rPr kumimoji="1" lang="en-US" altLang="ja-JP" sz="1200" b="0">
                <a:solidFill>
                  <a:sysClr val="windowText" lastClr="000000"/>
                </a:solidFill>
              </a:rPr>
              <a:t>/</a:t>
            </a:r>
          </a:p>
          <a:p>
            <a:pPr algn="l"/>
            <a:r>
              <a:rPr kumimoji="1" lang="ja-JP" altLang="en-US" sz="1200" b="0">
                <a:solidFill>
                  <a:sysClr val="windowText" lastClr="000000"/>
                </a:solidFill>
              </a:rPr>
              <a:t>　　オフサイトがある。</a:t>
            </a:r>
            <a:r>
              <a:rPr kumimoji="1" lang="en-US" altLang="ja-JP" sz="1200" b="0">
                <a:solidFill>
                  <a:sysClr val="windowText" lastClr="000000"/>
                </a:solidFill>
              </a:rPr>
              <a:t>)</a:t>
            </a:r>
            <a:r>
              <a:rPr kumimoji="1" lang="ja-JP" altLang="en-US" sz="1200" b="0">
                <a:solidFill>
                  <a:sysClr val="windowText" lastClr="000000"/>
                </a:solidFill>
              </a:rPr>
              <a:t>により設置するものも含みます。また、自己託送や特定供給も自家消費</a:t>
            </a:r>
            <a:endParaRPr kumimoji="1" lang="en-US" altLang="ja-JP" sz="1200" b="0">
              <a:solidFill>
                <a:sysClr val="windowText" lastClr="000000"/>
              </a:solidFill>
            </a:endParaRPr>
          </a:p>
          <a:p>
            <a:pPr algn="l"/>
            <a:r>
              <a:rPr kumimoji="1" lang="ja-JP" altLang="en-US" sz="1200" b="0">
                <a:solidFill>
                  <a:sysClr val="windowText" lastClr="000000"/>
                </a:solidFill>
              </a:rPr>
              <a:t>　　としてカウントします。</a:t>
            </a:r>
            <a:endParaRPr kumimoji="1" lang="en-US" altLang="ja-JP" sz="1200" b="0">
              <a:solidFill>
                <a:sysClr val="windowText" lastClr="000000"/>
              </a:solidFill>
            </a:endParaRPr>
          </a:p>
          <a:p>
            <a:pPr algn="l"/>
            <a:r>
              <a:rPr kumimoji="1" lang="en-US" altLang="ja-JP" sz="1200" b="0">
                <a:solidFill>
                  <a:sysClr val="windowText" lastClr="000000"/>
                </a:solidFill>
              </a:rPr>
              <a:t>(※2)</a:t>
            </a:r>
            <a:r>
              <a:rPr kumimoji="1" lang="ja-JP" altLang="en-US" sz="1200" b="0">
                <a:solidFill>
                  <a:sysClr val="windowText" lastClr="000000"/>
                </a:solidFill>
              </a:rPr>
              <a:t>時間帯によって需給バランスが必ずしも一致しないことにより発生する余剰電力を脱炭素先行</a:t>
            </a:r>
            <a:endParaRPr kumimoji="1" lang="en-US" altLang="ja-JP" sz="1200" b="0">
              <a:solidFill>
                <a:sysClr val="windowText" lastClr="000000"/>
              </a:solidFill>
            </a:endParaRPr>
          </a:p>
          <a:p>
            <a:pPr algn="l"/>
            <a:r>
              <a:rPr kumimoji="1" lang="ja-JP" altLang="en-US" sz="1200" b="0">
                <a:solidFill>
                  <a:sysClr val="windowText" lastClr="000000"/>
                </a:solidFill>
              </a:rPr>
              <a:t>　　地域外に売電しているものも「再エネ等の電力供給量」に含まれるものとします。</a:t>
            </a:r>
          </a:p>
          <a:p>
            <a:pPr algn="l"/>
            <a:endParaRPr kumimoji="1" lang="en-US" altLang="ja-JP" sz="1200" b="0">
              <a:solidFill>
                <a:sysClr val="windowText" lastClr="000000"/>
              </a:solidFill>
            </a:endParaRPr>
          </a:p>
          <a:p>
            <a:pPr algn="l"/>
            <a:endParaRPr kumimoji="1" lang="ja-JP" altLang="en-US" sz="1200" b="0">
              <a:solidFill>
                <a:sysClr val="windowText" lastClr="000000"/>
              </a:solidFill>
            </a:endParaRPr>
          </a:p>
          <a:p>
            <a:pPr algn="l"/>
            <a:r>
              <a:rPr kumimoji="1" lang="ja-JP" altLang="en-US" sz="1200" b="1">
                <a:solidFill>
                  <a:sysClr val="windowText" lastClr="000000"/>
                </a:solidFill>
              </a:rPr>
              <a:t>❷相対契約</a:t>
            </a:r>
          </a:p>
          <a:p>
            <a:pPr algn="l"/>
            <a:r>
              <a:rPr kumimoji="1" lang="ja-JP" altLang="en-US" sz="1200" b="0">
                <a:solidFill>
                  <a:sysClr val="windowText" lastClr="000000"/>
                </a:solidFill>
              </a:rPr>
              <a:t>地域内電力需要家が、</a:t>
            </a:r>
            <a:r>
              <a:rPr kumimoji="1" lang="ja-JP" altLang="en-US" sz="1200" b="0">
                <a:solidFill>
                  <a:srgbClr val="FF0000"/>
                </a:solidFill>
              </a:rPr>
              <a:t>再エネ電源 </a:t>
            </a:r>
            <a:r>
              <a:rPr kumimoji="1" lang="en-US" altLang="ja-JP" sz="1200" b="0">
                <a:solidFill>
                  <a:srgbClr val="FF0000"/>
                </a:solidFill>
              </a:rPr>
              <a:t>(</a:t>
            </a:r>
            <a:r>
              <a:rPr kumimoji="1" lang="ja-JP" altLang="en-US" sz="1200" b="0">
                <a:solidFill>
                  <a:srgbClr val="FF0000"/>
                </a:solidFill>
              </a:rPr>
              <a:t>非</a:t>
            </a:r>
            <a:r>
              <a:rPr kumimoji="1" lang="en-US" altLang="ja-JP" sz="1200" b="0">
                <a:solidFill>
                  <a:srgbClr val="FF0000"/>
                </a:solidFill>
              </a:rPr>
              <a:t>FIT</a:t>
            </a:r>
            <a:r>
              <a:rPr kumimoji="1" lang="ja-JP" altLang="en-US" sz="1200" b="0">
                <a:solidFill>
                  <a:srgbClr val="FF0000"/>
                </a:solidFill>
              </a:rPr>
              <a:t>・卒</a:t>
            </a:r>
            <a:r>
              <a:rPr kumimoji="1" lang="en-US" altLang="ja-JP" sz="1200" b="0">
                <a:solidFill>
                  <a:srgbClr val="FF0000"/>
                </a:solidFill>
              </a:rPr>
              <a:t>FIT)</a:t>
            </a:r>
            <a:r>
              <a:rPr kumimoji="1" lang="ja-JP" altLang="en-US" sz="1200" b="0">
                <a:solidFill>
                  <a:srgbClr val="FF0000"/>
                </a:solidFill>
              </a:rPr>
              <a:t>を指定した上で</a:t>
            </a:r>
            <a:endParaRPr kumimoji="1" lang="en-US" altLang="ja-JP" sz="1200" b="0">
              <a:solidFill>
                <a:srgbClr val="FF0000"/>
              </a:solidFill>
            </a:endParaRPr>
          </a:p>
          <a:p>
            <a:pPr algn="l"/>
            <a:r>
              <a:rPr kumimoji="1" lang="ja-JP" altLang="en-US" sz="1200" b="0">
                <a:solidFill>
                  <a:srgbClr val="FF0000"/>
                </a:solidFill>
              </a:rPr>
              <a:t>小売電気事業者等から電気と環境価値が付加された状態で調達</a:t>
            </a:r>
            <a:r>
              <a:rPr kumimoji="1" lang="ja-JP" altLang="en-US" sz="1200" b="0">
                <a:solidFill>
                  <a:sysClr val="windowText" lastClr="000000"/>
                </a:solidFill>
              </a:rPr>
              <a:t>し</a:t>
            </a:r>
            <a:endParaRPr kumimoji="1" lang="en-US" altLang="ja-JP" sz="1200" b="0">
              <a:solidFill>
                <a:sysClr val="windowText" lastClr="000000"/>
              </a:solidFill>
            </a:endParaRPr>
          </a:p>
          <a:p>
            <a:pPr algn="l"/>
            <a:r>
              <a:rPr kumimoji="1" lang="ja-JP" altLang="en-US" sz="1200" b="0">
                <a:solidFill>
                  <a:sysClr val="windowText" lastClr="000000"/>
                </a:solidFill>
              </a:rPr>
              <a:t>消費する電力量。</a:t>
            </a:r>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r>
              <a:rPr kumimoji="1" lang="ja-JP" altLang="en-US" sz="1200" b="1">
                <a:solidFill>
                  <a:sysClr val="windowText" lastClr="000000"/>
                </a:solidFill>
              </a:rPr>
              <a:t>❸小売電気事業者等の再エネメニューの活用</a:t>
            </a:r>
          </a:p>
          <a:p>
            <a:pPr algn="l"/>
            <a:r>
              <a:rPr kumimoji="1" lang="ja-JP" altLang="en-US" sz="1200" b="0">
                <a:solidFill>
                  <a:sysClr val="windowText" lastClr="000000"/>
                </a:solidFill>
              </a:rPr>
              <a:t>地域内電力需要家が、</a:t>
            </a:r>
            <a:r>
              <a:rPr kumimoji="1" lang="ja-JP" altLang="en-US" sz="1200" b="0">
                <a:solidFill>
                  <a:srgbClr val="FF0000"/>
                </a:solidFill>
              </a:rPr>
              <a:t>小売電気事業者等から、非再エネ電力や再エネ電力</a:t>
            </a:r>
            <a:endParaRPr kumimoji="1" lang="en-US" altLang="ja-JP" sz="1200" b="0">
              <a:solidFill>
                <a:srgbClr val="FF0000"/>
              </a:solidFill>
            </a:endParaRPr>
          </a:p>
          <a:p>
            <a:pPr algn="l"/>
            <a:r>
              <a:rPr kumimoji="1" lang="ja-JP" altLang="en-US" sz="1200" b="0">
                <a:solidFill>
                  <a:srgbClr val="FF0000"/>
                </a:solidFill>
              </a:rPr>
              <a:t> </a:t>
            </a:r>
            <a:r>
              <a:rPr kumimoji="1" lang="en-US" altLang="ja-JP" sz="1200" b="0">
                <a:solidFill>
                  <a:srgbClr val="FF0000"/>
                </a:solidFill>
              </a:rPr>
              <a:t>(FIT) </a:t>
            </a:r>
            <a:r>
              <a:rPr kumimoji="1" lang="ja-JP" altLang="en-US" sz="1200" b="0">
                <a:solidFill>
                  <a:srgbClr val="FF0000"/>
                </a:solidFill>
              </a:rPr>
              <a:t>を環境価値が付加された状態で調達</a:t>
            </a:r>
            <a:r>
              <a:rPr kumimoji="1" lang="ja-JP" altLang="en-US" sz="1200" b="0">
                <a:solidFill>
                  <a:sysClr val="windowText" lastClr="000000"/>
                </a:solidFill>
              </a:rPr>
              <a:t>し消費する電力量。</a:t>
            </a:r>
            <a:r>
              <a:rPr kumimoji="1" lang="en-US" altLang="ja-JP" sz="1200" b="0">
                <a:solidFill>
                  <a:sysClr val="windowText" lastClr="000000"/>
                </a:solidFill>
              </a:rPr>
              <a:t>(※</a:t>
            </a:r>
            <a:r>
              <a:rPr kumimoji="1" lang="ja-JP" altLang="en-US" sz="1200" b="0">
                <a:solidFill>
                  <a:sysClr val="windowText" lastClr="000000"/>
                </a:solidFill>
              </a:rPr>
              <a:t>３</a:t>
            </a:r>
            <a:r>
              <a:rPr kumimoji="1" lang="en-US" altLang="ja-JP" sz="1200" b="0">
                <a:solidFill>
                  <a:sysClr val="windowText" lastClr="000000"/>
                </a:solidFill>
              </a:rPr>
              <a:t>)</a:t>
            </a:r>
          </a:p>
          <a:p>
            <a:pPr algn="l"/>
            <a:r>
              <a:rPr kumimoji="1" lang="en-US" altLang="ja-JP" sz="1200" b="0">
                <a:solidFill>
                  <a:sysClr val="windowText" lastClr="000000"/>
                </a:solidFill>
              </a:rPr>
              <a:t>(※</a:t>
            </a:r>
            <a:r>
              <a:rPr kumimoji="1" lang="ja-JP" altLang="en-US" sz="1200" b="0">
                <a:solidFill>
                  <a:sysClr val="windowText" lastClr="000000"/>
                </a:solidFill>
              </a:rPr>
              <a:t>３</a:t>
            </a:r>
            <a:r>
              <a:rPr kumimoji="1" lang="en-US" altLang="ja-JP" sz="1200" b="0">
                <a:solidFill>
                  <a:sysClr val="windowText" lastClr="000000"/>
                </a:solidFill>
              </a:rPr>
              <a:t>)</a:t>
            </a:r>
            <a:r>
              <a:rPr kumimoji="1" lang="ja-JP" altLang="en-US" sz="1200" b="0">
                <a:solidFill>
                  <a:sysClr val="windowText" lastClr="000000"/>
                </a:solidFill>
              </a:rPr>
              <a:t>特定卸供給・任意卸供給でかつ環境価値を買い戻す場合も含みます。</a:t>
            </a:r>
          </a:p>
          <a:p>
            <a:pPr algn="l"/>
            <a:endParaRPr kumimoji="1" lang="ja-JP" altLang="en-US"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endParaRPr kumimoji="1" lang="en-US" altLang="ja-JP" sz="1200" b="0">
              <a:solidFill>
                <a:sysClr val="windowText" lastClr="000000"/>
              </a:solidFill>
            </a:endParaRPr>
          </a:p>
          <a:p>
            <a:pPr algn="l"/>
            <a:r>
              <a:rPr kumimoji="1" lang="ja-JP" altLang="en-US" sz="1200" b="1">
                <a:solidFill>
                  <a:sysClr val="windowText" lastClr="000000"/>
                </a:solidFill>
              </a:rPr>
              <a:t>❹再エネ等電力証書の活用</a:t>
            </a:r>
          </a:p>
          <a:p>
            <a:pPr algn="l"/>
            <a:r>
              <a:rPr kumimoji="1" lang="ja-JP" altLang="en-US" sz="1200" b="0">
                <a:solidFill>
                  <a:sysClr val="windowText" lastClr="000000"/>
                </a:solidFill>
              </a:rPr>
              <a:t>地域内電力需要家が、再エネ等電力証書を活用して</a:t>
            </a:r>
            <a:r>
              <a:rPr kumimoji="1" lang="en-US" altLang="ja-JP" sz="1200" b="0">
                <a:solidFill>
                  <a:sysClr val="windowText" lastClr="000000"/>
                </a:solidFill>
              </a:rPr>
              <a:t>CO2</a:t>
            </a:r>
            <a:r>
              <a:rPr kumimoji="1" lang="ja-JP" altLang="en-US" sz="1200" b="0">
                <a:solidFill>
                  <a:sysClr val="windowText" lastClr="000000"/>
                </a:solidFill>
              </a:rPr>
              <a:t>排出量を相殺 </a:t>
            </a:r>
            <a:r>
              <a:rPr kumimoji="1" lang="en-US" altLang="ja-JP" sz="1200" b="0">
                <a:solidFill>
                  <a:sysClr val="windowText" lastClr="000000"/>
                </a:solidFill>
              </a:rPr>
              <a:t>(</a:t>
            </a:r>
            <a:r>
              <a:rPr kumimoji="1" lang="ja-JP" altLang="en-US" sz="1200" b="0">
                <a:solidFill>
                  <a:sysClr val="windowText" lastClr="000000"/>
                </a:solidFill>
              </a:rPr>
              <a:t>オフセット</a:t>
            </a:r>
            <a:r>
              <a:rPr kumimoji="1" lang="en-US" altLang="ja-JP" sz="1200" b="0">
                <a:solidFill>
                  <a:sysClr val="windowText" lastClr="000000"/>
                </a:solidFill>
              </a:rPr>
              <a:t>)</a:t>
            </a:r>
          </a:p>
          <a:p>
            <a:pPr algn="l"/>
            <a:r>
              <a:rPr kumimoji="1" lang="en-US" altLang="ja-JP" sz="1200" b="0">
                <a:solidFill>
                  <a:sysClr val="windowText" lastClr="000000"/>
                </a:solidFill>
              </a:rPr>
              <a:t> </a:t>
            </a:r>
            <a:r>
              <a:rPr kumimoji="1" lang="ja-JP" altLang="en-US" sz="1200" b="0">
                <a:solidFill>
                  <a:sysClr val="windowText" lastClr="000000"/>
                </a:solidFill>
              </a:rPr>
              <a:t>した電力量。再エネ等電力証書は、地球温暖化対策推進法に基づく温室効果ガス</a:t>
            </a:r>
            <a:endParaRPr kumimoji="1" lang="en-US" altLang="ja-JP" sz="1200" b="0">
              <a:solidFill>
                <a:sysClr val="windowText" lastClr="000000"/>
              </a:solidFill>
            </a:endParaRPr>
          </a:p>
          <a:p>
            <a:pPr algn="l"/>
            <a:r>
              <a:rPr kumimoji="1" lang="ja-JP" altLang="en-US" sz="1200" b="0">
                <a:solidFill>
                  <a:sysClr val="windowText" lastClr="000000"/>
                </a:solidFill>
              </a:rPr>
              <a:t>排出量算定・報告・公表制度における調整後排出量の算定・報告に利用可能な</a:t>
            </a:r>
            <a:endParaRPr kumimoji="1" lang="en-US" altLang="ja-JP" sz="1200" b="0">
              <a:solidFill>
                <a:sysClr val="windowText" lastClr="000000"/>
              </a:solidFill>
            </a:endParaRPr>
          </a:p>
          <a:p>
            <a:pPr algn="l"/>
            <a:r>
              <a:rPr kumimoji="1" lang="ja-JP" altLang="en-US" sz="1200" b="0">
                <a:solidFill>
                  <a:sysClr val="windowText" lastClr="000000"/>
                </a:solidFill>
              </a:rPr>
              <a:t>国内認証排出削減量・海外認証排出削減量 </a:t>
            </a:r>
            <a:r>
              <a:rPr kumimoji="1" lang="en-US" altLang="ja-JP" sz="1200" b="0">
                <a:solidFill>
                  <a:sysClr val="windowText" lastClr="000000"/>
                </a:solidFill>
              </a:rPr>
              <a:t>(J-</a:t>
            </a:r>
            <a:r>
              <a:rPr kumimoji="1" lang="ja-JP" altLang="en-US" sz="1200" b="0">
                <a:solidFill>
                  <a:sysClr val="windowText" lastClr="000000"/>
                </a:solidFill>
              </a:rPr>
              <a:t>クレジット、グリーン電力証書、</a:t>
            </a:r>
            <a:r>
              <a:rPr kumimoji="1" lang="en-US" altLang="ja-JP" sz="1200" b="0">
                <a:solidFill>
                  <a:sysClr val="windowText" lastClr="000000"/>
                </a:solidFill>
              </a:rPr>
              <a:t>JCM</a:t>
            </a:r>
            <a:r>
              <a:rPr kumimoji="1" lang="ja-JP" altLang="en-US" sz="1200" b="0">
                <a:solidFill>
                  <a:sysClr val="windowText" lastClr="000000"/>
                </a:solidFill>
              </a:rPr>
              <a:t>、</a:t>
            </a:r>
            <a:endParaRPr kumimoji="1" lang="en-US" altLang="ja-JP" sz="1200" b="0">
              <a:solidFill>
                <a:sysClr val="windowText" lastClr="000000"/>
              </a:solidFill>
            </a:endParaRPr>
          </a:p>
          <a:p>
            <a:pPr algn="l"/>
            <a:r>
              <a:rPr kumimoji="1" lang="ja-JP" altLang="en-US" sz="1200" b="0">
                <a:solidFill>
                  <a:sysClr val="windowText" lastClr="000000"/>
                </a:solidFill>
              </a:rPr>
              <a:t>非化石証書等</a:t>
            </a:r>
            <a:r>
              <a:rPr kumimoji="1" lang="en-US" altLang="ja-JP" sz="1200" b="0">
                <a:solidFill>
                  <a:sysClr val="windowText" lastClr="000000"/>
                </a:solidFill>
              </a:rPr>
              <a:t>) </a:t>
            </a:r>
            <a:r>
              <a:rPr kumimoji="1" lang="ja-JP" altLang="en-US" sz="1200" b="0">
                <a:solidFill>
                  <a:sysClr val="windowText" lastClr="000000"/>
                </a:solidFill>
              </a:rPr>
              <a:t>を基本とする。なお、電力需要家の当該対象施設の電力使用量のうち、</a:t>
            </a:r>
            <a:endParaRPr kumimoji="1" lang="en-US" altLang="ja-JP" sz="1200" b="0">
              <a:solidFill>
                <a:sysClr val="windowText" lastClr="000000"/>
              </a:solidFill>
            </a:endParaRPr>
          </a:p>
          <a:p>
            <a:pPr algn="l"/>
            <a:r>
              <a:rPr kumimoji="1" lang="ja-JP" altLang="en-US" sz="1200" b="0">
                <a:solidFill>
                  <a:sysClr val="windowText" lastClr="000000"/>
                </a:solidFill>
              </a:rPr>
              <a:t>オフセット調整に使用する量のみとします。</a:t>
            </a:r>
          </a:p>
        </xdr:txBody>
      </xdr:sp>
      <xdr:pic>
        <xdr:nvPicPr>
          <xdr:cNvPr id="270" name="図 269">
            <a:extLst>
              <a:ext uri="{FF2B5EF4-FFF2-40B4-BE49-F238E27FC236}">
                <a16:creationId xmlns:a16="http://schemas.microsoft.com/office/drawing/2014/main" id="{91518935-C9A6-0F4C-D599-EE6BB3D0068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307491" y="294296"/>
            <a:ext cx="1379854" cy="2629766"/>
          </a:xfrm>
          <a:prstGeom prst="rect">
            <a:avLst/>
          </a:prstGeom>
          <a:noFill/>
          <a:ln>
            <a:noFill/>
          </a:ln>
        </xdr:spPr>
      </xdr:pic>
      <xdr:sp macro="" textlink="">
        <xdr:nvSpPr>
          <xdr:cNvPr id="271" name="テキスト ボックス 50">
            <a:extLst>
              <a:ext uri="{FF2B5EF4-FFF2-40B4-BE49-F238E27FC236}">
                <a16:creationId xmlns:a16="http://schemas.microsoft.com/office/drawing/2014/main" id="{D5E70D5B-6970-2695-56ED-1E8EAE868927}"/>
              </a:ext>
            </a:extLst>
          </xdr:cNvPr>
          <xdr:cNvSpPr txBox="1"/>
        </xdr:nvSpPr>
        <xdr:spPr>
          <a:xfrm>
            <a:off x="25009485" y="170701"/>
            <a:ext cx="1094365" cy="29358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Mangal" panose="02040503050203030202" pitchFamily="18" charset="0"/>
              </a:rPr>
              <a:t>❶自家消費等</a:t>
            </a:r>
          </a:p>
        </xdr:txBody>
      </xdr:sp>
      <xdr:sp macro="" textlink="">
        <xdr:nvSpPr>
          <xdr:cNvPr id="272" name="テキスト ボックス 53">
            <a:extLst>
              <a:ext uri="{FF2B5EF4-FFF2-40B4-BE49-F238E27FC236}">
                <a16:creationId xmlns:a16="http://schemas.microsoft.com/office/drawing/2014/main" id="{CC918008-8DE9-7BCE-6762-049297429362}"/>
              </a:ext>
            </a:extLst>
          </xdr:cNvPr>
          <xdr:cNvSpPr txBox="1"/>
        </xdr:nvSpPr>
        <xdr:spPr>
          <a:xfrm>
            <a:off x="25061663" y="3211766"/>
            <a:ext cx="1107065" cy="353580"/>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ＭＳ 明朝" panose="02020609040205080304" pitchFamily="17" charset="-128"/>
              </a:rPr>
              <a:t>❷</a:t>
            </a:r>
            <a:r>
              <a:rPr lang="ja-JP" sz="1050" kern="100">
                <a:effectLst/>
                <a:latin typeface="Century" panose="02040604050505020304" pitchFamily="18" charset="0"/>
                <a:ea typeface="ＭＳ 明朝" panose="02020609040205080304" pitchFamily="17" charset="-128"/>
                <a:cs typeface="Mangal" panose="02040503050203030202" pitchFamily="18" charset="0"/>
              </a:rPr>
              <a:t>相対契約</a:t>
            </a:r>
          </a:p>
        </xdr:txBody>
      </xdr:sp>
      <xdr:sp macro="" textlink="">
        <xdr:nvSpPr>
          <xdr:cNvPr id="273" name="テキスト ボックス 55">
            <a:extLst>
              <a:ext uri="{FF2B5EF4-FFF2-40B4-BE49-F238E27FC236}">
                <a16:creationId xmlns:a16="http://schemas.microsoft.com/office/drawing/2014/main" id="{859D8FFD-3CFF-2391-4669-41C8DEC0E9C6}"/>
              </a:ext>
            </a:extLst>
          </xdr:cNvPr>
          <xdr:cNvSpPr txBox="1"/>
        </xdr:nvSpPr>
        <xdr:spPr>
          <a:xfrm>
            <a:off x="24840117" y="5182752"/>
            <a:ext cx="1644651" cy="510599"/>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ＭＳ 明朝" panose="02020609040205080304" pitchFamily="17" charset="-128"/>
              </a:rPr>
              <a:t>❸</a:t>
            </a:r>
            <a:r>
              <a:rPr lang="ja-JP" sz="1050" kern="100">
                <a:effectLst/>
                <a:latin typeface="Century" panose="02040604050505020304" pitchFamily="18" charset="0"/>
                <a:ea typeface="ＭＳ 明朝" panose="02020609040205080304" pitchFamily="17" charset="-128"/>
                <a:cs typeface="Mangal" panose="02040503050203030202" pitchFamily="18" charset="0"/>
              </a:rPr>
              <a:t>小売電気事業者等の再エネメニューの活用</a:t>
            </a:r>
          </a:p>
        </xdr:txBody>
      </xdr:sp>
      <xdr:sp macro="" textlink="">
        <xdr:nvSpPr>
          <xdr:cNvPr id="274" name="テキスト ボックス 58">
            <a:extLst>
              <a:ext uri="{FF2B5EF4-FFF2-40B4-BE49-F238E27FC236}">
                <a16:creationId xmlns:a16="http://schemas.microsoft.com/office/drawing/2014/main" id="{53418791-5440-477C-D9C8-5940056155CB}"/>
              </a:ext>
            </a:extLst>
          </xdr:cNvPr>
          <xdr:cNvSpPr txBox="1"/>
        </xdr:nvSpPr>
        <xdr:spPr>
          <a:xfrm>
            <a:off x="24864746" y="6718607"/>
            <a:ext cx="1902403" cy="341168"/>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r>
              <a:rPr lang="ja-JP" sz="1050" kern="100">
                <a:effectLst/>
                <a:latin typeface="Century" panose="02040604050505020304" pitchFamily="18" charset="0"/>
                <a:ea typeface="ＭＳ 明朝" panose="02020609040205080304" pitchFamily="17" charset="-128"/>
                <a:cs typeface="ＭＳ 明朝" panose="02020609040205080304" pitchFamily="17" charset="-128"/>
              </a:rPr>
              <a:t>❹</a:t>
            </a:r>
            <a:r>
              <a:rPr lang="ja-JP" sz="1050" kern="100">
                <a:effectLst/>
                <a:latin typeface="Century" panose="02040604050505020304" pitchFamily="18" charset="0"/>
                <a:ea typeface="ＭＳ 明朝" panose="02020609040205080304" pitchFamily="17" charset="-128"/>
                <a:cs typeface="Mangal" panose="02040503050203030202" pitchFamily="18" charset="0"/>
              </a:rPr>
              <a:t>再エネ等電力証書の活用</a:t>
            </a:r>
          </a:p>
        </xdr:txBody>
      </xdr:sp>
      <xdr:pic>
        <xdr:nvPicPr>
          <xdr:cNvPr id="275" name="図 274">
            <a:extLst>
              <a:ext uri="{FF2B5EF4-FFF2-40B4-BE49-F238E27FC236}">
                <a16:creationId xmlns:a16="http://schemas.microsoft.com/office/drawing/2014/main" id="{8ED745AC-E6DF-017C-D48C-7F80FE22BE0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063491" y="3576219"/>
            <a:ext cx="1854778" cy="1452707"/>
          </a:xfrm>
          <a:prstGeom prst="rect">
            <a:avLst/>
          </a:prstGeom>
          <a:noFill/>
          <a:ln>
            <a:noFill/>
          </a:ln>
        </xdr:spPr>
      </xdr:pic>
      <xdr:pic>
        <xdr:nvPicPr>
          <xdr:cNvPr id="276" name="図 275">
            <a:extLst>
              <a:ext uri="{FF2B5EF4-FFF2-40B4-BE49-F238E27FC236}">
                <a16:creationId xmlns:a16="http://schemas.microsoft.com/office/drawing/2014/main" id="{2D8113A6-226C-2946-AE78-F2C4A9F6A2B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484036" y="5323585"/>
            <a:ext cx="1464685" cy="1211407"/>
          </a:xfrm>
          <a:prstGeom prst="rect">
            <a:avLst/>
          </a:prstGeom>
          <a:noFill/>
          <a:ln>
            <a:noFill/>
          </a:ln>
        </xdr:spPr>
      </xdr:pic>
      <xdr:pic>
        <xdr:nvPicPr>
          <xdr:cNvPr id="277" name="図 276">
            <a:extLst>
              <a:ext uri="{FF2B5EF4-FFF2-40B4-BE49-F238E27FC236}">
                <a16:creationId xmlns:a16="http://schemas.microsoft.com/office/drawing/2014/main" id="{59551AE6-E671-3529-C364-A53C6FF6636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613535" y="7312777"/>
            <a:ext cx="1351973" cy="1324552"/>
          </a:xfrm>
          <a:prstGeom prst="rect">
            <a:avLst/>
          </a:prstGeom>
          <a:noFill/>
          <a:ln>
            <a:noFill/>
          </a:ln>
        </xdr:spPr>
      </xdr:pic>
    </xdr:grpSp>
    <xdr:clientData/>
  </xdr:twoCellAnchor>
  <xdr:twoCellAnchor editAs="absolute">
    <xdr:from>
      <xdr:col>0</xdr:col>
      <xdr:colOff>238125</xdr:colOff>
      <xdr:row>2</xdr:row>
      <xdr:rowOff>209550</xdr:rowOff>
    </xdr:from>
    <xdr:to>
      <xdr:col>5</xdr:col>
      <xdr:colOff>902155</xdr:colOff>
      <xdr:row>5</xdr:row>
      <xdr:rowOff>32657</xdr:rowOff>
    </xdr:to>
    <xdr:sp macro="" textlink="">
      <xdr:nvSpPr>
        <xdr:cNvPr id="7" name="吹き出し: 角を丸めた四角形 4">
          <a:extLst>
            <a:ext uri="{FF2B5EF4-FFF2-40B4-BE49-F238E27FC236}">
              <a16:creationId xmlns:a16="http://schemas.microsoft.com/office/drawing/2014/main" id="{0A988430-A4A4-46DF-AE37-4FFE0A2304C4}"/>
            </a:ext>
          </a:extLst>
        </xdr:cNvPr>
        <xdr:cNvSpPr/>
      </xdr:nvSpPr>
      <xdr:spPr>
        <a:xfrm>
          <a:off x="238125" y="685800"/>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xdr:from>
      <xdr:col>0</xdr:col>
      <xdr:colOff>189069</xdr:colOff>
      <xdr:row>23</xdr:row>
      <xdr:rowOff>175791</xdr:rowOff>
    </xdr:from>
    <xdr:to>
      <xdr:col>8</xdr:col>
      <xdr:colOff>201720</xdr:colOff>
      <xdr:row>47</xdr:row>
      <xdr:rowOff>319918</xdr:rowOff>
    </xdr:to>
    <xdr:sp macro="" textlink="">
      <xdr:nvSpPr>
        <xdr:cNvPr id="9" name="四角形: 角を丸くする 8">
          <a:extLst>
            <a:ext uri="{FF2B5EF4-FFF2-40B4-BE49-F238E27FC236}">
              <a16:creationId xmlns:a16="http://schemas.microsoft.com/office/drawing/2014/main" id="{A6B868A5-DEC3-4438-9894-7C794E500B04}"/>
            </a:ext>
          </a:extLst>
        </xdr:cNvPr>
        <xdr:cNvSpPr/>
      </xdr:nvSpPr>
      <xdr:spPr>
        <a:xfrm>
          <a:off x="189069" y="5976516"/>
          <a:ext cx="7775526" cy="585912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r>
            <a:rPr kumimoji="1" lang="ja-JP" altLang="ja-JP" sz="1400" b="1">
              <a:solidFill>
                <a:sysClr val="windowText" lastClr="000000"/>
              </a:solidFill>
              <a:effectLst/>
              <a:latin typeface="+mn-lt"/>
              <a:ea typeface="+mn-ea"/>
              <a:cs typeface="+mn-cs"/>
            </a:rPr>
            <a:t>自家消費</a:t>
          </a:r>
          <a:r>
            <a:rPr kumimoji="1" lang="ja-JP" altLang="en-US" sz="1400" b="1">
              <a:solidFill>
                <a:sysClr val="windowText" lastClr="000000"/>
              </a:solidFill>
              <a:effectLst/>
              <a:latin typeface="+mn-lt"/>
              <a:ea typeface="+mn-ea"/>
              <a:cs typeface="+mn-cs"/>
            </a:rPr>
            <a:t>、相対契約、再エネメニューの活用、証書の活用について、先行地域のある地方公共団体内、当該地方公共団体の域外で整理のうえ、</a:t>
          </a:r>
          <a:r>
            <a:rPr kumimoji="1" lang="ja-JP" altLang="en-US" sz="1400" b="0">
              <a:solidFill>
                <a:sysClr val="windowText" lastClr="000000"/>
              </a:solidFill>
              <a:effectLst/>
              <a:latin typeface="+mn-lt"/>
              <a:ea typeface="+mn-ea"/>
              <a:cs typeface="+mn-cs"/>
            </a:rPr>
            <a:t>記入してください。</a:t>
          </a:r>
          <a:endParaRPr lang="ja-JP" altLang="ja-JP" sz="1400">
            <a:solidFill>
              <a:sysClr val="windowText" lastClr="000000"/>
            </a:solidFill>
            <a:effectLst/>
          </a:endParaRPr>
        </a:p>
      </xdr:txBody>
    </xdr:sp>
    <xdr:clientData/>
  </xdr:twoCellAnchor>
  <xdr:oneCellAnchor>
    <xdr:from>
      <xdr:col>1</xdr:col>
      <xdr:colOff>73269</xdr:colOff>
      <xdr:row>27</xdr:row>
      <xdr:rowOff>215825</xdr:rowOff>
    </xdr:from>
    <xdr:ext cx="7368791" cy="4123886"/>
    <xdr:pic>
      <xdr:nvPicPr>
        <xdr:cNvPr id="13" name="図 12">
          <a:extLst>
            <a:ext uri="{FF2B5EF4-FFF2-40B4-BE49-F238E27FC236}">
              <a16:creationId xmlns:a16="http://schemas.microsoft.com/office/drawing/2014/main" id="{FF8E217F-1620-44B7-BEAB-F73350C1FAFB}"/>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9019" y="6969050"/>
          <a:ext cx="7368791" cy="41238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13</xdr:col>
      <xdr:colOff>1618973</xdr:colOff>
      <xdr:row>11</xdr:row>
      <xdr:rowOff>24115</xdr:rowOff>
    </xdr:from>
    <xdr:to>
      <xdr:col>15</xdr:col>
      <xdr:colOff>1220811</xdr:colOff>
      <xdr:row>16</xdr:row>
      <xdr:rowOff>60285</xdr:rowOff>
    </xdr:to>
    <xdr:sp macro="" textlink="">
      <xdr:nvSpPr>
        <xdr:cNvPr id="14" name="吹き出し: 角を丸めた四角形 62">
          <a:extLst>
            <a:ext uri="{FF2B5EF4-FFF2-40B4-BE49-F238E27FC236}">
              <a16:creationId xmlns:a16="http://schemas.microsoft.com/office/drawing/2014/main" id="{5B3FD455-E715-47AA-AF77-8FA8010CA7C5}"/>
            </a:ext>
          </a:extLst>
        </xdr:cNvPr>
        <xdr:cNvSpPr/>
      </xdr:nvSpPr>
      <xdr:spPr>
        <a:xfrm>
          <a:off x="14495808" y="2966014"/>
          <a:ext cx="4991300" cy="1241866"/>
        </a:xfrm>
        <a:prstGeom prst="wedgeRoundRectCallout">
          <a:avLst>
            <a:gd name="adj1" fmla="val 35851"/>
            <a:gd name="adj2" fmla="val -8779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非再エネ電力の調達量とは</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その施設に供給する「非再エネの調達する電力量」です。</a:t>
          </a:r>
        </a:p>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O</a:t>
          </a:r>
          <a:r>
            <a:rPr kumimoji="1" lang="ja-JP" altLang="en-US" sz="1400" b="0">
              <a:solidFill>
                <a:sysClr val="windowText" lastClr="000000"/>
              </a:solidFill>
              <a:latin typeface="Meiryo UI" panose="020B0604030504040204" pitchFamily="50" charset="-128"/>
              <a:ea typeface="Meiryo UI" panose="020B0604030504040204" pitchFamily="50" charset="-128"/>
            </a:rPr>
            <a:t>列と</a:t>
          </a:r>
          <a:r>
            <a:rPr kumimoji="1" lang="en-US" altLang="ja-JP" sz="1400" b="0">
              <a:solidFill>
                <a:sysClr val="windowText" lastClr="000000"/>
              </a:solidFill>
              <a:latin typeface="Meiryo UI" panose="020B0604030504040204" pitchFamily="50" charset="-128"/>
              <a:ea typeface="Meiryo UI" panose="020B0604030504040204" pitchFamily="50" charset="-128"/>
            </a:rPr>
            <a:t>Q</a:t>
          </a:r>
          <a:r>
            <a:rPr kumimoji="1" lang="ja-JP" altLang="en-US" sz="1400" b="0">
              <a:solidFill>
                <a:sysClr val="windowText" lastClr="000000"/>
              </a:solidFill>
              <a:latin typeface="Meiryo UI" panose="020B0604030504040204" pitchFamily="50" charset="-128"/>
              <a:ea typeface="Meiryo UI" panose="020B0604030504040204" pitchFamily="50" charset="-128"/>
            </a:rPr>
            <a:t>列の値から自動計算されるため、</a:t>
          </a:r>
          <a:r>
            <a:rPr kumimoji="1" lang="en-US" altLang="ja-JP" sz="1400" b="0">
              <a:solidFill>
                <a:sysClr val="windowText" lastClr="000000"/>
              </a:solidFill>
              <a:latin typeface="Meiryo UI" panose="020B0604030504040204" pitchFamily="50" charset="-128"/>
              <a:ea typeface="Meiryo UI" panose="020B0604030504040204" pitchFamily="50" charset="-128"/>
            </a:rPr>
            <a:t>P</a:t>
          </a:r>
          <a:r>
            <a:rPr kumimoji="1" lang="ja-JP" altLang="en-US" sz="1400" b="0">
              <a:solidFill>
                <a:sysClr val="windowText" lastClr="000000"/>
              </a:solidFill>
              <a:latin typeface="Meiryo UI" panose="020B0604030504040204" pitchFamily="50" charset="-128"/>
              <a:ea typeface="Meiryo UI" panose="020B0604030504040204" pitchFamily="50" charset="-128"/>
            </a:rPr>
            <a:t>列への入力は不要です。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14</xdr:col>
      <xdr:colOff>442711</xdr:colOff>
      <xdr:row>17</xdr:row>
      <xdr:rowOff>238495</xdr:rowOff>
    </xdr:from>
    <xdr:to>
      <xdr:col>16</xdr:col>
      <xdr:colOff>1689061</xdr:colOff>
      <xdr:row>22</xdr:row>
      <xdr:rowOff>241478</xdr:rowOff>
    </xdr:to>
    <xdr:sp macro="" textlink="">
      <xdr:nvSpPr>
        <xdr:cNvPr id="15" name="吹き出し: 角を丸めた四角形 62">
          <a:extLst>
            <a:ext uri="{FF2B5EF4-FFF2-40B4-BE49-F238E27FC236}">
              <a16:creationId xmlns:a16="http://schemas.microsoft.com/office/drawing/2014/main" id="{2098E9C7-2952-40C2-87CD-C75594F6E998}"/>
            </a:ext>
          </a:extLst>
        </xdr:cNvPr>
        <xdr:cNvSpPr/>
      </xdr:nvSpPr>
      <xdr:spPr>
        <a:xfrm>
          <a:off x="16890105" y="4638777"/>
          <a:ext cx="5029519" cy="1210377"/>
        </a:xfrm>
        <a:prstGeom prst="wedgeRoundRectCallout">
          <a:avLst>
            <a:gd name="adj1" fmla="val 32623"/>
            <a:gd name="adj2" fmla="val -22009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電力需要量とは、対象施設の電力需要量を指し、</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「再エネ等電力調達量」と「非再エネ等電力調達量」の合計です。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408214</xdr:colOff>
      <xdr:row>3</xdr:row>
      <xdr:rowOff>204107</xdr:rowOff>
    </xdr:from>
    <xdr:to>
      <xdr:col>16</xdr:col>
      <xdr:colOff>326571</xdr:colOff>
      <xdr:row>5</xdr:row>
      <xdr:rowOff>845910</xdr:rowOff>
    </xdr:to>
    <xdr:sp macro="" textlink="">
      <xdr:nvSpPr>
        <xdr:cNvPr id="3" name="吹き出し: 角を丸めた四角形 62">
          <a:extLst>
            <a:ext uri="{FF2B5EF4-FFF2-40B4-BE49-F238E27FC236}">
              <a16:creationId xmlns:a16="http://schemas.microsoft.com/office/drawing/2014/main" id="{9C9F5EE3-BC68-401D-9157-41270E853B30}"/>
            </a:ext>
          </a:extLst>
        </xdr:cNvPr>
        <xdr:cNvSpPr/>
      </xdr:nvSpPr>
      <xdr:spPr>
        <a:xfrm>
          <a:off x="7538357" y="1156607"/>
          <a:ext cx="4000500" cy="2152196"/>
        </a:xfrm>
        <a:prstGeom prst="wedgeRoundRectCallout">
          <a:avLst>
            <a:gd name="adj1" fmla="val -62651"/>
            <a:gd name="adj2" fmla="val -1211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「懸念事項」と「懸念事項への対応策」について記載してください。枠内に収まる分量で記載を御願いします。もしも枠を超えざるを得ない場合は、下方向に枠を伸ばして記載してください。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58209</xdr:colOff>
      <xdr:row>2</xdr:row>
      <xdr:rowOff>9033</xdr:rowOff>
    </xdr:from>
    <xdr:to>
      <xdr:col>4</xdr:col>
      <xdr:colOff>390525</xdr:colOff>
      <xdr:row>5</xdr:row>
      <xdr:rowOff>190500</xdr:rowOff>
    </xdr:to>
    <xdr:pic>
      <xdr:nvPicPr>
        <xdr:cNvPr id="12" name="図 11">
          <a:extLst>
            <a:ext uri="{FF2B5EF4-FFF2-40B4-BE49-F238E27FC236}">
              <a16:creationId xmlns:a16="http://schemas.microsoft.com/office/drawing/2014/main" id="{6DB711BE-A150-4C3A-B060-A113E23C91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209" y="485283"/>
          <a:ext cx="2323041" cy="895842"/>
        </a:xfrm>
        <a:prstGeom prst="rect">
          <a:avLst/>
        </a:prstGeom>
      </xdr:spPr>
    </xdr:pic>
    <xdr:clientData/>
  </xdr:twoCellAnchor>
  <xdr:twoCellAnchor editAs="oneCell">
    <xdr:from>
      <xdr:col>4</xdr:col>
      <xdr:colOff>1181100</xdr:colOff>
      <xdr:row>21</xdr:row>
      <xdr:rowOff>19051</xdr:rowOff>
    </xdr:from>
    <xdr:to>
      <xdr:col>9</xdr:col>
      <xdr:colOff>828675</xdr:colOff>
      <xdr:row>26</xdr:row>
      <xdr:rowOff>180976</xdr:rowOff>
    </xdr:to>
    <xdr:sp macro="" textlink="">
      <xdr:nvSpPr>
        <xdr:cNvPr id="2" name="吹き出し: 角を丸めた四角形 2">
          <a:extLst>
            <a:ext uri="{FF2B5EF4-FFF2-40B4-BE49-F238E27FC236}">
              <a16:creationId xmlns:a16="http://schemas.microsoft.com/office/drawing/2014/main" id="{BB9CB7BF-F48A-4867-94F7-44B4FC188EB1}"/>
            </a:ext>
          </a:extLst>
        </xdr:cNvPr>
        <xdr:cNvSpPr/>
      </xdr:nvSpPr>
      <xdr:spPr>
        <a:xfrm>
          <a:off x="3171825" y="6238876"/>
          <a:ext cx="4105275" cy="1352550"/>
        </a:xfrm>
        <a:prstGeom prst="wedgeRoundRectCallout">
          <a:avLst>
            <a:gd name="adj1" fmla="val -47386"/>
            <a:gd name="adj2" fmla="val -16628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■その他調達について</a:t>
          </a:r>
        </a:p>
        <a:p>
          <a:r>
            <a:rPr kumimoji="1" lang="ja-JP" altLang="en-US" sz="1400" b="0">
              <a:solidFill>
                <a:sysClr val="windowText" lastClr="000000"/>
              </a:solidFill>
              <a:latin typeface="Meiryo UI" panose="020B0604030504040204" pitchFamily="50" charset="-128"/>
              <a:ea typeface="Meiryo UI" panose="020B0604030504040204" pitchFamily="50" charset="-128"/>
            </a:rPr>
            <a:t>　</a:t>
          </a:r>
          <a:r>
            <a:rPr kumimoji="1" lang="ja-JP" altLang="ja-JP" sz="1100">
              <a:solidFill>
                <a:sysClr val="windowText" lastClr="000000"/>
              </a:solidFill>
              <a:effectLst/>
              <a:latin typeface="+mn-lt"/>
              <a:ea typeface="+mn-ea"/>
              <a:cs typeface="+mn-cs"/>
            </a:rPr>
            <a:t>その他調達とは、</a:t>
          </a:r>
          <a:endParaRPr lang="ja-JP" altLang="ja-JP" sz="1400">
            <a:solidFill>
              <a:sysClr val="windowText" lastClr="000000"/>
            </a:solidFill>
            <a:effectLst/>
          </a:endParaRPr>
        </a:p>
        <a:p>
          <a:r>
            <a:rPr kumimoji="1" lang="ja-JP" altLang="ja-JP" sz="1100">
              <a:solidFill>
                <a:sysClr val="windowText" lastClr="000000"/>
              </a:solidFill>
              <a:effectLst/>
              <a:latin typeface="+mn-lt"/>
              <a:ea typeface="+mn-ea"/>
              <a:cs typeface="+mn-cs"/>
            </a:rPr>
            <a:t>・地方公共団体外からの再エネ調達</a:t>
          </a:r>
          <a:endParaRPr lang="ja-JP" altLang="ja-JP" sz="1400">
            <a:solidFill>
              <a:sysClr val="windowText" lastClr="000000"/>
            </a:solidFill>
            <a:effectLst/>
          </a:endParaRPr>
        </a:p>
        <a:p>
          <a:r>
            <a:rPr kumimoji="1" lang="ja-JP" altLang="ja-JP" sz="1100">
              <a:solidFill>
                <a:sysClr val="windowText" lastClr="000000"/>
              </a:solidFill>
              <a:effectLst/>
              <a:latin typeface="+mn-lt"/>
              <a:ea typeface="+mn-ea"/>
              <a:cs typeface="+mn-cs"/>
            </a:rPr>
            <a:t>・証書の適用が考えられます</a:t>
          </a:r>
          <a:endParaRPr kumimoji="1" lang="ja-JP" altLang="en-US"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11</xdr:col>
      <xdr:colOff>114300</xdr:colOff>
      <xdr:row>21</xdr:row>
      <xdr:rowOff>171450</xdr:rowOff>
    </xdr:from>
    <xdr:to>
      <xdr:col>18</xdr:col>
      <xdr:colOff>104775</xdr:colOff>
      <xdr:row>27</xdr:row>
      <xdr:rowOff>95250</xdr:rowOff>
    </xdr:to>
    <xdr:sp macro="" textlink="">
      <xdr:nvSpPr>
        <xdr:cNvPr id="3" name="吹き出し: 角を丸めた四角形 2">
          <a:extLst>
            <a:ext uri="{FF2B5EF4-FFF2-40B4-BE49-F238E27FC236}">
              <a16:creationId xmlns:a16="http://schemas.microsoft.com/office/drawing/2014/main" id="{B685BF9C-EA53-4007-94C1-5E1C09F76B26}"/>
            </a:ext>
          </a:extLst>
        </xdr:cNvPr>
        <xdr:cNvSpPr/>
      </xdr:nvSpPr>
      <xdr:spPr>
        <a:xfrm>
          <a:off x="8201025" y="6429375"/>
          <a:ext cx="4105275" cy="1352550"/>
        </a:xfrm>
        <a:prstGeom prst="wedgeRoundRectCallout">
          <a:avLst>
            <a:gd name="adj1" fmla="val -65483"/>
            <a:gd name="adj2" fmla="val -28600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■民生部門の電力需要量</a:t>
          </a:r>
        </a:p>
        <a:p>
          <a:r>
            <a:rPr kumimoji="1" lang="ja-JP" altLang="en-US" sz="1100">
              <a:solidFill>
                <a:sysClr val="windowText" lastClr="000000"/>
              </a:solidFill>
              <a:effectLst/>
              <a:latin typeface="+mn-lt"/>
              <a:ea typeface="+mn-ea"/>
              <a:cs typeface="+mn-cs"/>
            </a:rPr>
            <a:t>「</a:t>
          </a:r>
          <a:r>
            <a:rPr kumimoji="1" lang="en-US" altLang="ja-JP" sz="1100">
              <a:solidFill>
                <a:sysClr val="windowText" lastClr="000000"/>
              </a:solidFill>
              <a:effectLst/>
              <a:latin typeface="+mn-lt"/>
              <a:ea typeface="+mn-ea"/>
              <a:cs typeface="+mn-cs"/>
            </a:rPr>
            <a:t>4.2</a:t>
          </a:r>
          <a:r>
            <a:rPr kumimoji="1" lang="ja-JP" altLang="en-US" sz="1100">
              <a:solidFill>
                <a:sysClr val="windowText" lastClr="000000"/>
              </a:solidFill>
              <a:effectLst/>
              <a:latin typeface="+mn-lt"/>
              <a:ea typeface="+mn-ea"/>
              <a:cs typeface="+mn-cs"/>
            </a:rPr>
            <a:t>民生電力需要量」「</a:t>
          </a:r>
          <a:r>
            <a:rPr kumimoji="1" lang="en-US" altLang="ja-JP" sz="1100">
              <a:solidFill>
                <a:sysClr val="windowText" lastClr="000000"/>
              </a:solidFill>
              <a:effectLst/>
              <a:latin typeface="+mn-lt"/>
              <a:ea typeface="+mn-ea"/>
              <a:cs typeface="+mn-cs"/>
            </a:rPr>
            <a:t>4.2</a:t>
          </a:r>
          <a:r>
            <a:rPr kumimoji="1" lang="ja-JP" altLang="en-US" sz="1100">
              <a:solidFill>
                <a:sysClr val="windowText" lastClr="000000"/>
              </a:solidFill>
              <a:effectLst/>
              <a:latin typeface="+mn-lt"/>
              <a:ea typeface="+mn-ea"/>
              <a:cs typeface="+mn-cs"/>
            </a:rPr>
            <a:t>対象地域の民生需要家数等」シートに記載の需要量合計と合致しているか確認してください</a:t>
          </a:r>
          <a:endParaRPr kumimoji="1" lang="ja-JP" altLang="en-US"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11</xdr:col>
      <xdr:colOff>228600</xdr:colOff>
      <xdr:row>0</xdr:row>
      <xdr:rowOff>123826</xdr:rowOff>
    </xdr:from>
    <xdr:to>
      <xdr:col>22</xdr:col>
      <xdr:colOff>400050</xdr:colOff>
      <xdr:row>16</xdr:row>
      <xdr:rowOff>66676</xdr:rowOff>
    </xdr:to>
    <xdr:grpSp>
      <xdr:nvGrpSpPr>
        <xdr:cNvPr id="25" name="グループ化 24">
          <a:extLst>
            <a:ext uri="{FF2B5EF4-FFF2-40B4-BE49-F238E27FC236}">
              <a16:creationId xmlns:a16="http://schemas.microsoft.com/office/drawing/2014/main" id="{2596EDF4-E2A8-1FAD-34AA-07A04D8FBA1C}"/>
            </a:ext>
          </a:extLst>
        </xdr:cNvPr>
        <xdr:cNvGrpSpPr/>
      </xdr:nvGrpSpPr>
      <xdr:grpSpPr>
        <a:xfrm>
          <a:off x="8286750" y="120651"/>
          <a:ext cx="6743700" cy="4038600"/>
          <a:chOff x="8877300" y="704851"/>
          <a:chExt cx="5657850" cy="4191000"/>
        </a:xfrm>
      </xdr:grpSpPr>
      <xdr:sp macro="" textlink="">
        <xdr:nvSpPr>
          <xdr:cNvPr id="9" name="吹き出し: 角を丸めた四角形 8">
            <a:extLst>
              <a:ext uri="{FF2B5EF4-FFF2-40B4-BE49-F238E27FC236}">
                <a16:creationId xmlns:a16="http://schemas.microsoft.com/office/drawing/2014/main" id="{5976574C-3017-0148-F87A-655DAA927F6E}"/>
              </a:ext>
            </a:extLst>
          </xdr:cNvPr>
          <xdr:cNvSpPr/>
        </xdr:nvSpPr>
        <xdr:spPr>
          <a:xfrm>
            <a:off x="8877300" y="704851"/>
            <a:ext cx="5657850" cy="4191000"/>
          </a:xfrm>
          <a:prstGeom prst="wedgeRoundRectCallout">
            <a:avLst>
              <a:gd name="adj1" fmla="val -76455"/>
              <a:gd name="adj2" fmla="val -767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400" b="1">
                <a:solidFill>
                  <a:sysClr val="windowText" lastClr="000000"/>
                </a:solidFill>
                <a:effectLst/>
                <a:latin typeface="+mn-lt"/>
                <a:ea typeface="+mn-ea"/>
                <a:cs typeface="+mn-cs"/>
              </a:rPr>
              <a:t>■</a:t>
            </a:r>
            <a:r>
              <a:rPr kumimoji="1" lang="ja-JP" altLang="en-US" sz="1400" b="1">
                <a:solidFill>
                  <a:sysClr val="windowText" lastClr="000000"/>
                </a:solidFill>
                <a:effectLst/>
                <a:latin typeface="+mn-lt"/>
                <a:ea typeface="+mn-ea"/>
                <a:cs typeface="+mn-cs"/>
              </a:rPr>
              <a:t>エリアの追加</a:t>
            </a:r>
            <a:endParaRPr kumimoji="1" lang="en-US" altLang="ja-JP" sz="18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・列が足りない場合は、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①複製したい列全体をコピー</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②コピーした列を「コピーしたセルを挿入」</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で対応ください。</a:t>
            </a:r>
          </a:p>
        </xdr:txBody>
      </xdr:sp>
      <xdr:sp macro="" textlink="">
        <xdr:nvSpPr>
          <xdr:cNvPr id="13" name="テキスト ボックス 12">
            <a:extLst>
              <a:ext uri="{FF2B5EF4-FFF2-40B4-BE49-F238E27FC236}">
                <a16:creationId xmlns:a16="http://schemas.microsoft.com/office/drawing/2014/main" id="{496C82F4-52B9-D191-90AB-8BB960664BE8}"/>
              </a:ext>
            </a:extLst>
          </xdr:cNvPr>
          <xdr:cNvSpPr txBox="1"/>
        </xdr:nvSpPr>
        <xdr:spPr>
          <a:xfrm>
            <a:off x="9176302" y="2476500"/>
            <a:ext cx="2025097" cy="336927"/>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solidFill>
                  <a:srgbClr val="FF0000"/>
                </a:solidFill>
                <a:latin typeface="Meiryo UI" panose="020B0604030504040204" pitchFamily="50" charset="-128"/>
                <a:ea typeface="Meiryo UI" panose="020B0604030504040204" pitchFamily="50" charset="-128"/>
              </a:rPr>
              <a:t>①複製したい列全体をコピー</a:t>
            </a:r>
          </a:p>
        </xdr:txBody>
      </xdr:sp>
      <xdr:sp macro="" textlink="">
        <xdr:nvSpPr>
          <xdr:cNvPr id="21" name="テキスト ボックス 20">
            <a:extLst>
              <a:ext uri="{FF2B5EF4-FFF2-40B4-BE49-F238E27FC236}">
                <a16:creationId xmlns:a16="http://schemas.microsoft.com/office/drawing/2014/main" id="{8A4A1232-9954-AD7D-EDD6-9D356559E438}"/>
              </a:ext>
            </a:extLst>
          </xdr:cNvPr>
          <xdr:cNvSpPr txBox="1"/>
        </xdr:nvSpPr>
        <xdr:spPr>
          <a:xfrm>
            <a:off x="11422805" y="2476051"/>
            <a:ext cx="2740870" cy="333824"/>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solidFill>
                  <a:srgbClr val="FF0000"/>
                </a:solidFill>
                <a:latin typeface="Meiryo UI" panose="020B0604030504040204" pitchFamily="50" charset="-128"/>
                <a:ea typeface="Meiryo UI" panose="020B0604030504040204" pitchFamily="50" charset="-128"/>
              </a:rPr>
              <a:t>②列を選択した状態で「コピーしたセルを挿入」</a:t>
            </a:r>
          </a:p>
        </xdr:txBody>
      </xdr:sp>
      <xdr:pic>
        <xdr:nvPicPr>
          <xdr:cNvPr id="5" name="図 4">
            <a:extLst>
              <a:ext uri="{FF2B5EF4-FFF2-40B4-BE49-F238E27FC236}">
                <a16:creationId xmlns:a16="http://schemas.microsoft.com/office/drawing/2014/main" id="{191BEF73-713B-AEF2-E2F2-997201AE86FE}"/>
              </a:ext>
            </a:extLst>
          </xdr:cNvPr>
          <xdr:cNvPicPr>
            <a:picLocks noChangeAspect="1"/>
          </xdr:cNvPicPr>
        </xdr:nvPicPr>
        <xdr:blipFill>
          <a:blip xmlns:r="http://schemas.openxmlformats.org/officeDocument/2006/relationships" r:embed="rId2"/>
          <a:stretch>
            <a:fillRect/>
          </a:stretch>
        </xdr:blipFill>
        <xdr:spPr>
          <a:xfrm>
            <a:off x="11420475" y="2886075"/>
            <a:ext cx="2772009" cy="1945186"/>
          </a:xfrm>
          <a:prstGeom prst="rect">
            <a:avLst/>
          </a:prstGeom>
        </xdr:spPr>
      </xdr:pic>
      <xdr:sp macro="" textlink="">
        <xdr:nvSpPr>
          <xdr:cNvPr id="23" name="四角形: 角を丸くする 22">
            <a:extLst>
              <a:ext uri="{FF2B5EF4-FFF2-40B4-BE49-F238E27FC236}">
                <a16:creationId xmlns:a16="http://schemas.microsoft.com/office/drawing/2014/main" id="{B3778E7D-FF1C-E305-0A0D-4FF23FE3483E}"/>
              </a:ext>
            </a:extLst>
          </xdr:cNvPr>
          <xdr:cNvSpPr/>
        </xdr:nvSpPr>
        <xdr:spPr>
          <a:xfrm>
            <a:off x="13085027" y="3847168"/>
            <a:ext cx="966261" cy="120679"/>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24" name="図 23">
            <a:extLst>
              <a:ext uri="{FF2B5EF4-FFF2-40B4-BE49-F238E27FC236}">
                <a16:creationId xmlns:a16="http://schemas.microsoft.com/office/drawing/2014/main" id="{74EF58D8-D4B9-C0DA-92DB-F78CAA1FD24D}"/>
              </a:ext>
            </a:extLst>
          </xdr:cNvPr>
          <xdr:cNvPicPr>
            <a:picLocks noChangeAspect="1"/>
          </xdr:cNvPicPr>
        </xdr:nvPicPr>
        <xdr:blipFill>
          <a:blip xmlns:r="http://schemas.openxmlformats.org/officeDocument/2006/relationships" r:embed="rId3"/>
          <a:stretch>
            <a:fillRect/>
          </a:stretch>
        </xdr:blipFill>
        <xdr:spPr>
          <a:xfrm>
            <a:off x="9182100" y="2934741"/>
            <a:ext cx="2038349" cy="1675881"/>
          </a:xfrm>
          <a:prstGeom prst="rect">
            <a:avLst/>
          </a:prstGeom>
        </xdr:spPr>
      </xdr:pic>
      <xdr:sp macro="" textlink="">
        <xdr:nvSpPr>
          <xdr:cNvPr id="22" name="四角形: 角を丸くする 21">
            <a:extLst>
              <a:ext uri="{FF2B5EF4-FFF2-40B4-BE49-F238E27FC236}">
                <a16:creationId xmlns:a16="http://schemas.microsoft.com/office/drawing/2014/main" id="{FB2B9882-0B0C-C398-48E5-0A7598F803B4}"/>
              </a:ext>
            </a:extLst>
          </xdr:cNvPr>
          <xdr:cNvSpPr/>
        </xdr:nvSpPr>
        <xdr:spPr>
          <a:xfrm>
            <a:off x="10272129" y="3247171"/>
            <a:ext cx="916953" cy="120679"/>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absolute">
    <xdr:from>
      <xdr:col>2</xdr:col>
      <xdr:colOff>9525</xdr:colOff>
      <xdr:row>5</xdr:row>
      <xdr:rowOff>228600</xdr:rowOff>
    </xdr:from>
    <xdr:to>
      <xdr:col>7</xdr:col>
      <xdr:colOff>778330</xdr:colOff>
      <xdr:row>8</xdr:row>
      <xdr:rowOff>4082</xdr:rowOff>
    </xdr:to>
    <xdr:sp macro="" textlink="">
      <xdr:nvSpPr>
        <xdr:cNvPr id="4" name="吹き出し: 角を丸めた四角形 4">
          <a:extLst>
            <a:ext uri="{FF2B5EF4-FFF2-40B4-BE49-F238E27FC236}">
              <a16:creationId xmlns:a16="http://schemas.microsoft.com/office/drawing/2014/main" id="{491B9CC4-FDFD-44FB-8226-450FD2D86CDB}"/>
            </a:ext>
          </a:extLst>
        </xdr:cNvPr>
        <xdr:cNvSpPr/>
      </xdr:nvSpPr>
      <xdr:spPr>
        <a:xfrm>
          <a:off x="428625" y="1419225"/>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585277</xdr:colOff>
      <xdr:row>0</xdr:row>
      <xdr:rowOff>34427</xdr:rowOff>
    </xdr:from>
    <xdr:to>
      <xdr:col>13</xdr:col>
      <xdr:colOff>4914</xdr:colOff>
      <xdr:row>3</xdr:row>
      <xdr:rowOff>207287</xdr:rowOff>
    </xdr:to>
    <xdr:pic>
      <xdr:nvPicPr>
        <xdr:cNvPr id="2" name="図 1">
          <a:extLst>
            <a:ext uri="{FF2B5EF4-FFF2-40B4-BE49-F238E27FC236}">
              <a16:creationId xmlns:a16="http://schemas.microsoft.com/office/drawing/2014/main" id="{0EA0C8C3-FDBE-45B4-A97C-BAC8D56F5E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23560" y="34427"/>
          <a:ext cx="2323041" cy="895842"/>
        </a:xfrm>
        <a:prstGeom prst="rect">
          <a:avLst/>
        </a:prstGeom>
      </xdr:spPr>
    </xdr:pic>
    <xdr:clientData/>
  </xdr:twoCellAnchor>
  <xdr:twoCellAnchor editAs="absolute">
    <xdr:from>
      <xdr:col>14</xdr:col>
      <xdr:colOff>899827</xdr:colOff>
      <xdr:row>6</xdr:row>
      <xdr:rowOff>171680</xdr:rowOff>
    </xdr:from>
    <xdr:to>
      <xdr:col>27</xdr:col>
      <xdr:colOff>145738</xdr:colOff>
      <xdr:row>55</xdr:row>
      <xdr:rowOff>169819</xdr:rowOff>
    </xdr:to>
    <xdr:pic>
      <xdr:nvPicPr>
        <xdr:cNvPr id="3" name="図 1">
          <a:extLst>
            <a:ext uri="{FF2B5EF4-FFF2-40B4-BE49-F238E27FC236}">
              <a16:creationId xmlns:a16="http://schemas.microsoft.com/office/drawing/2014/main" id="{20993D75-E7F3-4CD0-80F5-73FAF305F839}"/>
            </a:ext>
          </a:extLst>
        </xdr:cNvPr>
        <xdr:cNvPicPr>
          <a:picLocks noChangeAspect="1"/>
        </xdr:cNvPicPr>
      </xdr:nvPicPr>
      <xdr:blipFill>
        <a:blip xmlns:r="http://schemas.openxmlformats.org/officeDocument/2006/relationships" r:embed="rId2"/>
        <a:stretch>
          <a:fillRect/>
        </a:stretch>
      </xdr:blipFill>
      <xdr:spPr>
        <a:xfrm>
          <a:off x="17016127" y="1600430"/>
          <a:ext cx="8151786" cy="11904389"/>
        </a:xfrm>
        <a:prstGeom prst="rect">
          <a:avLst/>
        </a:prstGeom>
      </xdr:spPr>
    </xdr:pic>
    <xdr:clientData/>
  </xdr:twoCellAnchor>
  <xdr:twoCellAnchor editAs="absolute">
    <xdr:from>
      <xdr:col>14</xdr:col>
      <xdr:colOff>839767</xdr:colOff>
      <xdr:row>56</xdr:row>
      <xdr:rowOff>11745</xdr:rowOff>
    </xdr:from>
    <xdr:to>
      <xdr:col>27</xdr:col>
      <xdr:colOff>44643</xdr:colOff>
      <xdr:row>96</xdr:row>
      <xdr:rowOff>34382</xdr:rowOff>
    </xdr:to>
    <xdr:pic>
      <xdr:nvPicPr>
        <xdr:cNvPr id="4" name="図 3">
          <a:extLst>
            <a:ext uri="{FF2B5EF4-FFF2-40B4-BE49-F238E27FC236}">
              <a16:creationId xmlns:a16="http://schemas.microsoft.com/office/drawing/2014/main" id="{B0D2E3CD-72FE-4293-BC02-58F469741958}"/>
            </a:ext>
          </a:extLst>
        </xdr:cNvPr>
        <xdr:cNvPicPr>
          <a:picLocks noChangeAspect="1"/>
        </xdr:cNvPicPr>
      </xdr:nvPicPr>
      <xdr:blipFill>
        <a:blip xmlns:r="http://schemas.openxmlformats.org/officeDocument/2006/relationships" r:embed="rId3"/>
        <a:stretch>
          <a:fillRect/>
        </a:stretch>
      </xdr:blipFill>
      <xdr:spPr>
        <a:xfrm>
          <a:off x="16956067" y="13584870"/>
          <a:ext cx="8110751" cy="9547637"/>
        </a:xfrm>
        <a:prstGeom prst="rect">
          <a:avLst/>
        </a:prstGeom>
      </xdr:spPr>
    </xdr:pic>
    <xdr:clientData/>
  </xdr:twoCellAnchor>
  <xdr:twoCellAnchor editAs="oneCell">
    <xdr:from>
      <xdr:col>2</xdr:col>
      <xdr:colOff>492706</xdr:colOff>
      <xdr:row>8</xdr:row>
      <xdr:rowOff>179253</xdr:rowOff>
    </xdr:from>
    <xdr:to>
      <xdr:col>6</xdr:col>
      <xdr:colOff>626716</xdr:colOff>
      <xdr:row>15</xdr:row>
      <xdr:rowOff>76199</xdr:rowOff>
    </xdr:to>
    <xdr:sp macro="" textlink="">
      <xdr:nvSpPr>
        <xdr:cNvPr id="5" name="吹き出し: 角を丸めた四角形 62">
          <a:extLst>
            <a:ext uri="{FF2B5EF4-FFF2-40B4-BE49-F238E27FC236}">
              <a16:creationId xmlns:a16="http://schemas.microsoft.com/office/drawing/2014/main" id="{995CE537-423A-44AB-8303-0C2D890EA195}"/>
            </a:ext>
          </a:extLst>
        </xdr:cNvPr>
        <xdr:cNvSpPr/>
      </xdr:nvSpPr>
      <xdr:spPr>
        <a:xfrm>
          <a:off x="1007056" y="2322378"/>
          <a:ext cx="6963435" cy="1563821"/>
        </a:xfrm>
        <a:prstGeom prst="wedgeRoundRectCallout">
          <a:avLst>
            <a:gd name="adj1" fmla="val -50378"/>
            <a:gd name="adj2" fmla="val -8087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各取組</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No</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は、「</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1.1 </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計画提案内容の概要</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」のうち、</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&lt;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民生部門電力の脱炭素化に関する主な取組</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&gt;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の取組番号及び</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＜民生部門電力以外の脱炭素化に関する取組＞</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に記載</a:t>
          </a:r>
          <a:r>
            <a:rPr kumimoji="1" lang="ja-JP" altLang="en-US" sz="1400" b="0">
              <a:solidFill>
                <a:sysClr val="windowText" lastClr="000000"/>
              </a:solidFill>
              <a:latin typeface="Meiryo UI" panose="020B0604030504040204" pitchFamily="50" charset="-128"/>
              <a:ea typeface="Meiryo UI" panose="020B0604030504040204" pitchFamily="50" charset="-128"/>
            </a:rPr>
            <a:t>する</a:t>
          </a:r>
          <a:r>
            <a:rPr kumimoji="1" lang="ja-JP" altLang="en-US" sz="1400" b="0">
              <a:solidFill>
                <a:srgbClr val="FF0000"/>
              </a:solidFill>
              <a:latin typeface="Meiryo UI" panose="020B0604030504040204" pitchFamily="50" charset="-128"/>
              <a:ea typeface="Meiryo UI" panose="020B0604030504040204" pitchFamily="50" charset="-128"/>
            </a:rPr>
            <a:t>取組番号と一致するようにしてください</a:t>
          </a:r>
          <a:r>
            <a:rPr kumimoji="1" lang="ja-JP" altLang="en-US" sz="1400" b="0">
              <a:solidFill>
                <a:sysClr val="windowText" lastClr="000000"/>
              </a:solidFill>
              <a:latin typeface="Meiryo UI" panose="020B0604030504040204" pitchFamily="50" charset="-128"/>
              <a:ea typeface="Meiryo UI" panose="020B0604030504040204" pitchFamily="50" charset="-128"/>
            </a:rPr>
            <a:t>。</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3.3 </a:t>
          </a:r>
          <a:r>
            <a:rPr kumimoji="1" lang="ja-JP" altLang="en-US" sz="1400" b="0">
              <a:solidFill>
                <a:sysClr val="windowText" lastClr="000000"/>
              </a:solidFill>
              <a:latin typeface="Meiryo UI" panose="020B0604030504040204" pitchFamily="50" charset="-128"/>
              <a:ea typeface="Meiryo UI" panose="020B0604030504040204" pitchFamily="50" charset="-128"/>
            </a:rPr>
            <a:t>事業の実施スケジュール等」とも一致します。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210238</xdr:colOff>
      <xdr:row>18</xdr:row>
      <xdr:rowOff>160599</xdr:rowOff>
    </xdr:from>
    <xdr:to>
      <xdr:col>4</xdr:col>
      <xdr:colOff>641731</xdr:colOff>
      <xdr:row>22</xdr:row>
      <xdr:rowOff>180975</xdr:rowOff>
    </xdr:to>
    <xdr:sp macro="" textlink="">
      <xdr:nvSpPr>
        <xdr:cNvPr id="6" name="吹き出し: 角を丸めた四角形 62">
          <a:extLst>
            <a:ext uri="{FF2B5EF4-FFF2-40B4-BE49-F238E27FC236}">
              <a16:creationId xmlns:a16="http://schemas.microsoft.com/office/drawing/2014/main" id="{A1EB10AA-367F-4E3E-ABEB-C45762543E82}"/>
            </a:ext>
          </a:extLst>
        </xdr:cNvPr>
        <xdr:cNvSpPr/>
      </xdr:nvSpPr>
      <xdr:spPr>
        <a:xfrm>
          <a:off x="210238" y="4684974"/>
          <a:ext cx="5413068" cy="972876"/>
        </a:xfrm>
        <a:prstGeom prst="wedgeRoundRectCallout">
          <a:avLst>
            <a:gd name="adj1" fmla="val -50210"/>
            <a:gd name="adj2" fmla="val -101140"/>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行の削除</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や、</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コピーした行の挿入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による行の追加が可能です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ctr"/>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追加方法は表右下の吹き出し参照</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editAs="oneCell">
    <xdr:from>
      <xdr:col>13</xdr:col>
      <xdr:colOff>481987</xdr:colOff>
      <xdr:row>0</xdr:row>
      <xdr:rowOff>126236</xdr:rowOff>
    </xdr:from>
    <xdr:to>
      <xdr:col>18</xdr:col>
      <xdr:colOff>285749</xdr:colOff>
      <xdr:row>5</xdr:row>
      <xdr:rowOff>137711</xdr:rowOff>
    </xdr:to>
    <xdr:sp macro="" textlink="">
      <xdr:nvSpPr>
        <xdr:cNvPr id="7" name="吹き出し: 角を丸めた四角形 62">
          <a:extLst>
            <a:ext uri="{FF2B5EF4-FFF2-40B4-BE49-F238E27FC236}">
              <a16:creationId xmlns:a16="http://schemas.microsoft.com/office/drawing/2014/main" id="{DDA7C6A0-4A42-417F-AE25-677653DD09AD}"/>
            </a:ext>
          </a:extLst>
        </xdr:cNvPr>
        <xdr:cNvSpPr/>
      </xdr:nvSpPr>
      <xdr:spPr>
        <a:xfrm>
          <a:off x="17207887" y="126236"/>
          <a:ext cx="3223237" cy="1202100"/>
        </a:xfrm>
        <a:prstGeom prst="wedgeRoundRectCallout">
          <a:avLst>
            <a:gd name="adj1" fmla="val 860"/>
            <a:gd name="adj2" fmla="val 6433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本項目は</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に貼り付ける必要はありませんが、費用効率性を計算するにあたっての必要に応じてご利用ください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7</xdr:col>
      <xdr:colOff>323850</xdr:colOff>
      <xdr:row>35</xdr:row>
      <xdr:rowOff>65642</xdr:rowOff>
    </xdr:from>
    <xdr:to>
      <xdr:col>11</xdr:col>
      <xdr:colOff>1248693</xdr:colOff>
      <xdr:row>51</xdr:row>
      <xdr:rowOff>95250</xdr:rowOff>
    </xdr:to>
    <xdr:grpSp>
      <xdr:nvGrpSpPr>
        <xdr:cNvPr id="11" name="グループ化 10">
          <a:extLst>
            <a:ext uri="{FF2B5EF4-FFF2-40B4-BE49-F238E27FC236}">
              <a16:creationId xmlns:a16="http://schemas.microsoft.com/office/drawing/2014/main" id="{8B413C13-C417-1F9A-51AD-61AA859C77B5}"/>
            </a:ext>
          </a:extLst>
        </xdr:cNvPr>
        <xdr:cNvGrpSpPr/>
      </xdr:nvGrpSpPr>
      <xdr:grpSpPr>
        <a:xfrm>
          <a:off x="8963025" y="8307942"/>
          <a:ext cx="6103268" cy="3684033"/>
          <a:chOff x="8877300" y="8057117"/>
          <a:chExt cx="7401843" cy="3839608"/>
        </a:xfrm>
      </xdr:grpSpPr>
      <xdr:sp macro="" textlink="">
        <xdr:nvSpPr>
          <xdr:cNvPr id="8" name="吹き出し: 角を丸めた四角形 62">
            <a:extLst>
              <a:ext uri="{FF2B5EF4-FFF2-40B4-BE49-F238E27FC236}">
                <a16:creationId xmlns:a16="http://schemas.microsoft.com/office/drawing/2014/main" id="{CFEB0C94-C312-4E55-A056-082BEE1FC662}"/>
              </a:ext>
            </a:extLst>
          </xdr:cNvPr>
          <xdr:cNvSpPr/>
        </xdr:nvSpPr>
        <xdr:spPr>
          <a:xfrm>
            <a:off x="8877300" y="8057117"/>
            <a:ext cx="7401843" cy="3839608"/>
          </a:xfrm>
          <a:prstGeom prst="wedgeRoundRectCallout">
            <a:avLst>
              <a:gd name="adj1" fmla="val 35209"/>
              <a:gd name="adj2" fmla="val -9226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eaLnBrk="1" fontAlgn="auto" latinLnBrk="0" hangingPunct="1"/>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別途ご提出いただく</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Excel</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「費用効率性算出ツール」に記載の事業に加え、交付金対象外の事業を加えた</a:t>
            </a:r>
            <a:endPar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総事業に係る費用効率性を計算してください。</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eaLnBrk="1" fontAlgn="auto" latinLnBrk="0" hangingPunct="1"/>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なお、設備導入を伴わない</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森林管理による</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CO2</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吸収源対策等</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は本表に記載対象外です。</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eaLnBrk="1" fontAlgn="auto" latinLnBrk="0" hangingPunct="1"/>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計算方法</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a:t>
            </a:r>
          </a:p>
          <a:p>
            <a:pPr eaLnBrk="1" fontAlgn="auto" latinLnBrk="0" hangingPunct="1"/>
            <a:endPar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endPar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endPar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endPar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endPar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ただし、</a:t>
            </a:r>
            <a:r>
              <a:rPr kumimoji="1" lang="en-US" altLang="ja-JP" sz="1100" b="0">
                <a:solidFill>
                  <a:sysClr val="windowText" lastClr="000000"/>
                </a:solidFill>
                <a:effectLst/>
                <a:latin typeface="Meiryo UI" panose="020B0604030504040204" pitchFamily="50" charset="-128"/>
                <a:ea typeface="Meiryo UI" panose="020B0604030504040204" pitchFamily="50" charset="-128"/>
                <a:cs typeface="+mn-cs"/>
              </a:rPr>
              <a:t>CO2</a:t>
            </a:r>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削減効果（累計）とは、</a:t>
            </a:r>
            <a:endParaRPr kumimoji="0" lang="en-US" altLang="ja-JP" sz="14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endParaRPr kumimoji="0" lang="en-US" altLang="ja-JP" sz="14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endParaRPr kumimoji="0" lang="en-US" altLang="ja-JP" sz="1400" b="0">
              <a:solidFill>
                <a:sysClr val="windowText" lastClr="000000"/>
              </a:solidFill>
              <a:effectLst/>
              <a:latin typeface="Meiryo UI" panose="020B0604030504040204" pitchFamily="50" charset="-128"/>
              <a:ea typeface="Meiryo UI" panose="020B0604030504040204" pitchFamily="50" charset="-128"/>
              <a:cs typeface="+mn-cs"/>
            </a:endParaRPr>
          </a:p>
          <a:p>
            <a:pPr eaLnBrk="1" fontAlgn="auto" latinLnBrk="0" hangingPunct="1"/>
            <a:r>
              <a:rPr kumimoji="1" lang="ja-JP" altLang="ja-JP" sz="1100" b="0">
                <a:solidFill>
                  <a:sysClr val="windowText" lastClr="000000"/>
                </a:solidFill>
                <a:effectLst/>
                <a:latin typeface="Meiryo UI" panose="020B0604030504040204" pitchFamily="50" charset="-128"/>
                <a:ea typeface="Meiryo UI" panose="020B0604030504040204" pitchFamily="50" charset="-128"/>
                <a:cs typeface="+mn-cs"/>
              </a:rPr>
              <a:t>で計算してください。　</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pic>
        <xdr:nvPicPr>
          <xdr:cNvPr id="9" name="図 8">
            <a:extLst>
              <a:ext uri="{FF2B5EF4-FFF2-40B4-BE49-F238E27FC236}">
                <a16:creationId xmlns:a16="http://schemas.microsoft.com/office/drawing/2014/main" id="{64087A44-D0A2-4238-AB2F-A25F5689ACD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077326" y="10990817"/>
            <a:ext cx="5524736" cy="25171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図 9">
            <a:extLst>
              <a:ext uri="{FF2B5EF4-FFF2-40B4-BE49-F238E27FC236}">
                <a16:creationId xmlns:a16="http://schemas.microsoft.com/office/drawing/2014/main" id="{B2F8F38B-24E0-486B-BB45-66203CDDDED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020175" y="9581117"/>
            <a:ext cx="5453290" cy="48985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absolute">
    <xdr:from>
      <xdr:col>2</xdr:col>
      <xdr:colOff>304800</xdr:colOff>
      <xdr:row>3</xdr:row>
      <xdr:rowOff>85725</xdr:rowOff>
    </xdr:from>
    <xdr:to>
      <xdr:col>5</xdr:col>
      <xdr:colOff>149680</xdr:colOff>
      <xdr:row>5</xdr:row>
      <xdr:rowOff>99332</xdr:rowOff>
    </xdr:to>
    <xdr:sp macro="" textlink="">
      <xdr:nvSpPr>
        <xdr:cNvPr id="12" name="吹き出し: 角を丸めた四角形 4">
          <a:extLst>
            <a:ext uri="{FF2B5EF4-FFF2-40B4-BE49-F238E27FC236}">
              <a16:creationId xmlns:a16="http://schemas.microsoft.com/office/drawing/2014/main" id="{74849E0E-57F0-4B35-AF1A-7658BA6F9D5D}"/>
            </a:ext>
          </a:extLst>
        </xdr:cNvPr>
        <xdr:cNvSpPr/>
      </xdr:nvSpPr>
      <xdr:spPr>
        <a:xfrm>
          <a:off x="819150" y="800100"/>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1943100</xdr:colOff>
      <xdr:row>1</xdr:row>
      <xdr:rowOff>28575</xdr:rowOff>
    </xdr:from>
    <xdr:to>
      <xdr:col>12</xdr:col>
      <xdr:colOff>17991</xdr:colOff>
      <xdr:row>4</xdr:row>
      <xdr:rowOff>210042</xdr:rowOff>
    </xdr:to>
    <xdr:pic>
      <xdr:nvPicPr>
        <xdr:cNvPr id="2" name="図 1">
          <a:extLst>
            <a:ext uri="{FF2B5EF4-FFF2-40B4-BE49-F238E27FC236}">
              <a16:creationId xmlns:a16="http://schemas.microsoft.com/office/drawing/2014/main" id="{75568F2B-E310-4173-B26F-9EB7449BBA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72925" y="266700"/>
          <a:ext cx="2323041" cy="895842"/>
        </a:xfrm>
        <a:prstGeom prst="rect">
          <a:avLst/>
        </a:prstGeom>
      </xdr:spPr>
    </xdr:pic>
    <xdr:clientData/>
  </xdr:twoCellAnchor>
  <xdr:twoCellAnchor editAs="absolute">
    <xdr:from>
      <xdr:col>13</xdr:col>
      <xdr:colOff>280782</xdr:colOff>
      <xdr:row>73</xdr:row>
      <xdr:rowOff>142875</xdr:rowOff>
    </xdr:from>
    <xdr:to>
      <xdr:col>33</xdr:col>
      <xdr:colOff>234371</xdr:colOff>
      <xdr:row>118</xdr:row>
      <xdr:rowOff>22570</xdr:rowOff>
    </xdr:to>
    <xdr:pic>
      <xdr:nvPicPr>
        <xdr:cNvPr id="5" name="図 4">
          <a:extLst>
            <a:ext uri="{FF2B5EF4-FFF2-40B4-BE49-F238E27FC236}">
              <a16:creationId xmlns:a16="http://schemas.microsoft.com/office/drawing/2014/main" id="{9A410548-9821-4EA8-BAD0-3BE090905E08}"/>
            </a:ext>
          </a:extLst>
        </xdr:cNvPr>
        <xdr:cNvPicPr>
          <a:picLocks noChangeAspect="1"/>
        </xdr:cNvPicPr>
      </xdr:nvPicPr>
      <xdr:blipFill>
        <a:blip xmlns:r="http://schemas.openxmlformats.org/officeDocument/2006/relationships" r:embed="rId2"/>
        <a:stretch>
          <a:fillRect/>
        </a:stretch>
      </xdr:blipFill>
      <xdr:spPr>
        <a:xfrm>
          <a:off x="15149307" y="13954125"/>
          <a:ext cx="8183189" cy="9404695"/>
        </a:xfrm>
        <a:prstGeom prst="rect">
          <a:avLst/>
        </a:prstGeom>
      </xdr:spPr>
    </xdr:pic>
    <xdr:clientData/>
  </xdr:twoCellAnchor>
  <xdr:twoCellAnchor editAs="oneCell">
    <xdr:from>
      <xdr:col>0</xdr:col>
      <xdr:colOff>200024</xdr:colOff>
      <xdr:row>22</xdr:row>
      <xdr:rowOff>142874</xdr:rowOff>
    </xdr:from>
    <xdr:to>
      <xdr:col>5</xdr:col>
      <xdr:colOff>3067049</xdr:colOff>
      <xdr:row>32</xdr:row>
      <xdr:rowOff>133350</xdr:rowOff>
    </xdr:to>
    <xdr:sp macro="" textlink="">
      <xdr:nvSpPr>
        <xdr:cNvPr id="7" name="吹き出し: 角を丸めた四角形 62">
          <a:extLst>
            <a:ext uri="{FF2B5EF4-FFF2-40B4-BE49-F238E27FC236}">
              <a16:creationId xmlns:a16="http://schemas.microsoft.com/office/drawing/2014/main" id="{00D9E7E9-B614-481D-B990-F85A3A2E1FD1}"/>
            </a:ext>
          </a:extLst>
        </xdr:cNvPr>
        <xdr:cNvSpPr/>
      </xdr:nvSpPr>
      <xdr:spPr>
        <a:xfrm>
          <a:off x="200024" y="4667249"/>
          <a:ext cx="6048375" cy="1895476"/>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kumimoji="1" lang="en-US" altLang="ja-JP" sz="14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effectLst/>
              <a:latin typeface="Meiryo UI" panose="020B0604030504040204" pitchFamily="50" charset="-128"/>
              <a:ea typeface="Meiryo UI" panose="020B0604030504040204" pitchFamily="50" charset="-128"/>
              <a:cs typeface="+mn-cs"/>
            </a:rPr>
            <a:t>行の削除</a:t>
          </a:r>
          <a:r>
            <a:rPr kumimoji="1" lang="en-US" altLang="ja-JP" sz="14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effectLst/>
              <a:latin typeface="Meiryo UI" panose="020B0604030504040204" pitchFamily="50" charset="-128"/>
              <a:ea typeface="Meiryo UI" panose="020B0604030504040204" pitchFamily="50" charset="-128"/>
              <a:cs typeface="+mn-cs"/>
            </a:rPr>
            <a:t>や、</a:t>
          </a:r>
          <a:r>
            <a:rPr kumimoji="1" lang="en-US" altLang="ja-JP" sz="14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effectLst/>
              <a:latin typeface="Meiryo UI" panose="020B0604030504040204" pitchFamily="50" charset="-128"/>
              <a:ea typeface="Meiryo UI" panose="020B0604030504040204" pitchFamily="50" charset="-128"/>
              <a:cs typeface="+mn-cs"/>
            </a:rPr>
            <a:t>コピーした行の挿入</a:t>
          </a:r>
          <a:r>
            <a:rPr kumimoji="1" lang="en-US" altLang="ja-JP" sz="14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400" b="0">
              <a:solidFill>
                <a:sysClr val="windowText" lastClr="000000"/>
              </a:solidFill>
              <a:effectLst/>
              <a:latin typeface="Meiryo UI" panose="020B0604030504040204" pitchFamily="50" charset="-128"/>
              <a:ea typeface="Meiryo UI" panose="020B0604030504040204" pitchFamily="50" charset="-128"/>
              <a:cs typeface="+mn-cs"/>
            </a:rPr>
            <a:t>による行の追加が可能です</a:t>
          </a:r>
          <a:endParaRPr lang="ja-JP" altLang="ja-JP" sz="1800">
            <a:solidFill>
              <a:sysClr val="windowText" lastClr="000000"/>
            </a:solidFill>
            <a:effectLst/>
            <a:latin typeface="Meiryo UI" panose="020B0604030504040204" pitchFamily="50" charset="-128"/>
            <a:ea typeface="Meiryo UI" panose="020B0604030504040204" pitchFamily="50" charset="-128"/>
          </a:endParaRPr>
        </a:p>
        <a:p>
          <a:r>
            <a:rPr kumimoji="1" lang="en-US" altLang="ja-JP" sz="1200" b="0">
              <a:solidFill>
                <a:sysClr val="windowText" lastClr="000000"/>
              </a:solidFill>
              <a:effectLst/>
              <a:latin typeface="Meiryo UI" panose="020B0604030504040204" pitchFamily="50" charset="-128"/>
              <a:ea typeface="Meiryo UI" panose="020B0604030504040204" pitchFamily="50" charset="-128"/>
              <a:cs typeface="+mn-cs"/>
            </a:rPr>
            <a:t>※</a:t>
          </a:r>
          <a:r>
            <a:rPr kumimoji="1" lang="ja-JP" altLang="ja-JP" sz="1200" b="0">
              <a:solidFill>
                <a:sysClr val="windowText" lastClr="000000"/>
              </a:solidFill>
              <a:effectLst/>
              <a:latin typeface="Meiryo UI" panose="020B0604030504040204" pitchFamily="50" charset="-128"/>
              <a:ea typeface="Meiryo UI" panose="020B0604030504040204" pitchFamily="50" charset="-128"/>
              <a:cs typeface="+mn-cs"/>
            </a:rPr>
            <a:t>追加方法は表右下の吹き出し参照</a:t>
          </a:r>
          <a:endParaRPr kumimoji="1" lang="en-US" altLang="ja-JP" sz="1200" b="0">
            <a:solidFill>
              <a:srgbClr val="FF0000"/>
            </a:solidFill>
            <a:effectLst/>
            <a:latin typeface="Meiryo UI" panose="020B0604030504040204" pitchFamily="50" charset="-128"/>
            <a:ea typeface="Meiryo UI" panose="020B0604030504040204" pitchFamily="50" charset="-128"/>
            <a:cs typeface="+mn-cs"/>
          </a:endParaRPr>
        </a:p>
        <a:p>
          <a:r>
            <a:rPr kumimoji="1" lang="ja-JP" altLang="en-US" sz="1400" b="0" u="none">
              <a:solidFill>
                <a:srgbClr val="FF0000"/>
              </a:solidFill>
              <a:latin typeface="Meiryo UI" panose="020B0604030504040204" pitchFamily="50" charset="-128"/>
              <a:ea typeface="Meiryo UI" panose="020B0604030504040204" pitchFamily="50" charset="-128"/>
              <a:cs typeface="+mn-cs"/>
            </a:rPr>
            <a:t>ただし、</a:t>
          </a:r>
          <a:r>
            <a:rPr kumimoji="1" lang="ja-JP" altLang="en-US" sz="1400" b="0" u="sng">
              <a:solidFill>
                <a:srgbClr val="FF0000"/>
              </a:solidFill>
              <a:latin typeface="Meiryo UI" panose="020B0604030504040204" pitchFamily="50" charset="-128"/>
              <a:ea typeface="Meiryo UI" panose="020B0604030504040204" pitchFamily="50" charset="-128"/>
              <a:cs typeface="+mn-cs"/>
            </a:rPr>
            <a:t>「年度合計」「民生電力」「民生電力以外」の記載がある行</a:t>
          </a:r>
          <a:r>
            <a:rPr kumimoji="1" lang="ja-JP" altLang="en-US" sz="1400" b="0">
              <a:solidFill>
                <a:srgbClr val="FF0000"/>
              </a:solidFill>
              <a:latin typeface="Meiryo UI" panose="020B0604030504040204" pitchFamily="50" charset="-128"/>
              <a:ea typeface="Meiryo UI" panose="020B0604030504040204" pitchFamily="50" charset="-128"/>
              <a:cs typeface="+mn-cs"/>
            </a:rPr>
            <a:t>は、コピーや削除したり、この行を選択した状態で行挿入</a:t>
          </a:r>
          <a:endParaRPr kumimoji="1" lang="en-US" altLang="ja-JP" sz="1400" b="0">
            <a:solidFill>
              <a:srgbClr val="FF0000"/>
            </a:solidFill>
            <a:latin typeface="Meiryo UI" panose="020B0604030504040204" pitchFamily="50" charset="-128"/>
            <a:ea typeface="Meiryo UI" panose="020B0604030504040204" pitchFamily="50" charset="-128"/>
            <a:cs typeface="+mn-cs"/>
          </a:endParaRPr>
        </a:p>
        <a:p>
          <a:r>
            <a:rPr kumimoji="1" lang="en-US" altLang="ja-JP" sz="1400" b="0">
              <a:solidFill>
                <a:srgbClr val="FF0000"/>
              </a:solidFill>
              <a:latin typeface="Meiryo UI" panose="020B0604030504040204" pitchFamily="50" charset="-128"/>
              <a:ea typeface="Meiryo UI" panose="020B0604030504040204" pitchFamily="50" charset="-128"/>
              <a:cs typeface="+mn-cs"/>
            </a:rPr>
            <a:t>(</a:t>
          </a:r>
          <a:r>
            <a:rPr kumimoji="1" lang="ja-JP" altLang="en-US" sz="1400" b="0">
              <a:solidFill>
                <a:srgbClr val="FF0000"/>
              </a:solidFill>
              <a:latin typeface="Meiryo UI" panose="020B0604030504040204" pitchFamily="50" charset="-128"/>
              <a:ea typeface="Meiryo UI" panose="020B0604030504040204" pitchFamily="50" charset="-128"/>
              <a:cs typeface="+mn-cs"/>
            </a:rPr>
            <a:t>コピーしたセルの挿入</a:t>
          </a:r>
          <a:r>
            <a:rPr kumimoji="1" lang="en-US" altLang="ja-JP" sz="1400" b="0">
              <a:solidFill>
                <a:srgbClr val="FF0000"/>
              </a:solidFill>
              <a:latin typeface="Meiryo UI" panose="020B0604030504040204" pitchFamily="50" charset="-128"/>
              <a:ea typeface="Meiryo UI" panose="020B0604030504040204" pitchFamily="50" charset="-128"/>
              <a:cs typeface="+mn-cs"/>
            </a:rPr>
            <a:t>)</a:t>
          </a:r>
          <a:r>
            <a:rPr kumimoji="1" lang="ja-JP" altLang="en-US" sz="1400" b="0">
              <a:solidFill>
                <a:srgbClr val="FF0000"/>
              </a:solidFill>
              <a:latin typeface="Meiryo UI" panose="020B0604030504040204" pitchFamily="50" charset="-128"/>
              <a:ea typeface="Meiryo UI" panose="020B0604030504040204" pitchFamily="50" charset="-128"/>
              <a:cs typeface="+mn-cs"/>
            </a:rPr>
            <a:t>を行わないでください</a:t>
          </a:r>
          <a:endParaRPr kumimoji="1" lang="en-US" altLang="ja-JP" sz="1400" b="0">
            <a:solidFill>
              <a:srgbClr val="FF0000"/>
            </a:solidFill>
            <a:latin typeface="Meiryo UI" panose="020B0604030504040204" pitchFamily="50" charset="-128"/>
            <a:ea typeface="Meiryo UI" panose="020B0604030504040204" pitchFamily="50" charset="-128"/>
          </a:endParaRPr>
        </a:p>
      </xdr:txBody>
    </xdr:sp>
    <xdr:clientData/>
  </xdr:twoCellAnchor>
  <xdr:twoCellAnchor>
    <xdr:from>
      <xdr:col>2</xdr:col>
      <xdr:colOff>161925</xdr:colOff>
      <xdr:row>8</xdr:row>
      <xdr:rowOff>142875</xdr:rowOff>
    </xdr:from>
    <xdr:to>
      <xdr:col>3</xdr:col>
      <xdr:colOff>0</xdr:colOff>
      <xdr:row>22</xdr:row>
      <xdr:rowOff>123825</xdr:rowOff>
    </xdr:to>
    <xdr:cxnSp macro="">
      <xdr:nvCxnSpPr>
        <xdr:cNvPr id="8" name="直線矢印コネクタ 7">
          <a:extLst>
            <a:ext uri="{FF2B5EF4-FFF2-40B4-BE49-F238E27FC236}">
              <a16:creationId xmlns:a16="http://schemas.microsoft.com/office/drawing/2014/main" id="{CD03CC51-B9F1-1797-AB5B-BF27B4A3C1F0}"/>
            </a:ext>
          </a:extLst>
        </xdr:cNvPr>
        <xdr:cNvCxnSpPr/>
      </xdr:nvCxnSpPr>
      <xdr:spPr>
        <a:xfrm flipH="1">
          <a:off x="733425" y="2286000"/>
          <a:ext cx="704850" cy="2362200"/>
        </a:xfrm>
        <a:prstGeom prst="straightConnector1">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161925</xdr:colOff>
      <xdr:row>15</xdr:row>
      <xdr:rowOff>152400</xdr:rowOff>
    </xdr:from>
    <xdr:to>
      <xdr:col>2</xdr:col>
      <xdr:colOff>857250</xdr:colOff>
      <xdr:row>22</xdr:row>
      <xdr:rowOff>142875</xdr:rowOff>
    </xdr:to>
    <xdr:cxnSp macro="">
      <xdr:nvCxnSpPr>
        <xdr:cNvPr id="12" name="直線矢印コネクタ 11">
          <a:extLst>
            <a:ext uri="{FF2B5EF4-FFF2-40B4-BE49-F238E27FC236}">
              <a16:creationId xmlns:a16="http://schemas.microsoft.com/office/drawing/2014/main" id="{C79545D0-FD08-4A8B-9914-AAC0C4DDAA65}"/>
            </a:ext>
          </a:extLst>
        </xdr:cNvPr>
        <xdr:cNvCxnSpPr/>
      </xdr:nvCxnSpPr>
      <xdr:spPr>
        <a:xfrm flipH="1">
          <a:off x="733425" y="3486150"/>
          <a:ext cx="695325" cy="1181100"/>
        </a:xfrm>
        <a:prstGeom prst="straightConnector1">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161925</xdr:colOff>
      <xdr:row>10</xdr:row>
      <xdr:rowOff>209550</xdr:rowOff>
    </xdr:from>
    <xdr:to>
      <xdr:col>3</xdr:col>
      <xdr:colOff>57150</xdr:colOff>
      <xdr:row>22</xdr:row>
      <xdr:rowOff>142875</xdr:rowOff>
    </xdr:to>
    <xdr:cxnSp macro="">
      <xdr:nvCxnSpPr>
        <xdr:cNvPr id="15" name="直線矢印コネクタ 14">
          <a:extLst>
            <a:ext uri="{FF2B5EF4-FFF2-40B4-BE49-F238E27FC236}">
              <a16:creationId xmlns:a16="http://schemas.microsoft.com/office/drawing/2014/main" id="{DB4E6DC3-9CC4-425D-8EAA-A4670C63A5C1}"/>
            </a:ext>
          </a:extLst>
        </xdr:cNvPr>
        <xdr:cNvCxnSpPr/>
      </xdr:nvCxnSpPr>
      <xdr:spPr>
        <a:xfrm flipH="1">
          <a:off x="733425" y="2590800"/>
          <a:ext cx="762000" cy="2076450"/>
        </a:xfrm>
        <a:prstGeom prst="straightConnector1">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142875</xdr:colOff>
      <xdr:row>4</xdr:row>
      <xdr:rowOff>200025</xdr:rowOff>
    </xdr:from>
    <xdr:to>
      <xdr:col>5</xdr:col>
      <xdr:colOff>2302330</xdr:colOff>
      <xdr:row>6</xdr:row>
      <xdr:rowOff>213632</xdr:rowOff>
    </xdr:to>
    <xdr:sp macro="" textlink="">
      <xdr:nvSpPr>
        <xdr:cNvPr id="9" name="吹き出し: 角を丸めた四角形 4">
          <a:extLst>
            <a:ext uri="{FF2B5EF4-FFF2-40B4-BE49-F238E27FC236}">
              <a16:creationId xmlns:a16="http://schemas.microsoft.com/office/drawing/2014/main" id="{9CD70D8C-C065-4088-8AB0-53C27EE6DC77}"/>
            </a:ext>
          </a:extLst>
        </xdr:cNvPr>
        <xdr:cNvSpPr/>
      </xdr:nvSpPr>
      <xdr:spPr>
        <a:xfrm>
          <a:off x="142875" y="1152525"/>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absolute">
    <xdr:from>
      <xdr:col>13</xdr:col>
      <xdr:colOff>302742</xdr:colOff>
      <xdr:row>7</xdr:row>
      <xdr:rowOff>252026</xdr:rowOff>
    </xdr:from>
    <xdr:to>
      <xdr:col>33</xdr:col>
      <xdr:colOff>297366</xdr:colOff>
      <xdr:row>72</xdr:row>
      <xdr:rowOff>91131</xdr:rowOff>
    </xdr:to>
    <xdr:pic>
      <xdr:nvPicPr>
        <xdr:cNvPr id="4" name="図 1">
          <a:extLst>
            <a:ext uri="{FF2B5EF4-FFF2-40B4-BE49-F238E27FC236}">
              <a16:creationId xmlns:a16="http://schemas.microsoft.com/office/drawing/2014/main" id="{4A47069E-3F73-4D2A-9F34-DC04478F18BF}"/>
            </a:ext>
          </a:extLst>
        </xdr:cNvPr>
        <xdr:cNvPicPr>
          <a:picLocks noChangeAspect="1"/>
        </xdr:cNvPicPr>
      </xdr:nvPicPr>
      <xdr:blipFill>
        <a:blip xmlns:r="http://schemas.openxmlformats.org/officeDocument/2006/relationships" r:embed="rId3"/>
        <a:stretch>
          <a:fillRect/>
        </a:stretch>
      </xdr:blipFill>
      <xdr:spPr>
        <a:xfrm>
          <a:off x="15171267" y="1918901"/>
          <a:ext cx="8224224" cy="11745355"/>
        </a:xfrm>
        <a:prstGeom prst="rect">
          <a:avLst/>
        </a:prstGeom>
      </xdr:spPr>
    </xdr:pic>
    <xdr:clientData/>
  </xdr:twoCellAnchor>
  <xdr:twoCellAnchor editAs="oneCell">
    <xdr:from>
      <xdr:col>3</xdr:col>
      <xdr:colOff>1095375</xdr:colOff>
      <xdr:row>10</xdr:row>
      <xdr:rowOff>85725</xdr:rowOff>
    </xdr:from>
    <xdr:to>
      <xdr:col>6</xdr:col>
      <xdr:colOff>958165</xdr:colOff>
      <xdr:row>20</xdr:row>
      <xdr:rowOff>196850</xdr:rowOff>
    </xdr:to>
    <xdr:sp macro="" textlink="">
      <xdr:nvSpPr>
        <xdr:cNvPr id="6" name="吹き出し: 角を丸めた四角形 62">
          <a:extLst>
            <a:ext uri="{FF2B5EF4-FFF2-40B4-BE49-F238E27FC236}">
              <a16:creationId xmlns:a16="http://schemas.microsoft.com/office/drawing/2014/main" id="{1002CE35-F6DC-4DC0-B462-00AB7171DD86}"/>
            </a:ext>
          </a:extLst>
        </xdr:cNvPr>
        <xdr:cNvSpPr/>
      </xdr:nvSpPr>
      <xdr:spPr>
        <a:xfrm>
          <a:off x="2533650" y="2466975"/>
          <a:ext cx="5149165" cy="2016125"/>
        </a:xfrm>
        <a:prstGeom prst="wedgeRoundRectCallout">
          <a:avLst>
            <a:gd name="adj1" fmla="val -42794"/>
            <a:gd name="adj2" fmla="val -6953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各取組</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No</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は、「</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1.1 </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計画提案内容の概要</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」のうち、</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&lt;</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民生部門電力の脱炭素化に関する主な取組</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&gt;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及び</a:t>
          </a:r>
          <a:r>
            <a:rPr kumimoji="1" lang="ja-JP" altLang="ja-JP" sz="1400" b="0">
              <a:solidFill>
                <a:sysClr val="windowText" lastClr="000000"/>
              </a:solidFill>
              <a:latin typeface="Meiryo UI" panose="020B0604030504040204" pitchFamily="50" charset="-128"/>
              <a:ea typeface="Meiryo UI" panose="020B0604030504040204" pitchFamily="50" charset="-128"/>
              <a:cs typeface="+mn-cs"/>
            </a:rPr>
            <a:t>＜民生部門電力以外の脱炭素化に関する取組＞</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に記載</a:t>
          </a:r>
          <a:r>
            <a:rPr kumimoji="1" lang="ja-JP" altLang="en-US" sz="1400" b="0">
              <a:solidFill>
                <a:sysClr val="windowText" lastClr="000000"/>
              </a:solidFill>
              <a:latin typeface="Meiryo UI" panose="020B0604030504040204" pitchFamily="50" charset="-128"/>
              <a:ea typeface="Meiryo UI" panose="020B0604030504040204" pitchFamily="50" charset="-128"/>
            </a:rPr>
            <a:t>する</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a:solidFill>
                <a:srgbClr val="FF0000"/>
              </a:solidFill>
              <a:latin typeface="Meiryo UI" panose="020B0604030504040204" pitchFamily="50" charset="-128"/>
              <a:ea typeface="Meiryo UI" panose="020B0604030504040204" pitchFamily="50" charset="-128"/>
            </a:rPr>
            <a:t>取組番号（①</a:t>
          </a:r>
          <a:r>
            <a:rPr kumimoji="1" lang="en-US" altLang="ja-JP" sz="1400" b="0">
              <a:solidFill>
                <a:srgbClr val="FF0000"/>
              </a:solidFill>
              <a:latin typeface="Meiryo UI" panose="020B0604030504040204" pitchFamily="50" charset="-128"/>
              <a:ea typeface="Meiryo UI" panose="020B0604030504040204" pitchFamily="50" charset="-128"/>
            </a:rPr>
            <a:t>-1,</a:t>
          </a:r>
          <a:r>
            <a:rPr kumimoji="1" lang="ja-JP" altLang="en-US" sz="1400" b="0">
              <a:solidFill>
                <a:srgbClr val="FF0000"/>
              </a:solidFill>
              <a:latin typeface="Meiryo UI" panose="020B0604030504040204" pitchFamily="50" charset="-128"/>
              <a:ea typeface="Meiryo UI" panose="020B0604030504040204" pitchFamily="50" charset="-128"/>
            </a:rPr>
            <a:t>①</a:t>
          </a:r>
          <a:r>
            <a:rPr kumimoji="1" lang="en-US" altLang="ja-JP" sz="1400" b="0">
              <a:solidFill>
                <a:srgbClr val="FF0000"/>
              </a:solidFill>
              <a:latin typeface="Meiryo UI" panose="020B0604030504040204" pitchFamily="50" charset="-128"/>
              <a:ea typeface="Meiryo UI" panose="020B0604030504040204" pitchFamily="50" charset="-128"/>
            </a:rPr>
            <a:t>-2</a:t>
          </a:r>
          <a:r>
            <a:rPr kumimoji="1" lang="ja-JP" altLang="en-US" sz="1400" b="0">
              <a:solidFill>
                <a:srgbClr val="FF0000"/>
              </a:solidFill>
              <a:latin typeface="Meiryo UI" panose="020B0604030504040204" pitchFamily="50" charset="-128"/>
              <a:ea typeface="Meiryo UI" panose="020B0604030504040204" pitchFamily="50" charset="-128"/>
            </a:rPr>
            <a:t>･･･，②</a:t>
          </a:r>
          <a:r>
            <a:rPr kumimoji="1" lang="en-US" altLang="ja-JP" sz="1400" b="0">
              <a:solidFill>
                <a:srgbClr val="FF0000"/>
              </a:solidFill>
              <a:latin typeface="Meiryo UI" panose="020B0604030504040204" pitchFamily="50" charset="-128"/>
              <a:ea typeface="Meiryo UI" panose="020B0604030504040204" pitchFamily="50" charset="-128"/>
            </a:rPr>
            <a:t>-1,</a:t>
          </a:r>
          <a:r>
            <a:rPr kumimoji="1" lang="ja-JP" altLang="en-US" sz="1400" b="0">
              <a:solidFill>
                <a:srgbClr val="FF0000"/>
              </a:solidFill>
              <a:latin typeface="Meiryo UI" panose="020B0604030504040204" pitchFamily="50" charset="-128"/>
              <a:ea typeface="Meiryo UI" panose="020B0604030504040204" pitchFamily="50" charset="-128"/>
            </a:rPr>
            <a:t>②</a:t>
          </a:r>
          <a:r>
            <a:rPr kumimoji="1" lang="en-US" altLang="ja-JP" sz="1400" b="0">
              <a:solidFill>
                <a:srgbClr val="FF0000"/>
              </a:solidFill>
              <a:latin typeface="Meiryo UI" panose="020B0604030504040204" pitchFamily="50" charset="-128"/>
              <a:ea typeface="Meiryo UI" panose="020B0604030504040204" pitchFamily="50" charset="-128"/>
            </a:rPr>
            <a:t>-2</a:t>
          </a:r>
          <a:r>
            <a:rPr kumimoji="1" lang="ja-JP" altLang="en-US" sz="1400" b="0">
              <a:solidFill>
                <a:srgbClr val="FF0000"/>
              </a:solidFill>
              <a:latin typeface="Meiryo UI" panose="020B0604030504040204" pitchFamily="50" charset="-128"/>
              <a:ea typeface="Meiryo UI" panose="020B0604030504040204" pitchFamily="50" charset="-128"/>
            </a:rPr>
            <a:t>･･･）と</a:t>
          </a:r>
          <a:endParaRPr kumimoji="1" lang="en-US" altLang="ja-JP" sz="1400" b="0">
            <a:solidFill>
              <a:srgbClr val="FF0000"/>
            </a:solidFill>
            <a:latin typeface="Meiryo UI" panose="020B0604030504040204" pitchFamily="50" charset="-128"/>
            <a:ea typeface="Meiryo UI" panose="020B0604030504040204"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0">
              <a:solidFill>
                <a:srgbClr val="FF0000"/>
              </a:solidFill>
              <a:latin typeface="Meiryo UI" panose="020B0604030504040204" pitchFamily="50" charset="-128"/>
              <a:ea typeface="Meiryo UI" panose="020B0604030504040204" pitchFamily="50" charset="-128"/>
            </a:rPr>
            <a:t>一致するようにしてください。</a:t>
          </a:r>
          <a:endParaRPr kumimoji="1" lang="en-US" altLang="ja-JP" sz="1400" b="0">
            <a:solidFill>
              <a:srgbClr val="FF0000"/>
            </a:solidFill>
            <a:latin typeface="Meiryo UI" panose="020B0604030504040204" pitchFamily="50" charset="-128"/>
            <a:ea typeface="Meiryo UI" panose="020B0604030504040204" pitchFamily="50" charset="-128"/>
          </a:endParaRPr>
        </a:p>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3.3 </a:t>
          </a:r>
          <a:r>
            <a:rPr kumimoji="1" lang="ja-JP" altLang="en-US" sz="1400" b="0">
              <a:solidFill>
                <a:sysClr val="windowText" lastClr="000000"/>
              </a:solidFill>
              <a:latin typeface="Meiryo UI" panose="020B0604030504040204" pitchFamily="50" charset="-128"/>
              <a:ea typeface="Meiryo UI" panose="020B0604030504040204" pitchFamily="50" charset="-128"/>
            </a:rPr>
            <a:t>事業の実施スケジュール等」とも一致します。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0</xdr:col>
      <xdr:colOff>241299</xdr:colOff>
      <xdr:row>34</xdr:row>
      <xdr:rowOff>57150</xdr:rowOff>
    </xdr:from>
    <xdr:to>
      <xdr:col>9</xdr:col>
      <xdr:colOff>2038350</xdr:colOff>
      <xdr:row>58</xdr:row>
      <xdr:rowOff>215900</xdr:rowOff>
    </xdr:to>
    <xdr:grpSp>
      <xdr:nvGrpSpPr>
        <xdr:cNvPr id="13" name="グループ化 12">
          <a:extLst>
            <a:ext uri="{FF2B5EF4-FFF2-40B4-BE49-F238E27FC236}">
              <a16:creationId xmlns:a16="http://schemas.microsoft.com/office/drawing/2014/main" id="{4F2991BD-06A1-2D14-A2AF-FA31A287A6B7}"/>
            </a:ext>
          </a:extLst>
        </xdr:cNvPr>
        <xdr:cNvGrpSpPr/>
      </xdr:nvGrpSpPr>
      <xdr:grpSpPr>
        <a:xfrm>
          <a:off x="238124" y="6515100"/>
          <a:ext cx="12115801" cy="4333875"/>
          <a:chOff x="241299" y="6515100"/>
          <a:chExt cx="12112626" cy="4330700"/>
        </a:xfrm>
      </xdr:grpSpPr>
      <xdr:sp macro="" textlink="">
        <xdr:nvSpPr>
          <xdr:cNvPr id="18" name="吹き出し: 角を丸めた四角形 62">
            <a:extLst>
              <a:ext uri="{FF2B5EF4-FFF2-40B4-BE49-F238E27FC236}">
                <a16:creationId xmlns:a16="http://schemas.microsoft.com/office/drawing/2014/main" id="{3DB74D58-CD71-40C4-BC03-FACDFEC2438D}"/>
              </a:ext>
            </a:extLst>
          </xdr:cNvPr>
          <xdr:cNvSpPr/>
        </xdr:nvSpPr>
        <xdr:spPr>
          <a:xfrm>
            <a:off x="241299" y="6515100"/>
            <a:ext cx="12112626" cy="4330700"/>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FF0000"/>
                </a:solidFill>
                <a:latin typeface="Meiryo UI" panose="020B0604030504040204" pitchFamily="50" charset="-128"/>
                <a:ea typeface="Meiryo UI" panose="020B0604030504040204" pitchFamily="50" charset="-128"/>
              </a:rPr>
              <a:t>入力の際の注意点</a:t>
            </a:r>
            <a:endParaRPr kumimoji="1" lang="en-US" altLang="ja-JP" sz="1400" b="1">
              <a:solidFill>
                <a:srgbClr val="FF0000"/>
              </a:solidFill>
              <a:latin typeface="Meiryo UI" panose="020B0604030504040204" pitchFamily="50" charset="-128"/>
              <a:ea typeface="Meiryo UI" panose="020B0604030504040204" pitchFamily="50" charset="-128"/>
            </a:endParaRPr>
          </a:p>
        </xdr:txBody>
      </xdr:sp>
      <xdr:cxnSp macro="">
        <xdr:nvCxnSpPr>
          <xdr:cNvPr id="30" name="直線矢印コネクタ 29">
            <a:extLst>
              <a:ext uri="{FF2B5EF4-FFF2-40B4-BE49-F238E27FC236}">
                <a16:creationId xmlns:a16="http://schemas.microsoft.com/office/drawing/2014/main" id="{AD4CE8B4-F308-4DC7-3C09-2DEB51C3D638}"/>
              </a:ext>
            </a:extLst>
          </xdr:cNvPr>
          <xdr:cNvCxnSpPr>
            <a:endCxn id="29" idx="1"/>
          </xdr:cNvCxnSpPr>
        </xdr:nvCxnSpPr>
        <xdr:spPr>
          <a:xfrm>
            <a:off x="6314515" y="8127440"/>
            <a:ext cx="781050" cy="739775"/>
          </a:xfrm>
          <a:prstGeom prst="straightConnector1">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sp macro="" textlink="">
        <xdr:nvSpPr>
          <xdr:cNvPr id="29" name="吹き出し: 角を丸めた四角形 62">
            <a:extLst>
              <a:ext uri="{FF2B5EF4-FFF2-40B4-BE49-F238E27FC236}">
                <a16:creationId xmlns:a16="http://schemas.microsoft.com/office/drawing/2014/main" id="{A46DA530-0FAE-4878-BA76-6C2D3BDEE752}"/>
              </a:ext>
            </a:extLst>
          </xdr:cNvPr>
          <xdr:cNvSpPr/>
        </xdr:nvSpPr>
        <xdr:spPr>
          <a:xfrm>
            <a:off x="7095565" y="8556065"/>
            <a:ext cx="4695825" cy="618938"/>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lang="ja-JP" altLang="en-US" sz="1100" b="0" u="none">
                <a:solidFill>
                  <a:srgbClr val="FF0000"/>
                </a:solidFill>
                <a:effectLst/>
                <a:latin typeface="+mn-lt"/>
                <a:ea typeface="+mn-ea"/>
                <a:cs typeface="+mn-cs"/>
              </a:rPr>
              <a:t>赤枠部分の合計が当該事業費の合計と一致するようにしてください</a:t>
            </a:r>
            <a:endParaRPr lang="ja-JP" altLang="ja-JP" sz="1100" b="0" u="none">
              <a:solidFill>
                <a:srgbClr val="FF0000"/>
              </a:solidFill>
              <a:effectLst/>
              <a:latin typeface="+mn-lt"/>
              <a:ea typeface="+mn-ea"/>
              <a:cs typeface="+mn-cs"/>
            </a:endParaRPr>
          </a:p>
        </xdr:txBody>
      </xdr:sp>
      <xdr:sp macro="" textlink="">
        <xdr:nvSpPr>
          <xdr:cNvPr id="25" name="吹き出し: 角を丸めた四角形 62">
            <a:extLst>
              <a:ext uri="{FF2B5EF4-FFF2-40B4-BE49-F238E27FC236}">
                <a16:creationId xmlns:a16="http://schemas.microsoft.com/office/drawing/2014/main" id="{0DBD1091-162A-4155-8A41-9787F5E3BD46}"/>
              </a:ext>
            </a:extLst>
          </xdr:cNvPr>
          <xdr:cNvSpPr/>
        </xdr:nvSpPr>
        <xdr:spPr>
          <a:xfrm>
            <a:off x="514350" y="9305926"/>
            <a:ext cx="11496675" cy="1323974"/>
          </a:xfrm>
          <a:prstGeom prst="wedgeRoundRectCallout">
            <a:avLst>
              <a:gd name="adj1" fmla="val -22136"/>
              <a:gd name="adj2" fmla="val -11953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lang="ja-JP" altLang="en-US" sz="1100">
                <a:solidFill>
                  <a:sysClr val="windowText" lastClr="000000"/>
                </a:solidFill>
                <a:effectLst/>
                <a:latin typeface="+mn-lt"/>
                <a:ea typeface="+mn-ea"/>
                <a:cs typeface="+mn-cs"/>
              </a:rPr>
              <a:t>単一の事業でも</a:t>
            </a:r>
            <a:r>
              <a:rPr lang="ja-JP" altLang="ja-JP" sz="1100">
                <a:solidFill>
                  <a:sysClr val="windowText" lastClr="000000"/>
                </a:solidFill>
                <a:effectLst/>
                <a:latin typeface="+mn-lt"/>
                <a:ea typeface="+mn-ea"/>
                <a:cs typeface="+mn-cs"/>
              </a:rPr>
              <a:t>複数</a:t>
            </a:r>
            <a:r>
              <a:rPr lang="ja-JP" altLang="en-US" sz="1100">
                <a:solidFill>
                  <a:sysClr val="windowText" lastClr="000000"/>
                </a:solidFill>
                <a:effectLst/>
                <a:latin typeface="+mn-lt"/>
                <a:ea typeface="+mn-ea"/>
                <a:cs typeface="+mn-cs"/>
              </a:rPr>
              <a:t>の交付金等を活用する</a:t>
            </a:r>
            <a:r>
              <a:rPr lang="ja-JP" altLang="ja-JP" sz="1100">
                <a:solidFill>
                  <a:sysClr val="windowText" lastClr="000000"/>
                </a:solidFill>
                <a:effectLst/>
                <a:latin typeface="+mn-lt"/>
                <a:ea typeface="+mn-ea"/>
                <a:cs typeface="+mn-cs"/>
              </a:rPr>
              <a:t>場合</a:t>
            </a:r>
            <a:r>
              <a:rPr lang="ja-JP" altLang="en-US" sz="1100">
                <a:solidFill>
                  <a:sysClr val="windowText" lastClr="000000"/>
                </a:solidFill>
                <a:effectLst/>
                <a:latin typeface="+mn-lt"/>
                <a:ea typeface="+mn-ea"/>
                <a:cs typeface="+mn-cs"/>
              </a:rPr>
              <a:t>は、活用資金の種類別に行を分けて記載してください。</a:t>
            </a:r>
            <a:endParaRPr lang="en-US" altLang="ja-JP" sz="1100">
              <a:solidFill>
                <a:sysClr val="windowText" lastClr="000000"/>
              </a:solidFill>
              <a:effectLst/>
              <a:latin typeface="+mn-lt"/>
              <a:ea typeface="+mn-ea"/>
              <a:cs typeface="+mn-cs"/>
            </a:endParaRPr>
          </a:p>
          <a:p>
            <a:r>
              <a:rPr lang="ja-JP" altLang="en-US" sz="1100">
                <a:solidFill>
                  <a:sysClr val="windowText" lastClr="000000"/>
                </a:solidFill>
                <a:effectLst/>
                <a:latin typeface="+mn-lt"/>
                <a:ea typeface="+mn-ea"/>
                <a:cs typeface="+mn-cs"/>
              </a:rPr>
              <a:t>（</a:t>
            </a:r>
            <a:r>
              <a:rPr lang="ja-JP" altLang="en-US" sz="1100" u="sng">
                <a:solidFill>
                  <a:sysClr val="windowText" lastClr="000000"/>
                </a:solidFill>
                <a:effectLst/>
                <a:latin typeface="+mn-lt"/>
                <a:ea typeface="+mn-ea"/>
                <a:cs typeface="+mn-cs"/>
              </a:rPr>
              <a:t>「事業内容」欄は</a:t>
            </a:r>
            <a:r>
              <a:rPr lang="en-US" altLang="ja-JP" sz="1100" u="sng">
                <a:solidFill>
                  <a:sysClr val="windowText" lastClr="000000"/>
                </a:solidFill>
                <a:effectLst/>
                <a:latin typeface="+mn-lt"/>
                <a:ea typeface="+mn-ea"/>
                <a:cs typeface="+mn-cs"/>
              </a:rPr>
              <a:t>"</a:t>
            </a:r>
            <a:r>
              <a:rPr lang="ja-JP" altLang="en-US" sz="1100" u="sng">
                <a:solidFill>
                  <a:sysClr val="windowText" lastClr="000000"/>
                </a:solidFill>
                <a:effectLst/>
                <a:latin typeface="+mn-lt"/>
                <a:ea typeface="+mn-ea"/>
                <a:cs typeface="+mn-cs"/>
              </a:rPr>
              <a:t>同上</a:t>
            </a:r>
            <a:r>
              <a:rPr lang="en-US" altLang="ja-JP" sz="1100" u="sng">
                <a:solidFill>
                  <a:sysClr val="windowText" lastClr="000000"/>
                </a:solidFill>
                <a:effectLst/>
                <a:latin typeface="+mn-lt"/>
                <a:ea typeface="+mn-ea"/>
                <a:cs typeface="+mn-cs"/>
              </a:rPr>
              <a:t>"</a:t>
            </a:r>
            <a:r>
              <a:rPr lang="ja-JP" altLang="en-US" sz="1100" u="sng">
                <a:solidFill>
                  <a:sysClr val="windowText" lastClr="000000"/>
                </a:solidFill>
                <a:effectLst/>
                <a:latin typeface="+mn-lt"/>
                <a:ea typeface="+mn-ea"/>
                <a:cs typeface="+mn-cs"/>
              </a:rPr>
              <a:t>等とせず、あらためて事業名を記載ください）</a:t>
            </a:r>
            <a:endParaRPr lang="en-US" altLang="ja-JP" sz="1100" u="sng">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100" b="0" u="none">
                <a:solidFill>
                  <a:srgbClr val="FF0000"/>
                </a:solidFill>
                <a:effectLst/>
                <a:latin typeface="+mn-lt"/>
                <a:ea typeface="+mn-ea"/>
                <a:cs typeface="+mn-cs"/>
              </a:rPr>
              <a:t>記載例のようにいずれかの行に総事業費をまとめて記載し、同一事業の残りの行の「事業費」を</a:t>
            </a:r>
            <a:r>
              <a:rPr lang="en-US" altLang="ja-JP" sz="1100" b="0" u="none">
                <a:solidFill>
                  <a:srgbClr val="FF0000"/>
                </a:solidFill>
                <a:effectLst/>
                <a:latin typeface="+mn-lt"/>
                <a:ea typeface="+mn-ea"/>
                <a:cs typeface="+mn-cs"/>
              </a:rPr>
              <a:t>"0"</a:t>
            </a:r>
            <a:r>
              <a:rPr lang="ja-JP" altLang="en-US" sz="1100" b="0" u="none">
                <a:solidFill>
                  <a:srgbClr val="FF0000"/>
                </a:solidFill>
                <a:effectLst/>
                <a:latin typeface="+mn-lt"/>
                <a:ea typeface="+mn-ea"/>
                <a:cs typeface="+mn-cs"/>
              </a:rPr>
              <a:t>と記載ください</a:t>
            </a:r>
            <a:endParaRPr lang="en-US" altLang="ja-JP" sz="1100" b="0" u="none">
              <a:solidFill>
                <a:srgbClr val="FF0000"/>
              </a:solidFill>
              <a:effectLst/>
              <a:latin typeface="+mn-lt"/>
              <a:ea typeface="+mn-ea"/>
              <a:cs typeface="+mn-cs"/>
            </a:endParaRPr>
          </a:p>
          <a:p>
            <a:r>
              <a:rPr lang="ja-JP" altLang="en-US" sz="1100" b="1" u="sng">
                <a:solidFill>
                  <a:srgbClr val="FF0000"/>
                </a:solidFill>
                <a:effectLst/>
                <a:latin typeface="+mn-lt"/>
                <a:ea typeface="+mn-ea"/>
                <a:cs typeface="+mn-cs"/>
              </a:rPr>
              <a:t>（各行に事業費合計を記載しないようご注意ください）。</a:t>
            </a:r>
            <a:endParaRPr lang="en-US" altLang="ja-JP" sz="1100" b="1" u="sng">
              <a:solidFill>
                <a:srgbClr val="FF0000"/>
              </a:solidFill>
              <a:effectLst/>
              <a:latin typeface="+mn-lt"/>
              <a:ea typeface="+mn-ea"/>
              <a:cs typeface="+mn-cs"/>
            </a:endParaRPr>
          </a:p>
        </xdr:txBody>
      </xdr:sp>
      <xdr:pic>
        <xdr:nvPicPr>
          <xdr:cNvPr id="3" name="図 2">
            <a:extLst>
              <a:ext uri="{FF2B5EF4-FFF2-40B4-BE49-F238E27FC236}">
                <a16:creationId xmlns:a16="http://schemas.microsoft.com/office/drawing/2014/main" id="{AC65C840-9019-7AE0-1558-238383AA4403}"/>
              </a:ext>
            </a:extLst>
          </xdr:cNvPr>
          <xdr:cNvPicPr>
            <a:picLocks noChangeAspect="1"/>
          </xdr:cNvPicPr>
        </xdr:nvPicPr>
        <xdr:blipFill>
          <a:blip xmlns:r="http://schemas.openxmlformats.org/officeDocument/2006/relationships" r:embed="rId4"/>
          <a:stretch>
            <a:fillRect/>
          </a:stretch>
        </xdr:blipFill>
        <xdr:spPr>
          <a:xfrm>
            <a:off x="668616" y="7076327"/>
            <a:ext cx="11076288" cy="1346760"/>
          </a:xfrm>
          <a:prstGeom prst="rect">
            <a:avLst/>
          </a:prstGeom>
        </xdr:spPr>
      </xdr:pic>
      <xdr:sp macro="" textlink="">
        <xdr:nvSpPr>
          <xdr:cNvPr id="10" name="正方形/長方形 9">
            <a:extLst>
              <a:ext uri="{FF2B5EF4-FFF2-40B4-BE49-F238E27FC236}">
                <a16:creationId xmlns:a16="http://schemas.microsoft.com/office/drawing/2014/main" id="{84198717-6EB2-9BC9-7BCE-B8277C75B4B7}"/>
              </a:ext>
            </a:extLst>
          </xdr:cNvPr>
          <xdr:cNvSpPr/>
        </xdr:nvSpPr>
        <xdr:spPr>
          <a:xfrm>
            <a:off x="2286747" y="7626537"/>
            <a:ext cx="9466356" cy="411069"/>
          </a:xfrm>
          <a:prstGeom prst="rect">
            <a:avLst/>
          </a:prstGeom>
          <a:noFill/>
          <a:ln w="28575">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endParaRPr kumimoji="1" lang="ja-JP" altLang="en-US" sz="1400" b="0">
              <a:solidFill>
                <a:sysClr val="windowText" lastClr="000000"/>
              </a:solidFill>
              <a:latin typeface="ＭＳ ゴシック" panose="020B0609070205080204" pitchFamily="49" charset="-128"/>
              <a:ea typeface="ＭＳ ゴシック" panose="020B0609070205080204" pitchFamily="49" charset="-128"/>
              <a:cs typeface="+mn-cs"/>
            </a:endParaRPr>
          </a:p>
        </xdr:txBody>
      </xdr:sp>
      <xdr:sp macro="" textlink="">
        <xdr:nvSpPr>
          <xdr:cNvPr id="11" name="正方形/長方形 10">
            <a:extLst>
              <a:ext uri="{FF2B5EF4-FFF2-40B4-BE49-F238E27FC236}">
                <a16:creationId xmlns:a16="http://schemas.microsoft.com/office/drawing/2014/main" id="{336D7C28-886D-8465-F134-8945EC3866C1}"/>
              </a:ext>
            </a:extLst>
          </xdr:cNvPr>
          <xdr:cNvSpPr/>
        </xdr:nvSpPr>
        <xdr:spPr>
          <a:xfrm>
            <a:off x="5542056" y="7612716"/>
            <a:ext cx="832410" cy="40882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endParaRPr kumimoji="1" lang="ja-JP" altLang="en-US" sz="1400" b="0">
              <a:solidFill>
                <a:sysClr val="windowText" lastClr="000000"/>
              </a:solidFill>
              <a:latin typeface="ＭＳ ゴシック" panose="020B0609070205080204" pitchFamily="49" charset="-128"/>
              <a:ea typeface="ＭＳ ゴシック" panose="020B0609070205080204" pitchFamily="49" charset="-128"/>
              <a:cs typeface="+mn-cs"/>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3333750</xdr:colOff>
      <xdr:row>0</xdr:row>
      <xdr:rowOff>171450</xdr:rowOff>
    </xdr:from>
    <xdr:to>
      <xdr:col>11</xdr:col>
      <xdr:colOff>8466</xdr:colOff>
      <xdr:row>2</xdr:row>
      <xdr:rowOff>152892</xdr:rowOff>
    </xdr:to>
    <xdr:pic>
      <xdr:nvPicPr>
        <xdr:cNvPr id="2" name="図 1">
          <a:extLst>
            <a:ext uri="{FF2B5EF4-FFF2-40B4-BE49-F238E27FC236}">
              <a16:creationId xmlns:a16="http://schemas.microsoft.com/office/drawing/2014/main" id="{337A2C26-9E2D-4088-B245-2E90A4AC15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54125" y="171450"/>
          <a:ext cx="2323041" cy="895842"/>
        </a:xfrm>
        <a:prstGeom prst="rect">
          <a:avLst/>
        </a:prstGeom>
      </xdr:spPr>
    </xdr:pic>
    <xdr:clientData/>
  </xdr:twoCellAnchor>
  <xdr:twoCellAnchor editAs="oneCell">
    <xdr:from>
      <xdr:col>3</xdr:col>
      <xdr:colOff>971550</xdr:colOff>
      <xdr:row>22</xdr:row>
      <xdr:rowOff>0</xdr:rowOff>
    </xdr:from>
    <xdr:to>
      <xdr:col>6</xdr:col>
      <xdr:colOff>1122565</xdr:colOff>
      <xdr:row>29</xdr:row>
      <xdr:rowOff>48733</xdr:rowOff>
    </xdr:to>
    <xdr:sp macro="" textlink="">
      <xdr:nvSpPr>
        <xdr:cNvPr id="3" name="吹き出し: 角を丸めた四角形 2">
          <a:extLst>
            <a:ext uri="{FF2B5EF4-FFF2-40B4-BE49-F238E27FC236}">
              <a16:creationId xmlns:a16="http://schemas.microsoft.com/office/drawing/2014/main" id="{5A038ABD-7A85-455D-92FD-BB9E71C0540E}"/>
            </a:ext>
          </a:extLst>
        </xdr:cNvPr>
        <xdr:cNvSpPr/>
      </xdr:nvSpPr>
      <xdr:spPr>
        <a:xfrm>
          <a:off x="1552575" y="5715000"/>
          <a:ext cx="4322965" cy="1667983"/>
        </a:xfrm>
        <a:prstGeom prst="wedgeRoundRectCallout">
          <a:avLst>
            <a:gd name="adj1" fmla="val -41435"/>
            <a:gd name="adj2" fmla="val -8939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■再エネ種別の項目で「その他発電」を選択された場合</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a:t>
          </a:r>
          <a:r>
            <a:rPr kumimoji="1" lang="en-US" altLang="ja-JP" sz="1400" b="0">
              <a:solidFill>
                <a:sysClr val="windowText" lastClr="000000"/>
              </a:solidFill>
              <a:latin typeface="Meiryo UI" panose="020B0604030504040204" pitchFamily="50" charset="-128"/>
              <a:ea typeface="Meiryo UI" panose="020B0604030504040204" pitchFamily="50" charset="-128"/>
            </a:rPr>
            <a:t>Word</a:t>
          </a:r>
          <a:r>
            <a:rPr kumimoji="1" lang="ja-JP" altLang="en-US" sz="1400" b="0">
              <a:solidFill>
                <a:sysClr val="windowText" lastClr="000000"/>
              </a:solidFill>
              <a:latin typeface="Meiryo UI" panose="020B0604030504040204" pitchFamily="50" charset="-128"/>
              <a:ea typeface="Meiryo UI" panose="020B0604030504040204" pitchFamily="50" charset="-128"/>
            </a:rPr>
            <a:t>の計画提案書の表を貼り付けた下に、発電種別についても補記してください。</a:t>
          </a:r>
        </a:p>
      </xdr:txBody>
    </xdr:sp>
    <xdr:clientData/>
  </xdr:twoCellAnchor>
  <xdr:twoCellAnchor editAs="oneCell">
    <xdr:from>
      <xdr:col>5</xdr:col>
      <xdr:colOff>714375</xdr:colOff>
      <xdr:row>9</xdr:row>
      <xdr:rowOff>190500</xdr:rowOff>
    </xdr:from>
    <xdr:to>
      <xdr:col>6</xdr:col>
      <xdr:colOff>4428888</xdr:colOff>
      <xdr:row>18</xdr:row>
      <xdr:rowOff>188857</xdr:rowOff>
    </xdr:to>
    <xdr:sp macro="" textlink="">
      <xdr:nvSpPr>
        <xdr:cNvPr id="4" name="吹き出し: 角を丸めた四角形 2">
          <a:extLst>
            <a:ext uri="{FF2B5EF4-FFF2-40B4-BE49-F238E27FC236}">
              <a16:creationId xmlns:a16="http://schemas.microsoft.com/office/drawing/2014/main" id="{9A3961FE-7990-4A29-BEDA-3253808F853C}"/>
            </a:ext>
          </a:extLst>
        </xdr:cNvPr>
        <xdr:cNvSpPr/>
      </xdr:nvSpPr>
      <xdr:spPr>
        <a:xfrm>
          <a:off x="4524375" y="2809875"/>
          <a:ext cx="4657488" cy="2141482"/>
        </a:xfrm>
        <a:prstGeom prst="wedgeRoundRectCallout">
          <a:avLst>
            <a:gd name="adj1" fmla="val -31789"/>
            <a:gd name="adj2" fmla="val -7751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■調査の手法</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”再エネ情報提供システム（</a:t>
          </a:r>
          <a:r>
            <a:rPr kumimoji="1" lang="en-US" altLang="ja-JP" sz="1400" b="0">
              <a:solidFill>
                <a:sysClr val="windowText" lastClr="000000"/>
              </a:solidFill>
              <a:latin typeface="Meiryo UI" panose="020B0604030504040204" pitchFamily="50" charset="-128"/>
              <a:ea typeface="Meiryo UI" panose="020B0604030504040204" pitchFamily="50" charset="-128"/>
            </a:rPr>
            <a:t>REPOS</a:t>
          </a:r>
          <a:r>
            <a:rPr kumimoji="1" lang="ja-JP" altLang="en-US" sz="1400" b="0">
              <a:solidFill>
                <a:sysClr val="windowText" lastClr="000000"/>
              </a:solidFill>
              <a:latin typeface="Meiryo UI" panose="020B0604030504040204" pitchFamily="50" charset="-128"/>
              <a:ea typeface="Meiryo UI" panose="020B0604030504040204" pitchFamily="50" charset="-128"/>
            </a:rPr>
            <a:t>）の活用”や、”衛星写真の活用”、”独自の調査”等、調査手法を記入してください。</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また、その進捗状況について、選択肢 「済」・「一部済」から選択してください。</a:t>
          </a:r>
        </a:p>
      </xdr:txBody>
    </xdr:sp>
    <xdr:clientData/>
  </xdr:twoCellAnchor>
  <xdr:twoCellAnchor editAs="oneCell">
    <xdr:from>
      <xdr:col>7</xdr:col>
      <xdr:colOff>1247775</xdr:colOff>
      <xdr:row>9</xdr:row>
      <xdr:rowOff>95250</xdr:rowOff>
    </xdr:from>
    <xdr:to>
      <xdr:col>8</xdr:col>
      <xdr:colOff>4179422</xdr:colOff>
      <xdr:row>26</xdr:row>
      <xdr:rowOff>66500</xdr:rowOff>
    </xdr:to>
    <xdr:sp macro="" textlink="">
      <xdr:nvSpPr>
        <xdr:cNvPr id="6" name="吹き出し: 角を丸めた四角形 2">
          <a:extLst>
            <a:ext uri="{FF2B5EF4-FFF2-40B4-BE49-F238E27FC236}">
              <a16:creationId xmlns:a16="http://schemas.microsoft.com/office/drawing/2014/main" id="{7FFA8741-9C27-4605-9F9B-1611A769A360}"/>
            </a:ext>
          </a:extLst>
        </xdr:cNvPr>
        <xdr:cNvSpPr/>
      </xdr:nvSpPr>
      <xdr:spPr>
        <a:xfrm>
          <a:off x="10506075" y="2714625"/>
          <a:ext cx="4293722" cy="3971750"/>
        </a:xfrm>
        <a:prstGeom prst="wedgeRoundRectCallout">
          <a:avLst>
            <a:gd name="adj1" fmla="val -34428"/>
            <a:gd name="adj2" fmla="val -6219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1">
              <a:solidFill>
                <a:sysClr val="windowText" lastClr="000000"/>
              </a:solidFill>
              <a:latin typeface="Meiryo UI" panose="020B0604030504040204" pitchFamily="50" charset="-128"/>
              <a:ea typeface="Meiryo UI" panose="020B0604030504040204" pitchFamily="50" charset="-128"/>
            </a:rPr>
            <a:t>■除外理由</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再エネ種別ごとに、再エネ導入が難しい事項（急傾斜地や景観規制、その他環境保全上の支障、合意形成が難しい等）について、内容を記載してください。</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記入内容の文字数が長い場合には、行幅の自動調整されますが、手作業で行幅の変更を行うと、自動調整の設定が解除されますのでご注意ください。</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　「考慮すべき事項」の記載している情報に補記する内容があれば、</a:t>
          </a:r>
          <a:r>
            <a:rPr kumimoji="1" lang="en-US" altLang="ja-JP" sz="1400" b="0">
              <a:solidFill>
                <a:sysClr val="windowText" lastClr="000000"/>
              </a:solidFill>
              <a:latin typeface="Meiryo UI" panose="020B0604030504040204" pitchFamily="50" charset="-128"/>
              <a:ea typeface="Meiryo UI" panose="020B0604030504040204" pitchFamily="50" charset="-128"/>
            </a:rPr>
            <a:t>Word</a:t>
          </a:r>
          <a:r>
            <a:rPr kumimoji="1" lang="ja-JP" altLang="en-US" sz="1400" b="0">
              <a:solidFill>
                <a:sysClr val="windowText" lastClr="000000"/>
              </a:solidFill>
              <a:latin typeface="Meiryo UI" panose="020B0604030504040204" pitchFamily="50" charset="-128"/>
              <a:ea typeface="Meiryo UI" panose="020B0604030504040204" pitchFamily="50" charset="-128"/>
            </a:rPr>
            <a:t>の計画提案書の表を貼り付けた下に、再エネ種別ごとに記載するようにしてください。</a:t>
          </a:r>
        </a:p>
      </xdr:txBody>
    </xdr:sp>
    <xdr:clientData/>
  </xdr:twoCellAnchor>
  <xdr:twoCellAnchor editAs="absolute">
    <xdr:from>
      <xdr:col>1</xdr:col>
      <xdr:colOff>190500</xdr:colOff>
      <xdr:row>1</xdr:row>
      <xdr:rowOff>600075</xdr:rowOff>
    </xdr:from>
    <xdr:to>
      <xdr:col>6</xdr:col>
      <xdr:colOff>978355</xdr:colOff>
      <xdr:row>5</xdr:row>
      <xdr:rowOff>13607</xdr:rowOff>
    </xdr:to>
    <xdr:sp macro="" textlink="">
      <xdr:nvSpPr>
        <xdr:cNvPr id="7" name="吹き出し: 角を丸めた四角形 4">
          <a:extLst>
            <a:ext uri="{FF2B5EF4-FFF2-40B4-BE49-F238E27FC236}">
              <a16:creationId xmlns:a16="http://schemas.microsoft.com/office/drawing/2014/main" id="{AF4D6FD7-A0FE-4DEB-A046-67C59D687B30}"/>
            </a:ext>
          </a:extLst>
        </xdr:cNvPr>
        <xdr:cNvSpPr/>
      </xdr:nvSpPr>
      <xdr:spPr>
        <a:xfrm>
          <a:off x="390525" y="904875"/>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absolute">
    <xdr:from>
      <xdr:col>10</xdr:col>
      <xdr:colOff>66734</xdr:colOff>
      <xdr:row>32</xdr:row>
      <xdr:rowOff>219075</xdr:rowOff>
    </xdr:from>
    <xdr:to>
      <xdr:col>23</xdr:col>
      <xdr:colOff>1214</xdr:colOff>
      <xdr:row>59</xdr:row>
      <xdr:rowOff>227744</xdr:rowOff>
    </xdr:to>
    <xdr:pic>
      <xdr:nvPicPr>
        <xdr:cNvPr id="5" name="図 4">
          <a:extLst>
            <a:ext uri="{FF2B5EF4-FFF2-40B4-BE49-F238E27FC236}">
              <a16:creationId xmlns:a16="http://schemas.microsoft.com/office/drawing/2014/main" id="{FF481430-9D18-419F-A62E-3B14A1CAF170}"/>
            </a:ext>
          </a:extLst>
        </xdr:cNvPr>
        <xdr:cNvPicPr>
          <a:picLocks noChangeAspect="1"/>
        </xdr:cNvPicPr>
      </xdr:nvPicPr>
      <xdr:blipFill>
        <a:blip xmlns:r="http://schemas.openxmlformats.org/officeDocument/2006/relationships" r:embed="rId2"/>
        <a:stretch>
          <a:fillRect/>
        </a:stretch>
      </xdr:blipFill>
      <xdr:spPr>
        <a:xfrm>
          <a:off x="16154459" y="8267700"/>
          <a:ext cx="5601855" cy="6438044"/>
        </a:xfrm>
        <a:prstGeom prst="rect">
          <a:avLst/>
        </a:prstGeom>
      </xdr:spPr>
    </xdr:pic>
    <xdr:clientData/>
  </xdr:twoCellAnchor>
  <xdr:twoCellAnchor editAs="absolute">
    <xdr:from>
      <xdr:col>9</xdr:col>
      <xdr:colOff>866774</xdr:colOff>
      <xdr:row>1</xdr:row>
      <xdr:rowOff>38101</xdr:rowOff>
    </xdr:from>
    <xdr:to>
      <xdr:col>22</xdr:col>
      <xdr:colOff>378533</xdr:colOff>
      <xdr:row>32</xdr:row>
      <xdr:rowOff>85300</xdr:rowOff>
    </xdr:to>
    <xdr:pic>
      <xdr:nvPicPr>
        <xdr:cNvPr id="8" name="図 1">
          <a:extLst>
            <a:ext uri="{FF2B5EF4-FFF2-40B4-BE49-F238E27FC236}">
              <a16:creationId xmlns:a16="http://schemas.microsoft.com/office/drawing/2014/main" id="{21FBA572-E426-449B-84E1-14C1A6CCDDB8}"/>
            </a:ext>
          </a:extLst>
        </xdr:cNvPr>
        <xdr:cNvPicPr>
          <a:picLocks noChangeAspect="1"/>
        </xdr:cNvPicPr>
      </xdr:nvPicPr>
      <xdr:blipFill>
        <a:blip xmlns:r="http://schemas.openxmlformats.org/officeDocument/2006/relationships" r:embed="rId3"/>
        <a:stretch>
          <a:fillRect/>
        </a:stretch>
      </xdr:blipFill>
      <xdr:spPr>
        <a:xfrm>
          <a:off x="15992474" y="342901"/>
          <a:ext cx="5455359" cy="77910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838200</xdr:colOff>
      <xdr:row>0</xdr:row>
      <xdr:rowOff>85725</xdr:rowOff>
    </xdr:from>
    <xdr:to>
      <xdr:col>20</xdr:col>
      <xdr:colOff>17991</xdr:colOff>
      <xdr:row>3</xdr:row>
      <xdr:rowOff>200517</xdr:rowOff>
    </xdr:to>
    <xdr:pic>
      <xdr:nvPicPr>
        <xdr:cNvPr id="2" name="図 1">
          <a:extLst>
            <a:ext uri="{FF2B5EF4-FFF2-40B4-BE49-F238E27FC236}">
              <a16:creationId xmlns:a16="http://schemas.microsoft.com/office/drawing/2014/main" id="{34FE291C-188A-424C-8559-3165CAFE21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77925" y="85725"/>
          <a:ext cx="2323041" cy="895842"/>
        </a:xfrm>
        <a:prstGeom prst="rect">
          <a:avLst/>
        </a:prstGeom>
      </xdr:spPr>
    </xdr:pic>
    <xdr:clientData/>
  </xdr:twoCellAnchor>
  <xdr:twoCellAnchor editAs="oneCell">
    <xdr:from>
      <xdr:col>1</xdr:col>
      <xdr:colOff>57150</xdr:colOff>
      <xdr:row>7</xdr:row>
      <xdr:rowOff>200025</xdr:rowOff>
    </xdr:from>
    <xdr:to>
      <xdr:col>7</xdr:col>
      <xdr:colOff>267461</xdr:colOff>
      <xdr:row>21</xdr:row>
      <xdr:rowOff>57150</xdr:rowOff>
    </xdr:to>
    <xdr:sp macro="" textlink="">
      <xdr:nvSpPr>
        <xdr:cNvPr id="3" name="吹き出し: 角を丸めた四角形 62">
          <a:extLst>
            <a:ext uri="{FF2B5EF4-FFF2-40B4-BE49-F238E27FC236}">
              <a16:creationId xmlns:a16="http://schemas.microsoft.com/office/drawing/2014/main" id="{2AE9FDE3-B7FB-4417-B4C4-DFC5B28BABF0}"/>
            </a:ext>
          </a:extLst>
        </xdr:cNvPr>
        <xdr:cNvSpPr/>
      </xdr:nvSpPr>
      <xdr:spPr>
        <a:xfrm>
          <a:off x="238125" y="2466975"/>
          <a:ext cx="3963161" cy="2809875"/>
        </a:xfrm>
        <a:prstGeom prst="wedgeRoundRectCallout">
          <a:avLst>
            <a:gd name="adj1" fmla="val -23011"/>
            <a:gd name="adj2" fmla="val -6341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設置場所</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・低圧に該当する施設については、当該再エネ発電設備種別ごとの発電量の</a:t>
          </a:r>
          <a:r>
            <a:rPr kumimoji="1" lang="en-US" altLang="ja-JP" sz="1400" b="0">
              <a:solidFill>
                <a:sysClr val="windowText" lastClr="000000"/>
              </a:solidFill>
              <a:latin typeface="Meiryo UI" panose="020B0604030504040204" pitchFamily="50" charset="-128"/>
              <a:ea typeface="Meiryo UI" panose="020B0604030504040204" pitchFamily="50" charset="-128"/>
            </a:rPr>
            <a:t>25%</a:t>
          </a:r>
          <a:r>
            <a:rPr kumimoji="1" lang="ja-JP" altLang="en-US" sz="1400" b="0">
              <a:solidFill>
                <a:sysClr val="windowText" lastClr="000000"/>
              </a:solidFill>
              <a:latin typeface="Meiryo UI" panose="020B0604030504040204" pitchFamily="50" charset="-128"/>
              <a:ea typeface="Meiryo UI" panose="020B0604030504040204" pitchFamily="50" charset="-128"/>
            </a:rPr>
            <a:t>を超えない規模でまとめて記載することが可能です。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・ただし、まとめられる施設は設置エリア・施設の種類が同じであることとします。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・また、合意形成や</a:t>
          </a:r>
          <a:r>
            <a:rPr kumimoji="1" lang="en-US" altLang="ja-JP" sz="1400" b="0">
              <a:solidFill>
                <a:sysClr val="windowText" lastClr="000000"/>
              </a:solidFill>
              <a:latin typeface="Meiryo UI" panose="020B0604030504040204" pitchFamily="50" charset="-128"/>
              <a:ea typeface="Meiryo UI" panose="020B0604030504040204" pitchFamily="50" charset="-128"/>
            </a:rPr>
            <a:t>FS</a:t>
          </a:r>
          <a:r>
            <a:rPr kumimoji="1" lang="ja-JP" altLang="en-US" sz="1400" b="0">
              <a:solidFill>
                <a:sysClr val="windowText" lastClr="000000"/>
              </a:solidFill>
              <a:latin typeface="Meiryo UI" panose="020B0604030504040204" pitchFamily="50" charset="-128"/>
              <a:ea typeface="Meiryo UI" panose="020B0604030504040204" pitchFamily="50" charset="-128"/>
            </a:rPr>
            <a:t>調査の進捗度が同じ施設でまとめられていることが望ましいです。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8</xdr:col>
      <xdr:colOff>209550</xdr:colOff>
      <xdr:row>20</xdr:row>
      <xdr:rowOff>104775</xdr:rowOff>
    </xdr:from>
    <xdr:to>
      <xdr:col>11</xdr:col>
      <xdr:colOff>698913</xdr:colOff>
      <xdr:row>33</xdr:row>
      <xdr:rowOff>20487</xdr:rowOff>
    </xdr:to>
    <xdr:sp macro="" textlink="">
      <xdr:nvSpPr>
        <xdr:cNvPr id="4" name="吹き出し: 角を丸めた四角形 62">
          <a:extLst>
            <a:ext uri="{FF2B5EF4-FFF2-40B4-BE49-F238E27FC236}">
              <a16:creationId xmlns:a16="http://schemas.microsoft.com/office/drawing/2014/main" id="{1B5F4B55-B7C8-4589-BB9E-8E37DB73C07A}"/>
            </a:ext>
          </a:extLst>
        </xdr:cNvPr>
        <xdr:cNvSpPr/>
      </xdr:nvSpPr>
      <xdr:spPr>
        <a:xfrm>
          <a:off x="5086350" y="5067300"/>
          <a:ext cx="4004088" cy="2601762"/>
        </a:xfrm>
        <a:prstGeom prst="wedgeRoundRectCallout">
          <a:avLst>
            <a:gd name="adj1" fmla="val -82705"/>
            <a:gd name="adj2" fmla="val -162058"/>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施設番号</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計画において新規再エネ導入設備として挙げられる全ての施設に太陽光</a:t>
          </a:r>
          <a:r>
            <a:rPr kumimoji="1" lang="en-US" altLang="ja-JP" sz="1400" b="0">
              <a:solidFill>
                <a:sysClr val="windowText" lastClr="000000"/>
              </a:solidFill>
              <a:latin typeface="Meiryo UI" panose="020B0604030504040204" pitchFamily="50" charset="-128"/>
              <a:ea typeface="Meiryo UI" panose="020B0604030504040204" pitchFamily="50" charset="-128"/>
            </a:rPr>
            <a:t>-1</a:t>
          </a:r>
          <a:r>
            <a:rPr kumimoji="1" lang="ja-JP" altLang="en-US" sz="1400" b="0">
              <a:solidFill>
                <a:sysClr val="windowText" lastClr="000000"/>
              </a:solidFill>
              <a:latin typeface="Meiryo UI" panose="020B0604030504040204" pitchFamily="50" charset="-128"/>
              <a:ea typeface="Meiryo UI" panose="020B0604030504040204" pitchFamily="50" charset="-128"/>
            </a:rPr>
            <a:t>、太陽光</a:t>
          </a:r>
          <a:r>
            <a:rPr kumimoji="1" lang="en-US" altLang="ja-JP" sz="1400" b="0">
              <a:solidFill>
                <a:sysClr val="windowText" lastClr="000000"/>
              </a:solidFill>
              <a:latin typeface="Meiryo UI" panose="020B0604030504040204" pitchFamily="50" charset="-128"/>
              <a:ea typeface="Meiryo UI" panose="020B0604030504040204" pitchFamily="50" charset="-128"/>
            </a:rPr>
            <a:t>-2</a:t>
          </a:r>
          <a:r>
            <a:rPr kumimoji="1" lang="ja-JP" altLang="en-US" sz="1400" b="0">
              <a:solidFill>
                <a:sysClr val="windowText" lastClr="000000"/>
              </a:solidFill>
              <a:latin typeface="Meiryo UI" panose="020B0604030504040204" pitchFamily="50" charset="-128"/>
              <a:ea typeface="Meiryo UI" panose="020B0604030504040204" pitchFamily="50" charset="-128"/>
            </a:rPr>
            <a:t>、・・・といった通し番号を記載してください。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400" b="0">
              <a:solidFill>
                <a:srgbClr val="FF0000"/>
              </a:solidFill>
              <a:latin typeface="Meiryo UI" panose="020B0604030504040204" pitchFamily="50" charset="-128"/>
              <a:ea typeface="Meiryo UI" panose="020B0604030504040204" pitchFamily="50" charset="-128"/>
            </a:rPr>
            <a:t>※</a:t>
          </a:r>
          <a:r>
            <a:rPr kumimoji="1" lang="ja-JP" altLang="en-US" sz="1400" b="0">
              <a:solidFill>
                <a:srgbClr val="FF0000"/>
              </a:solidFill>
              <a:latin typeface="Meiryo UI" panose="020B0604030504040204" pitchFamily="50" charset="-128"/>
              <a:ea typeface="Meiryo UI" panose="020B0604030504040204" pitchFamily="50" charset="-128"/>
            </a:rPr>
            <a:t>数字のみの記載はエラーが出てしまうため、電源種と数字の組み合わせで記載してください。</a:t>
          </a:r>
        </a:p>
      </xdr:txBody>
    </xdr:sp>
    <xdr:clientData/>
  </xdr:twoCellAnchor>
  <xdr:twoCellAnchor editAs="oneCell">
    <xdr:from>
      <xdr:col>9</xdr:col>
      <xdr:colOff>304800</xdr:colOff>
      <xdr:row>9</xdr:row>
      <xdr:rowOff>66675</xdr:rowOff>
    </xdr:from>
    <xdr:to>
      <xdr:col>14</xdr:col>
      <xdr:colOff>332139</xdr:colOff>
      <xdr:row>19</xdr:row>
      <xdr:rowOff>161925</xdr:rowOff>
    </xdr:to>
    <xdr:sp macro="" textlink="">
      <xdr:nvSpPr>
        <xdr:cNvPr id="5" name="吹き出し: 角を丸めた四角形 62">
          <a:extLst>
            <a:ext uri="{FF2B5EF4-FFF2-40B4-BE49-F238E27FC236}">
              <a16:creationId xmlns:a16="http://schemas.microsoft.com/office/drawing/2014/main" id="{4929A967-020E-43C3-A42B-204340CE95AD}"/>
            </a:ext>
          </a:extLst>
        </xdr:cNvPr>
        <xdr:cNvSpPr/>
      </xdr:nvSpPr>
      <xdr:spPr>
        <a:xfrm>
          <a:off x="6457950" y="2562225"/>
          <a:ext cx="4942239" cy="2324100"/>
        </a:xfrm>
        <a:prstGeom prst="wedgeRoundRectCallout">
          <a:avLst>
            <a:gd name="adj1" fmla="val -84895"/>
            <a:gd name="adj2" fmla="val -6676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基幹設備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１設備当たりの発電量が大きい等、脱炭素先行地域の取組を進めるに当たって特に重要となる設備を基幹設備として各自で判断してください。設定された設備に、基幹１、２・・・といった通し番号を記入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基幹設備に該当しない場合は、空欄としてください。</a:t>
          </a:r>
        </a:p>
      </xdr:txBody>
    </xdr:sp>
    <xdr:clientData/>
  </xdr:twoCellAnchor>
  <xdr:twoCellAnchor editAs="oneCell">
    <xdr:from>
      <xdr:col>9</xdr:col>
      <xdr:colOff>1038226</xdr:colOff>
      <xdr:row>3</xdr:row>
      <xdr:rowOff>161924</xdr:rowOff>
    </xdr:from>
    <xdr:to>
      <xdr:col>13</xdr:col>
      <xdr:colOff>66676</xdr:colOff>
      <xdr:row>5</xdr:row>
      <xdr:rowOff>113948</xdr:rowOff>
    </xdr:to>
    <xdr:sp macro="" textlink="">
      <xdr:nvSpPr>
        <xdr:cNvPr id="6" name="吹き出し: 角を丸めた四角形 62">
          <a:extLst>
            <a:ext uri="{FF2B5EF4-FFF2-40B4-BE49-F238E27FC236}">
              <a16:creationId xmlns:a16="http://schemas.microsoft.com/office/drawing/2014/main" id="{300E7BE7-424F-4FD5-9234-83413B561C76}"/>
            </a:ext>
          </a:extLst>
        </xdr:cNvPr>
        <xdr:cNvSpPr/>
      </xdr:nvSpPr>
      <xdr:spPr>
        <a:xfrm>
          <a:off x="7191376" y="942974"/>
          <a:ext cx="3048000" cy="380649"/>
        </a:xfrm>
        <a:prstGeom prst="wedgeRoundRectCallout">
          <a:avLst>
            <a:gd name="adj1" fmla="val -52750"/>
            <a:gd name="adj2" fmla="val 10931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オンサイト</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オフサイトから選択してください。</a:t>
          </a:r>
        </a:p>
      </xdr:txBody>
    </xdr:sp>
    <xdr:clientData/>
  </xdr:twoCellAnchor>
  <xdr:twoCellAnchor editAs="oneCell">
    <xdr:from>
      <xdr:col>13</xdr:col>
      <xdr:colOff>466724</xdr:colOff>
      <xdr:row>1</xdr:row>
      <xdr:rowOff>190500</xdr:rowOff>
    </xdr:from>
    <xdr:to>
      <xdr:col>16</xdr:col>
      <xdr:colOff>333374</xdr:colOff>
      <xdr:row>5</xdr:row>
      <xdr:rowOff>89298</xdr:rowOff>
    </xdr:to>
    <xdr:sp macro="" textlink="">
      <xdr:nvSpPr>
        <xdr:cNvPr id="7" name="吹き出し: 角を丸めた四角形 69">
          <a:extLst>
            <a:ext uri="{FF2B5EF4-FFF2-40B4-BE49-F238E27FC236}">
              <a16:creationId xmlns:a16="http://schemas.microsoft.com/office/drawing/2014/main" id="{02CCDD37-4A51-4C27-9B0C-88B4617B9FB2}"/>
            </a:ext>
          </a:extLst>
        </xdr:cNvPr>
        <xdr:cNvSpPr/>
      </xdr:nvSpPr>
      <xdr:spPr>
        <a:xfrm>
          <a:off x="10639424" y="495300"/>
          <a:ext cx="2733675" cy="803673"/>
        </a:xfrm>
        <a:prstGeom prst="wedgeRoundRectCallout">
          <a:avLst>
            <a:gd name="adj1" fmla="val 46499"/>
            <a:gd name="adj2" fmla="val 9810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ja-JP" altLang="en-US" sz="1400" b="0">
              <a:solidFill>
                <a:sysClr val="windowText" lastClr="000000"/>
              </a:solidFill>
              <a:latin typeface="Meiryo UI" panose="020B0604030504040204" pitchFamily="50" charset="-128"/>
              <a:ea typeface="Meiryo UI" panose="020B0604030504040204" pitchFamily="50" charset="-128"/>
            </a:rPr>
            <a:t>小計は自動計算されるため</a:t>
          </a:r>
          <a:br>
            <a:rPr kumimoji="1" lang="en-US" altLang="ja-JP" sz="1400" b="0">
              <a:solidFill>
                <a:sysClr val="windowText" lastClr="000000"/>
              </a:solidFill>
              <a:latin typeface="Meiryo UI" panose="020B0604030504040204" pitchFamily="50" charset="-128"/>
              <a:ea typeface="Meiryo UI" panose="020B0604030504040204" pitchFamily="50" charset="-128"/>
            </a:rPr>
          </a:br>
          <a:r>
            <a:rPr kumimoji="1" lang="en-US" altLang="ja-JP" sz="1400" b="0">
              <a:solidFill>
                <a:sysClr val="windowText" lastClr="000000"/>
              </a:solidFill>
              <a:latin typeface="Meiryo UI" panose="020B0604030504040204" pitchFamily="50" charset="-128"/>
              <a:ea typeface="Meiryo UI" panose="020B0604030504040204" pitchFamily="50" charset="-128"/>
            </a:rPr>
            <a:t>N.Q</a:t>
          </a:r>
          <a:r>
            <a:rPr kumimoji="1" lang="ja-JP" altLang="en-US" sz="1400" b="0">
              <a:solidFill>
                <a:sysClr val="windowText" lastClr="000000"/>
              </a:solidFill>
              <a:latin typeface="Meiryo UI" panose="020B0604030504040204" pitchFamily="50" charset="-128"/>
              <a:ea typeface="Meiryo UI" panose="020B0604030504040204" pitchFamily="50" charset="-128"/>
            </a:rPr>
            <a:t>列への入力は不要です</a:t>
          </a:r>
        </a:p>
      </xdr:txBody>
    </xdr:sp>
    <xdr:clientData/>
  </xdr:twoCellAnchor>
  <xdr:twoCellAnchor editAs="oneCell">
    <xdr:from>
      <xdr:col>14</xdr:col>
      <xdr:colOff>485775</xdr:colOff>
      <xdr:row>10</xdr:row>
      <xdr:rowOff>38100</xdr:rowOff>
    </xdr:from>
    <xdr:to>
      <xdr:col>21</xdr:col>
      <xdr:colOff>47625</xdr:colOff>
      <xdr:row>19</xdr:row>
      <xdr:rowOff>137556</xdr:rowOff>
    </xdr:to>
    <xdr:sp macro="" textlink="">
      <xdr:nvSpPr>
        <xdr:cNvPr id="8" name="吹き出し: 角を丸めた四角形 62">
          <a:extLst>
            <a:ext uri="{FF2B5EF4-FFF2-40B4-BE49-F238E27FC236}">
              <a16:creationId xmlns:a16="http://schemas.microsoft.com/office/drawing/2014/main" id="{CC51A04F-BD61-4438-86CA-CE289E840786}"/>
            </a:ext>
          </a:extLst>
        </xdr:cNvPr>
        <xdr:cNvSpPr/>
      </xdr:nvSpPr>
      <xdr:spPr>
        <a:xfrm>
          <a:off x="11553825" y="2505075"/>
          <a:ext cx="4810125" cy="2080656"/>
        </a:xfrm>
        <a:prstGeom prst="wedgeRoundRectCallout">
          <a:avLst>
            <a:gd name="adj1" fmla="val -48385"/>
            <a:gd name="adj2" fmla="val -80791"/>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契約電力区分</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・低圧：導入設備の設備能力が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50kW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未満の場合</a:t>
          </a: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・高圧：導入設備の設備能力が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50kW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以上、</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2,000kW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未満の場合</a:t>
          </a: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・特別高圧：導入設備の設備能力が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2,000kW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以上の場合</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から選択してください。</a:t>
          </a:r>
        </a:p>
      </xdr:txBody>
    </xdr:sp>
    <xdr:clientData/>
  </xdr:twoCellAnchor>
  <xdr:twoCellAnchor editAs="oneCell">
    <xdr:from>
      <xdr:col>22</xdr:col>
      <xdr:colOff>142875</xdr:colOff>
      <xdr:row>9</xdr:row>
      <xdr:rowOff>161925</xdr:rowOff>
    </xdr:from>
    <xdr:to>
      <xdr:col>43</xdr:col>
      <xdr:colOff>479198</xdr:colOff>
      <xdr:row>21</xdr:row>
      <xdr:rowOff>57150</xdr:rowOff>
    </xdr:to>
    <xdr:sp macro="" textlink="">
      <xdr:nvSpPr>
        <xdr:cNvPr id="9" name="吹き出し: 角を丸めた四角形 69">
          <a:extLst>
            <a:ext uri="{FF2B5EF4-FFF2-40B4-BE49-F238E27FC236}">
              <a16:creationId xmlns:a16="http://schemas.microsoft.com/office/drawing/2014/main" id="{6999A8BC-EC1E-459A-B9CC-724ACFD68A44}"/>
            </a:ext>
          </a:extLst>
        </xdr:cNvPr>
        <xdr:cNvSpPr/>
      </xdr:nvSpPr>
      <xdr:spPr>
        <a:xfrm>
          <a:off x="17145000" y="2390775"/>
          <a:ext cx="4451123" cy="2619375"/>
        </a:xfrm>
        <a:prstGeom prst="wedgeRoundRectCallout">
          <a:avLst>
            <a:gd name="adj1" fmla="val -57770"/>
            <a:gd name="adj2" fmla="val -4896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別表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・「基幹設備」列</a:t>
          </a:r>
          <a:r>
            <a:rPr kumimoji="1" lang="en-US" altLang="ja-JP" sz="1400" b="0">
              <a:solidFill>
                <a:sysClr val="windowText" lastClr="000000"/>
              </a:solidFill>
              <a:latin typeface="Meiryo UI" panose="020B0604030504040204" pitchFamily="50" charset="-128"/>
              <a:ea typeface="Meiryo UI" panose="020B0604030504040204" pitchFamily="50" charset="-128"/>
            </a:rPr>
            <a:t>(H</a:t>
          </a:r>
          <a:r>
            <a:rPr kumimoji="1" lang="ja-JP" altLang="en-US" sz="1400" b="0">
              <a:solidFill>
                <a:sysClr val="windowText" lastClr="000000"/>
              </a:solidFill>
              <a:latin typeface="Meiryo UI" panose="020B0604030504040204" pitchFamily="50" charset="-128"/>
              <a:ea typeface="Meiryo UI" panose="020B0604030504040204" pitchFamily="50" charset="-128"/>
            </a:rPr>
            <a:t>列</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に該当する施設は</a:t>
          </a:r>
          <a:r>
            <a:rPr kumimoji="1" lang="en-US" altLang="ja-JP" sz="1400" b="0">
              <a:solidFill>
                <a:sysClr val="windowText" lastClr="000000"/>
              </a:solidFill>
              <a:latin typeface="Meiryo UI" panose="020B0604030504040204" pitchFamily="50" charset="-128"/>
              <a:ea typeface="Meiryo UI" panose="020B0604030504040204" pitchFamily="50" charset="-128"/>
            </a:rPr>
            <a:t>V</a:t>
          </a:r>
          <a:r>
            <a:rPr kumimoji="1" lang="ja-JP" altLang="en-US" sz="1400" b="0">
              <a:solidFill>
                <a:sysClr val="windowText" lastClr="000000"/>
              </a:solidFill>
              <a:latin typeface="Meiryo UI" panose="020B0604030504040204" pitchFamily="50" charset="-128"/>
              <a:ea typeface="Meiryo UI" panose="020B0604030504040204" pitchFamily="50" charset="-128"/>
            </a:rPr>
            <a:t>列に</a:t>
          </a:r>
          <a:r>
            <a:rPr kumimoji="1" lang="en-US" altLang="ja-JP" sz="1400" b="0">
              <a:solidFill>
                <a:sysClr val="windowText" lastClr="000000"/>
              </a:solidFill>
              <a:latin typeface="Meiryo UI" panose="020B0604030504040204" pitchFamily="50" charset="-128"/>
              <a:ea typeface="Meiryo UI" panose="020B0604030504040204" pitchFamily="50" charset="-128"/>
            </a:rPr>
            <a:t>"1"</a:t>
          </a:r>
          <a:r>
            <a:rPr kumimoji="1" lang="ja-JP" altLang="en-US" sz="1400" b="0">
              <a:solidFill>
                <a:sysClr val="windowText" lastClr="000000"/>
              </a:solidFill>
              <a:latin typeface="Meiryo UI" panose="020B0604030504040204" pitchFamily="50" charset="-128"/>
              <a:ea typeface="Meiryo UI" panose="020B0604030504040204" pitchFamily="50" charset="-128"/>
            </a:rPr>
            <a:t>が表示されます。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V</a:t>
          </a:r>
          <a:r>
            <a:rPr kumimoji="1" lang="ja-JP" altLang="en-US" sz="1400" b="0">
              <a:solidFill>
                <a:sysClr val="windowText" lastClr="000000"/>
              </a:solidFill>
              <a:latin typeface="Meiryo UI" panose="020B0604030504040204" pitchFamily="50" charset="-128"/>
              <a:ea typeface="Meiryo UI" panose="020B0604030504040204" pitchFamily="50" charset="-128"/>
            </a:rPr>
            <a:t>列に</a:t>
          </a:r>
          <a:r>
            <a:rPr kumimoji="1" lang="en-US" altLang="ja-JP" sz="1400" b="0">
              <a:solidFill>
                <a:sysClr val="windowText" lastClr="000000"/>
              </a:solidFill>
              <a:latin typeface="Meiryo UI" panose="020B0604030504040204" pitchFamily="50" charset="-128"/>
              <a:ea typeface="Meiryo UI" panose="020B0604030504040204" pitchFamily="50" charset="-128"/>
            </a:rPr>
            <a:t>"1"</a:t>
          </a:r>
          <a:r>
            <a:rPr kumimoji="1" lang="ja-JP" altLang="en-US" sz="1400" b="0">
              <a:solidFill>
                <a:sysClr val="windowText" lastClr="000000"/>
              </a:solidFill>
              <a:latin typeface="Meiryo UI" panose="020B0604030504040204" pitchFamily="50" charset="-128"/>
              <a:ea typeface="Meiryo UI" panose="020B0604030504040204" pitchFamily="50" charset="-128"/>
            </a:rPr>
            <a:t>が表示された施設は、表作成ツール内の</a:t>
          </a:r>
          <a:r>
            <a:rPr kumimoji="1" lang="en-US" altLang="ja-JP" sz="1400" b="0">
              <a:solidFill>
                <a:sysClr val="windowText" lastClr="000000"/>
              </a:solidFill>
              <a:latin typeface="Meiryo UI" panose="020B0604030504040204" pitchFamily="50" charset="-128"/>
              <a:ea typeface="Meiryo UI" panose="020B0604030504040204" pitchFamily="50" charset="-128"/>
            </a:rPr>
            <a:t>"4.1(2)</a:t>
          </a:r>
          <a:r>
            <a:rPr kumimoji="1" lang="ja-JP" altLang="en-US" sz="1400" b="0">
              <a:solidFill>
                <a:sysClr val="windowText" lastClr="000000"/>
              </a:solidFill>
              <a:latin typeface="Meiryo UI" panose="020B0604030504040204" pitchFamily="50" charset="-128"/>
              <a:ea typeface="Meiryo UI" panose="020B0604030504040204" pitchFamily="50" charset="-128"/>
            </a:rPr>
            <a:t>新規の再エネ発電設備の導入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別表</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シートに検討内容の詳細を記載してください。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・なお、</a:t>
          </a:r>
          <a:r>
            <a:rPr kumimoji="1" lang="en-US" altLang="ja-JP" sz="1400" b="0">
              <a:solidFill>
                <a:sysClr val="windowText" lastClr="000000"/>
              </a:solidFill>
              <a:latin typeface="Meiryo UI" panose="020B0604030504040204" pitchFamily="50" charset="-128"/>
              <a:ea typeface="Meiryo UI" panose="020B0604030504040204" pitchFamily="50" charset="-128"/>
            </a:rPr>
            <a:t>V</a:t>
          </a:r>
          <a:r>
            <a:rPr kumimoji="1" lang="ja-JP" altLang="en-US" sz="1400" b="0">
              <a:solidFill>
                <a:sysClr val="windowText" lastClr="000000"/>
              </a:solidFill>
              <a:latin typeface="Meiryo UI" panose="020B0604030504040204" pitchFamily="50" charset="-128"/>
              <a:ea typeface="Meiryo UI" panose="020B0604030504040204" pitchFamily="50" charset="-128"/>
            </a:rPr>
            <a:t>列は様式１に貼り付ける必要はありません。</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xdr:col>
      <xdr:colOff>95250</xdr:colOff>
      <xdr:row>21</xdr:row>
      <xdr:rowOff>209550</xdr:rowOff>
    </xdr:from>
    <xdr:to>
      <xdr:col>7</xdr:col>
      <xdr:colOff>505586</xdr:colOff>
      <xdr:row>32</xdr:row>
      <xdr:rowOff>142875</xdr:rowOff>
    </xdr:to>
    <xdr:sp macro="" textlink="">
      <xdr:nvSpPr>
        <xdr:cNvPr id="10" name="吹き出し: 角を丸めた四角形 62">
          <a:extLst>
            <a:ext uri="{FF2B5EF4-FFF2-40B4-BE49-F238E27FC236}">
              <a16:creationId xmlns:a16="http://schemas.microsoft.com/office/drawing/2014/main" id="{4FB8220F-4215-43BA-A35C-9402816AD717}"/>
            </a:ext>
          </a:extLst>
        </xdr:cNvPr>
        <xdr:cNvSpPr/>
      </xdr:nvSpPr>
      <xdr:spPr>
        <a:xfrm>
          <a:off x="476250" y="5419725"/>
          <a:ext cx="3963161" cy="2124075"/>
        </a:xfrm>
        <a:prstGeom prst="wedgeRoundRectCallout">
          <a:avLst>
            <a:gd name="adj1" fmla="val -59542"/>
            <a:gd name="adj2" fmla="val 10015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rgbClr val="FF0000"/>
              </a:solidFill>
              <a:latin typeface="Meiryo UI" panose="020B0604030504040204" pitchFamily="50" charset="-128"/>
              <a:ea typeface="Meiryo UI" panose="020B0604030504040204" pitchFamily="50" charset="-128"/>
            </a:rPr>
            <a:t>行追加の際の注意点</a:t>
          </a:r>
          <a:endParaRPr kumimoji="1" lang="en-US" altLang="ja-JP" sz="1400" b="0">
            <a:solidFill>
              <a:srgbClr val="FF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行の追加</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行コピー＆挿入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をする際は、同じ設置場所の行をコピーして挿入するようにしてください。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例えば、「宿泊施設」に行追加する場合は、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「公共施設」など他項目の行ではなく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「宿泊施設」の行をコピーして挿入するようにお願いいたします。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22</xdr:col>
      <xdr:colOff>219075</xdr:colOff>
      <xdr:row>139</xdr:row>
      <xdr:rowOff>47625</xdr:rowOff>
    </xdr:from>
    <xdr:to>
      <xdr:col>46</xdr:col>
      <xdr:colOff>622978</xdr:colOff>
      <xdr:row>158</xdr:row>
      <xdr:rowOff>663108</xdr:rowOff>
    </xdr:to>
    <xdr:sp macro="" textlink="">
      <xdr:nvSpPr>
        <xdr:cNvPr id="12" name="吹き出し: 角を丸めた四角形 62">
          <a:extLst>
            <a:ext uri="{FF2B5EF4-FFF2-40B4-BE49-F238E27FC236}">
              <a16:creationId xmlns:a16="http://schemas.microsoft.com/office/drawing/2014/main" id="{18AFB04D-1680-4D89-8ACF-452684A57742}"/>
            </a:ext>
          </a:extLst>
        </xdr:cNvPr>
        <xdr:cNvSpPr/>
      </xdr:nvSpPr>
      <xdr:spPr>
        <a:xfrm>
          <a:off x="17221200" y="32975550"/>
          <a:ext cx="6576103" cy="5949483"/>
        </a:xfrm>
        <a:prstGeom prst="wedgeRoundRectCallout">
          <a:avLst>
            <a:gd name="adj1" fmla="val -62047"/>
            <a:gd name="adj2" fmla="val -5041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バイオマス発電量</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「設備全体の発電量」に「バイオマス比率」を乗じた「バイオマス発電量」を再エネ設備の導入量として扱います。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導入する設備が建替え、広域化・集約化する場合、バイオマス発電量は「新規の再エネ発電設備」と「既存の再エネ発電設備」の</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項目に分けて計上してください。数値の算出については、以下の流れで行うようにしてください。</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（ア）建て替える前の既存の発電所又は広域化・集約化する既存の発電所の全体の発電量を算出する。</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（イ）（ア）の数値に既存発電所のバイオマス比率を乗ずる。</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（ウ）建替え、広域化・集約化される新規の発電所の全体の発電量を算出する。</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（エ）（ウ）の数値に新規発電所のバイオマス比率を乗ずる。</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（オ）（イ）の結果と（エ）の結果を比較し、新規に増加した発電量を算出する。</a:t>
          </a:r>
        </a:p>
        <a:p>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 </a:t>
          </a:r>
          <a:endParaRPr lang="ja-JP" altLang="ja-JP" sz="1400">
            <a:solidFill>
              <a:sysClr val="windowText" lastClr="000000"/>
            </a:solidFill>
            <a:effectLst/>
            <a:latin typeface="Meiryo UI" panose="020B0604030504040204" pitchFamily="50" charset="-128"/>
            <a:ea typeface="Meiryo UI" panose="020B0604030504040204" pitchFamily="50" charset="-128"/>
            <a:cs typeface="+mn-cs"/>
          </a:endParaRP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　表中の“設備全体の発電量”には（ウ）の数値を記載し、“バイオマス発電量”には（オ）の数値を記載してください。なお、（イ）の発電量は「既存の再エネ発電設備」の発電量として、「</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(3)</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流用可能な既存の再エネ発電設備の状況」に記載してください。</a:t>
          </a:r>
          <a:endParaRPr kumimoji="1" lang="en-US" altLang="ja-JP" sz="18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7</xdr:col>
      <xdr:colOff>44903</xdr:colOff>
      <xdr:row>129</xdr:row>
      <xdr:rowOff>28575</xdr:rowOff>
    </xdr:from>
    <xdr:to>
      <xdr:col>11</xdr:col>
      <xdr:colOff>771977</xdr:colOff>
      <xdr:row>136</xdr:row>
      <xdr:rowOff>232893</xdr:rowOff>
    </xdr:to>
    <xdr:sp macro="" textlink="">
      <xdr:nvSpPr>
        <xdr:cNvPr id="13" name="吹き出し: 角を丸めた四角形 62">
          <a:extLst>
            <a:ext uri="{FF2B5EF4-FFF2-40B4-BE49-F238E27FC236}">
              <a16:creationId xmlns:a16="http://schemas.microsoft.com/office/drawing/2014/main" id="{E36BEB88-9481-490E-BB5D-2442E975D3B4}"/>
            </a:ext>
          </a:extLst>
        </xdr:cNvPr>
        <xdr:cNvSpPr/>
      </xdr:nvSpPr>
      <xdr:spPr>
        <a:xfrm>
          <a:off x="3978728" y="30175200"/>
          <a:ext cx="5184774" cy="1794993"/>
        </a:xfrm>
        <a:prstGeom prst="wedgeRoundRectCallout">
          <a:avLst>
            <a:gd name="adj1" fmla="val 27749"/>
            <a:gd name="adj2" fmla="val 6119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電源</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FIT</a:t>
          </a:r>
          <a:r>
            <a:rPr kumimoji="1" lang="ja-JP" altLang="en-US" sz="1400" b="0">
              <a:solidFill>
                <a:sysClr val="windowText" lastClr="000000"/>
              </a:solidFill>
              <a:latin typeface="Meiryo UI" panose="020B0604030504040204" pitchFamily="50" charset="-128"/>
              <a:ea typeface="Meiryo UI" panose="020B0604030504040204" pitchFamily="50" charset="-128"/>
            </a:rPr>
            <a:t>：施設が</a:t>
          </a:r>
          <a:r>
            <a:rPr kumimoji="1" lang="en-US" altLang="ja-JP" sz="1400" b="0">
              <a:solidFill>
                <a:sysClr val="windowText" lastClr="000000"/>
              </a:solidFill>
              <a:latin typeface="Meiryo UI" panose="020B0604030504040204" pitchFamily="50" charset="-128"/>
              <a:ea typeface="Meiryo UI" panose="020B0604030504040204" pitchFamily="50" charset="-128"/>
            </a:rPr>
            <a:t>FIT</a:t>
          </a:r>
          <a:r>
            <a:rPr kumimoji="1" lang="ja-JP" altLang="en-US" sz="1400" b="0">
              <a:solidFill>
                <a:sysClr val="windowText" lastClr="000000"/>
              </a:solidFill>
              <a:latin typeface="Meiryo UI" panose="020B0604030504040204" pitchFamily="50" charset="-128"/>
              <a:ea typeface="Meiryo UI" panose="020B0604030504040204" pitchFamily="50" charset="-128"/>
            </a:rPr>
            <a:t>電源に該当する場合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FIP</a:t>
          </a:r>
          <a:r>
            <a:rPr kumimoji="1" lang="ja-JP" altLang="en-US" sz="1400" b="0">
              <a:solidFill>
                <a:sysClr val="windowText" lastClr="000000"/>
              </a:solidFill>
              <a:latin typeface="Meiryo UI" panose="020B0604030504040204" pitchFamily="50" charset="-128"/>
              <a:ea typeface="Meiryo UI" panose="020B0604030504040204" pitchFamily="50" charset="-128"/>
            </a:rPr>
            <a:t>：施設が</a:t>
          </a:r>
          <a:r>
            <a:rPr kumimoji="1" lang="en-US" altLang="ja-JP" sz="1400" b="0">
              <a:solidFill>
                <a:sysClr val="windowText" lastClr="000000"/>
              </a:solidFill>
              <a:latin typeface="Meiryo UI" panose="020B0604030504040204" pitchFamily="50" charset="-128"/>
              <a:ea typeface="Meiryo UI" panose="020B0604030504040204" pitchFamily="50" charset="-128"/>
            </a:rPr>
            <a:t>FIP</a:t>
          </a:r>
          <a:r>
            <a:rPr kumimoji="1" lang="ja-JP" altLang="en-US" sz="1400" b="0">
              <a:solidFill>
                <a:sysClr val="windowText" lastClr="000000"/>
              </a:solidFill>
              <a:latin typeface="Meiryo UI" panose="020B0604030504040204" pitchFamily="50" charset="-128"/>
              <a:ea typeface="Meiryo UI" panose="020B0604030504040204" pitchFamily="50" charset="-128"/>
            </a:rPr>
            <a:t>電源に該当する場合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・非該当：施設が</a:t>
          </a:r>
          <a:r>
            <a:rPr kumimoji="1" lang="en-US" altLang="ja-JP" sz="1400" b="0">
              <a:solidFill>
                <a:sysClr val="windowText" lastClr="000000"/>
              </a:solidFill>
              <a:latin typeface="Meiryo UI" panose="020B0604030504040204" pitchFamily="50" charset="-128"/>
              <a:ea typeface="Meiryo UI" panose="020B0604030504040204" pitchFamily="50" charset="-128"/>
            </a:rPr>
            <a:t>FIT</a:t>
          </a:r>
          <a:r>
            <a:rPr kumimoji="1" lang="ja-JP" altLang="en-US" sz="1400" b="0">
              <a:solidFill>
                <a:sysClr val="windowText" lastClr="000000"/>
              </a:solidFill>
              <a:latin typeface="Meiryo UI" panose="020B0604030504040204" pitchFamily="50" charset="-128"/>
              <a:ea typeface="Meiryo UI" panose="020B0604030504040204" pitchFamily="50" charset="-128"/>
            </a:rPr>
            <a:t>電源と</a:t>
          </a:r>
          <a:r>
            <a:rPr kumimoji="1" lang="en-US" altLang="ja-JP" sz="1400" b="0">
              <a:solidFill>
                <a:sysClr val="windowText" lastClr="000000"/>
              </a:solidFill>
              <a:latin typeface="Meiryo UI" panose="020B0604030504040204" pitchFamily="50" charset="-128"/>
              <a:ea typeface="Meiryo UI" panose="020B0604030504040204" pitchFamily="50" charset="-128"/>
            </a:rPr>
            <a:t>FIP</a:t>
          </a:r>
          <a:r>
            <a:rPr kumimoji="1" lang="ja-JP" altLang="en-US" sz="1400" b="0">
              <a:solidFill>
                <a:sysClr val="windowText" lastClr="000000"/>
              </a:solidFill>
              <a:latin typeface="Meiryo UI" panose="020B0604030504040204" pitchFamily="50" charset="-128"/>
              <a:ea typeface="Meiryo UI" panose="020B0604030504040204" pitchFamily="50" charset="-128"/>
            </a:rPr>
            <a:t>電源のどちらにも該当しない場合</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以上の３つのいずれかを記載してください。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134791</xdr:colOff>
      <xdr:row>149</xdr:row>
      <xdr:rowOff>209550</xdr:rowOff>
    </xdr:from>
    <xdr:to>
      <xdr:col>7</xdr:col>
      <xdr:colOff>882195</xdr:colOff>
      <xdr:row>156</xdr:row>
      <xdr:rowOff>189741</xdr:rowOff>
    </xdr:to>
    <xdr:sp macro="" textlink="">
      <xdr:nvSpPr>
        <xdr:cNvPr id="14" name="吹き出し: 角を丸めた四角形 62">
          <a:extLst>
            <a:ext uri="{FF2B5EF4-FFF2-40B4-BE49-F238E27FC236}">
              <a16:creationId xmlns:a16="http://schemas.microsoft.com/office/drawing/2014/main" id="{D38892C9-5F35-43AA-821F-49C467582F8C}"/>
            </a:ext>
          </a:extLst>
        </xdr:cNvPr>
        <xdr:cNvSpPr/>
      </xdr:nvSpPr>
      <xdr:spPr>
        <a:xfrm>
          <a:off x="134791" y="34232850"/>
          <a:ext cx="4681229" cy="1685166"/>
        </a:xfrm>
        <a:prstGeom prst="wedgeRoundRectCallout">
          <a:avLst>
            <a:gd name="adj1" fmla="val -26403"/>
            <a:gd name="adj2" fmla="val -9800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その他発電</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上記表に項目の記載がある発電以外の発電方法を記載する場合、発電種類を記載ください。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また、設置場所の項目にも、「○○発電（設置場所）」のように発電種類と設置場所を記載してください。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0</xdr:col>
      <xdr:colOff>104775</xdr:colOff>
      <xdr:row>158</xdr:row>
      <xdr:rowOff>485775</xdr:rowOff>
    </xdr:from>
    <xdr:to>
      <xdr:col>7</xdr:col>
      <xdr:colOff>852179</xdr:colOff>
      <xdr:row>162</xdr:row>
      <xdr:rowOff>114300</xdr:rowOff>
    </xdr:to>
    <xdr:sp macro="" textlink="">
      <xdr:nvSpPr>
        <xdr:cNvPr id="15" name="吹き出し: 角を丸めた四角形 62">
          <a:extLst>
            <a:ext uri="{FF2B5EF4-FFF2-40B4-BE49-F238E27FC236}">
              <a16:creationId xmlns:a16="http://schemas.microsoft.com/office/drawing/2014/main" id="{4518120B-274A-4EAF-8E2B-DE866B0747C5}"/>
            </a:ext>
          </a:extLst>
        </xdr:cNvPr>
        <xdr:cNvSpPr/>
      </xdr:nvSpPr>
      <xdr:spPr>
        <a:xfrm>
          <a:off x="104775" y="38585775"/>
          <a:ext cx="4681229" cy="866775"/>
        </a:xfrm>
        <a:prstGeom prst="wedgeRoundRectCallout">
          <a:avLst>
            <a:gd name="adj1" fmla="val -29455"/>
            <a:gd name="adj2" fmla="val -105202"/>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民生部門以外の電力取組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民生部門以外で発電する取組があれば、こちらに記載ください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14</xdr:col>
      <xdr:colOff>419100</xdr:colOff>
      <xdr:row>99</xdr:row>
      <xdr:rowOff>171450</xdr:rowOff>
    </xdr:from>
    <xdr:to>
      <xdr:col>21</xdr:col>
      <xdr:colOff>578829</xdr:colOff>
      <xdr:row>107</xdr:row>
      <xdr:rowOff>292276</xdr:rowOff>
    </xdr:to>
    <xdr:sp macro="" textlink="">
      <xdr:nvSpPr>
        <xdr:cNvPr id="11" name="吹き出し: 角を丸めた四角形 62">
          <a:extLst>
            <a:ext uri="{FF2B5EF4-FFF2-40B4-BE49-F238E27FC236}">
              <a16:creationId xmlns:a16="http://schemas.microsoft.com/office/drawing/2014/main" id="{159DD536-7F1F-49A9-8724-AB2C56569FCD}"/>
            </a:ext>
          </a:extLst>
        </xdr:cNvPr>
        <xdr:cNvSpPr/>
      </xdr:nvSpPr>
      <xdr:spPr>
        <a:xfrm>
          <a:off x="11487150" y="22240875"/>
          <a:ext cx="5408004" cy="2092501"/>
        </a:xfrm>
        <a:prstGeom prst="wedgeRoundRectCallout">
          <a:avLst>
            <a:gd name="adj1" fmla="val -44653"/>
            <a:gd name="adj2" fmla="val -7320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契約電力区分（水力発電）</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・低圧：導入設備の設備能力が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未満</a:t>
          </a:r>
          <a:r>
            <a:rPr lang="ja-JP" altLang="en-US" sz="1400">
              <a:solidFill>
                <a:sysClr val="windowText" lastClr="000000"/>
              </a:solidFill>
              <a:effectLst/>
              <a:latin typeface="Meiryo UI" panose="020B0604030504040204" pitchFamily="50" charset="-128"/>
              <a:ea typeface="Meiryo UI" panose="020B0604030504040204" pitchFamily="50" charset="-128"/>
              <a:cs typeface="+mn-cs"/>
            </a:rPr>
            <a:t>及び最大使用流量が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1m3/s</a:t>
          </a:r>
          <a:r>
            <a:rPr lang="ja-JP" altLang="en-US" sz="1400">
              <a:solidFill>
                <a:sysClr val="windowText" lastClr="000000"/>
              </a:solidFill>
              <a:effectLst/>
              <a:latin typeface="Meiryo UI" panose="020B0604030504040204" pitchFamily="50" charset="-128"/>
              <a:ea typeface="Meiryo UI" panose="020B0604030504040204" pitchFamily="50" charset="-128"/>
              <a:cs typeface="+mn-cs"/>
            </a:rPr>
            <a:t>未満</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a:t>
          </a:r>
          <a:r>
            <a:rPr lang="ja-JP" altLang="en-US" sz="1400">
              <a:solidFill>
                <a:sysClr val="windowText" lastClr="000000"/>
              </a:solidFill>
              <a:effectLst/>
              <a:latin typeface="Meiryo UI" panose="020B0604030504040204" pitchFamily="50" charset="-128"/>
              <a:ea typeface="Meiryo UI" panose="020B0604030504040204" pitchFamily="50" charset="-128"/>
              <a:cs typeface="+mn-cs"/>
            </a:rPr>
            <a:t>ダムを伴うものを除く</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の場合</a:t>
          </a: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・高圧：導入設備の設備能力が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以上、</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2,000kW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未満の場合</a:t>
          </a: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・特別高圧：導入設備の設備能力が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2,000kW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以上の場合</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から選択してください。</a:t>
          </a:r>
        </a:p>
      </xdr:txBody>
    </xdr:sp>
    <xdr:clientData/>
  </xdr:twoCellAnchor>
  <xdr:twoCellAnchor editAs="oneCell">
    <xdr:from>
      <xdr:col>14</xdr:col>
      <xdr:colOff>437630</xdr:colOff>
      <xdr:row>111</xdr:row>
      <xdr:rowOff>26077</xdr:rowOff>
    </xdr:from>
    <xdr:to>
      <xdr:col>21</xdr:col>
      <xdr:colOff>597359</xdr:colOff>
      <xdr:row>117</xdr:row>
      <xdr:rowOff>310736</xdr:rowOff>
    </xdr:to>
    <xdr:sp macro="" textlink="">
      <xdr:nvSpPr>
        <xdr:cNvPr id="16" name="吹き出し: 角を丸めた四角形 62">
          <a:extLst>
            <a:ext uri="{FF2B5EF4-FFF2-40B4-BE49-F238E27FC236}">
              <a16:creationId xmlns:a16="http://schemas.microsoft.com/office/drawing/2014/main" id="{39EEA281-A6A2-4F70-B309-C60CF0FB364A}"/>
            </a:ext>
          </a:extLst>
        </xdr:cNvPr>
        <xdr:cNvSpPr/>
      </xdr:nvSpPr>
      <xdr:spPr>
        <a:xfrm>
          <a:off x="11505680" y="25305427"/>
          <a:ext cx="5408004" cy="1761034"/>
        </a:xfrm>
        <a:prstGeom prst="wedgeRoundRectCallout">
          <a:avLst>
            <a:gd name="adj1" fmla="val -45068"/>
            <a:gd name="adj2" fmla="val -86013"/>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契約電力区分（風力発電）</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・低圧：導入設備の設備能力が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未満の場合</a:t>
          </a: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・高圧：導入設備の設備能力が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以上、</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2,000kW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未満の場合</a:t>
          </a:r>
        </a:p>
        <a:p>
          <a:pPr algn="l"/>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・特別高圧：導入設備の設備能力が</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2,000kW</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以上の場合</a:t>
          </a: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から選択してください。</a:t>
          </a:r>
        </a:p>
      </xdr:txBody>
    </xdr:sp>
    <xdr:clientData/>
  </xdr:twoCellAnchor>
  <xdr:twoCellAnchor editAs="absolute">
    <xdr:from>
      <xdr:col>1</xdr:col>
      <xdr:colOff>104775</xdr:colOff>
      <xdr:row>91</xdr:row>
      <xdr:rowOff>114300</xdr:rowOff>
    </xdr:from>
    <xdr:to>
      <xdr:col>8</xdr:col>
      <xdr:colOff>749755</xdr:colOff>
      <xdr:row>93</xdr:row>
      <xdr:rowOff>166007</xdr:rowOff>
    </xdr:to>
    <xdr:sp macro="" textlink="">
      <xdr:nvSpPr>
        <xdr:cNvPr id="17" name="吹き出し: 角を丸めた四角形 4">
          <a:extLst>
            <a:ext uri="{FF2B5EF4-FFF2-40B4-BE49-F238E27FC236}">
              <a16:creationId xmlns:a16="http://schemas.microsoft.com/office/drawing/2014/main" id="{655F752A-E01C-4816-ACE0-5DFB0760920C}"/>
            </a:ext>
          </a:extLst>
        </xdr:cNvPr>
        <xdr:cNvSpPr/>
      </xdr:nvSpPr>
      <xdr:spPr>
        <a:xfrm>
          <a:off x="285750" y="20107275"/>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absolute">
    <xdr:from>
      <xdr:col>0</xdr:col>
      <xdr:colOff>47625</xdr:colOff>
      <xdr:row>0</xdr:row>
      <xdr:rowOff>57150</xdr:rowOff>
    </xdr:from>
    <xdr:to>
      <xdr:col>9</xdr:col>
      <xdr:colOff>742615</xdr:colOff>
      <xdr:row>6</xdr:row>
      <xdr:rowOff>304315</xdr:rowOff>
    </xdr:to>
    <xdr:sp macro="" textlink="">
      <xdr:nvSpPr>
        <xdr:cNvPr id="18" name="四角形: 角を丸くする 17">
          <a:extLst>
            <a:ext uri="{FF2B5EF4-FFF2-40B4-BE49-F238E27FC236}">
              <a16:creationId xmlns:a16="http://schemas.microsoft.com/office/drawing/2014/main" id="{2EFC74BF-46E3-40A0-A3AC-D692D4177336}"/>
            </a:ext>
          </a:extLst>
        </xdr:cNvPr>
        <xdr:cNvSpPr/>
      </xdr:nvSpPr>
      <xdr:spPr>
        <a:xfrm>
          <a:off x="47625" y="57150"/>
          <a:ext cx="6848140" cy="1771165"/>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u="sng">
              <a:solidFill>
                <a:sysClr val="windowText" lastClr="000000"/>
              </a:solidFill>
              <a:latin typeface="Meiryo UI" panose="020B0604030504040204" pitchFamily="50" charset="-128"/>
              <a:ea typeface="Meiryo UI" panose="020B0604030504040204" pitchFamily="50" charset="-128"/>
              <a:cs typeface="+mn-cs"/>
            </a:rPr>
            <a:t>注意事項（作成前にお読みください）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・各設備の情報に入力漏れがある場合、設備導入の実現可能性の自動判定において、</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　判定が出力されないことや誤った判定が出力されることがあります。</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・全設備の全情報の入力を完了すると正しい判定が出力されるため、　入力漏れがないように</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ご注意ください。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endParaRPr kumimoji="1" lang="ja-JP" altLang="en-US"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editAs="oneCell">
    <xdr:from>
      <xdr:col>5</xdr:col>
      <xdr:colOff>571500</xdr:colOff>
      <xdr:row>97</xdr:row>
      <xdr:rowOff>85725</xdr:rowOff>
    </xdr:from>
    <xdr:to>
      <xdr:col>8</xdr:col>
      <xdr:colOff>943736</xdr:colOff>
      <xdr:row>105</xdr:row>
      <xdr:rowOff>85725</xdr:rowOff>
    </xdr:to>
    <xdr:sp macro="" textlink="">
      <xdr:nvSpPr>
        <xdr:cNvPr id="19" name="吹き出し: 角を丸めた四角形 62">
          <a:extLst>
            <a:ext uri="{FF2B5EF4-FFF2-40B4-BE49-F238E27FC236}">
              <a16:creationId xmlns:a16="http://schemas.microsoft.com/office/drawing/2014/main" id="{FF7B8502-7EAF-485C-BA64-E83FE0550B72}"/>
            </a:ext>
          </a:extLst>
        </xdr:cNvPr>
        <xdr:cNvSpPr/>
      </xdr:nvSpPr>
      <xdr:spPr>
        <a:xfrm>
          <a:off x="1857375" y="21488400"/>
          <a:ext cx="3963161" cy="2124075"/>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rgbClr val="FF0000"/>
              </a:solidFill>
              <a:latin typeface="Meiryo UI" panose="020B0604030504040204" pitchFamily="50" charset="-128"/>
              <a:ea typeface="Meiryo UI" panose="020B0604030504040204" pitchFamily="50" charset="-128"/>
            </a:rPr>
            <a:t>行追加の際の注意点</a:t>
          </a:r>
          <a:endParaRPr kumimoji="1" lang="en-US" altLang="ja-JP" sz="1400" b="0">
            <a:solidFill>
              <a:srgbClr val="FF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行の追加</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行コピー＆挿入</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をする際は、同じ発電種別の行をコピーして挿入するようにしてください。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例えば、「水力発電」に行追加する場合は、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「風力発電」など他発電種別の行ではなく</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「水力発電」の行をコピーして挿入するようにお願いいたします。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504825</xdr:colOff>
      <xdr:row>0</xdr:row>
      <xdr:rowOff>133350</xdr:rowOff>
    </xdr:from>
    <xdr:to>
      <xdr:col>15</xdr:col>
      <xdr:colOff>265641</xdr:colOff>
      <xdr:row>2</xdr:row>
      <xdr:rowOff>114792</xdr:rowOff>
    </xdr:to>
    <xdr:pic>
      <xdr:nvPicPr>
        <xdr:cNvPr id="2" name="図 1">
          <a:extLst>
            <a:ext uri="{FF2B5EF4-FFF2-40B4-BE49-F238E27FC236}">
              <a16:creationId xmlns:a16="http://schemas.microsoft.com/office/drawing/2014/main" id="{4AB81A65-1E74-469F-BC4A-6BDECD9A40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68200" y="133350"/>
          <a:ext cx="2323041" cy="895842"/>
        </a:xfrm>
        <a:prstGeom prst="rect">
          <a:avLst/>
        </a:prstGeom>
      </xdr:spPr>
    </xdr:pic>
    <xdr:clientData/>
  </xdr:twoCellAnchor>
  <xdr:twoCellAnchor editAs="absolute">
    <xdr:from>
      <xdr:col>2</xdr:col>
      <xdr:colOff>59870</xdr:colOff>
      <xdr:row>1</xdr:row>
      <xdr:rowOff>466725</xdr:rowOff>
    </xdr:from>
    <xdr:to>
      <xdr:col>8</xdr:col>
      <xdr:colOff>257175</xdr:colOff>
      <xdr:row>4</xdr:row>
      <xdr:rowOff>4082</xdr:rowOff>
    </xdr:to>
    <xdr:sp macro="" textlink="">
      <xdr:nvSpPr>
        <xdr:cNvPr id="3" name="吹き出し: 角を丸めた四角形 4">
          <a:extLst>
            <a:ext uri="{FF2B5EF4-FFF2-40B4-BE49-F238E27FC236}">
              <a16:creationId xmlns:a16="http://schemas.microsoft.com/office/drawing/2014/main" id="{4C4DC21C-339B-4173-9480-FD5A90CAAEA7}"/>
            </a:ext>
          </a:extLst>
        </xdr:cNvPr>
        <xdr:cNvSpPr/>
      </xdr:nvSpPr>
      <xdr:spPr>
        <a:xfrm>
          <a:off x="440870" y="771525"/>
          <a:ext cx="5340805" cy="489857"/>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oneCell">
    <xdr:from>
      <xdr:col>5</xdr:col>
      <xdr:colOff>1343025</xdr:colOff>
      <xdr:row>11</xdr:row>
      <xdr:rowOff>171450</xdr:rowOff>
    </xdr:from>
    <xdr:to>
      <xdr:col>9</xdr:col>
      <xdr:colOff>765857</xdr:colOff>
      <xdr:row>25</xdr:row>
      <xdr:rowOff>205467</xdr:rowOff>
    </xdr:to>
    <xdr:sp macro="" textlink="">
      <xdr:nvSpPr>
        <xdr:cNvPr id="6" name="吹き出し: 角を丸めた四角形 62">
          <a:extLst>
            <a:ext uri="{FF2B5EF4-FFF2-40B4-BE49-F238E27FC236}">
              <a16:creationId xmlns:a16="http://schemas.microsoft.com/office/drawing/2014/main" id="{C4BAF5A6-17BC-44D8-937C-C4B461E61C80}"/>
            </a:ext>
          </a:extLst>
        </xdr:cNvPr>
        <xdr:cNvSpPr/>
      </xdr:nvSpPr>
      <xdr:spPr>
        <a:xfrm>
          <a:off x="2495550" y="3267075"/>
          <a:ext cx="4680632" cy="2967717"/>
        </a:xfrm>
        <a:prstGeom prst="wedgeRoundRectCallout">
          <a:avLst>
            <a:gd name="adj1" fmla="val -25001"/>
            <a:gd name="adj2" fmla="val -8878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施設番号</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・設備情報シートで記載した施設番号をプルダウンから選択してください。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・選択された施設番号に関連する「設置場所」「基幹設備」「施設数」「契約電力区分」「発電量（</a:t>
          </a:r>
          <a:r>
            <a:rPr kumimoji="1" lang="en-US" altLang="ja-JP" sz="1400" b="0">
              <a:solidFill>
                <a:sysClr val="windowText" lastClr="000000"/>
              </a:solidFill>
              <a:latin typeface="Meiryo UI" panose="020B0604030504040204" pitchFamily="50" charset="-128"/>
              <a:ea typeface="Meiryo UI" panose="020B0604030504040204" pitchFamily="50" charset="-128"/>
            </a:rPr>
            <a:t>kWh</a:t>
          </a:r>
          <a:r>
            <a:rPr kumimoji="1" lang="ja-JP" altLang="en-US" sz="1400" b="0">
              <a:solidFill>
                <a:sysClr val="windowText" lastClr="000000"/>
              </a:solidFill>
              <a:latin typeface="Meiryo UI" panose="020B0604030504040204" pitchFamily="50" charset="-128"/>
              <a:ea typeface="Meiryo UI" panose="020B0604030504040204" pitchFamily="50" charset="-128"/>
            </a:rPr>
            <a:t>／年）」が自動で入力されます。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・設備情報シートで記載した設備をすべて本シートにも記載してください。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10</xdr:col>
      <xdr:colOff>123825</xdr:colOff>
      <xdr:row>11</xdr:row>
      <xdr:rowOff>142875</xdr:rowOff>
    </xdr:from>
    <xdr:to>
      <xdr:col>14</xdr:col>
      <xdr:colOff>1763487</xdr:colOff>
      <xdr:row>27</xdr:row>
      <xdr:rowOff>246742</xdr:rowOff>
    </xdr:to>
    <xdr:grpSp>
      <xdr:nvGrpSpPr>
        <xdr:cNvPr id="14" name="グループ化 13">
          <a:extLst>
            <a:ext uri="{FF2B5EF4-FFF2-40B4-BE49-F238E27FC236}">
              <a16:creationId xmlns:a16="http://schemas.microsoft.com/office/drawing/2014/main" id="{5AE1A9AD-78A2-EEBC-B329-A8969210B55E}"/>
            </a:ext>
          </a:extLst>
        </xdr:cNvPr>
        <xdr:cNvGrpSpPr/>
      </xdr:nvGrpSpPr>
      <xdr:grpSpPr>
        <a:xfrm>
          <a:off x="7578725" y="3254375"/>
          <a:ext cx="5944962" cy="3374117"/>
          <a:chOff x="7677150" y="6429375"/>
          <a:chExt cx="5944962" cy="3999592"/>
        </a:xfrm>
      </xdr:grpSpPr>
      <xdr:sp macro="" textlink="">
        <xdr:nvSpPr>
          <xdr:cNvPr id="8" name="吹き出し: 角を丸めた四角形 62">
            <a:extLst>
              <a:ext uri="{FF2B5EF4-FFF2-40B4-BE49-F238E27FC236}">
                <a16:creationId xmlns:a16="http://schemas.microsoft.com/office/drawing/2014/main" id="{E93CC8F9-17B5-CBCE-6238-3AADB4A10730}"/>
              </a:ext>
            </a:extLst>
          </xdr:cNvPr>
          <xdr:cNvSpPr/>
        </xdr:nvSpPr>
        <xdr:spPr>
          <a:xfrm>
            <a:off x="7677150" y="6429375"/>
            <a:ext cx="5944962" cy="3999592"/>
          </a:xfrm>
          <a:prstGeom prst="wedgeRoundRectCallout">
            <a:avLst>
              <a:gd name="adj1" fmla="val -16904"/>
              <a:gd name="adj2" fmla="val -80025"/>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en-US" altLang="ja-JP" sz="1400" b="0">
                <a:solidFill>
                  <a:sysClr val="windowText" lastClr="000000"/>
                </a:solidFill>
                <a:latin typeface="Meiryo UI" panose="020B0604030504040204" pitchFamily="50" charset="-128"/>
                <a:ea typeface="Meiryo UI" panose="020B0604030504040204" pitchFamily="50" charset="-128"/>
              </a:rPr>
              <a:t>FS</a:t>
            </a:r>
            <a:r>
              <a:rPr kumimoji="1" lang="ja-JP" altLang="en-US" sz="1400" b="0">
                <a:solidFill>
                  <a:sysClr val="windowText" lastClr="000000"/>
                </a:solidFill>
                <a:latin typeface="Meiryo UI" panose="020B0604030504040204" pitchFamily="50" charset="-128"/>
                <a:ea typeface="Meiryo UI" panose="020B0604030504040204" pitchFamily="50" charset="-128"/>
              </a:rPr>
              <a:t>調査実施項目</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FS</a:t>
            </a:r>
            <a:r>
              <a:rPr kumimoji="1" lang="ja-JP" altLang="en-US" sz="1400" b="0">
                <a:solidFill>
                  <a:sysClr val="windowText" lastClr="000000"/>
                </a:solidFill>
                <a:latin typeface="Meiryo UI" panose="020B0604030504040204" pitchFamily="50" charset="-128"/>
                <a:ea typeface="Meiryo UI" panose="020B0604030504040204" pitchFamily="50" charset="-128"/>
              </a:rPr>
              <a:t>調査の進捗状況を以下の</a:t>
            </a:r>
            <a:r>
              <a:rPr kumimoji="1" lang="en-US" altLang="ja-JP" sz="1400" b="0">
                <a:solidFill>
                  <a:sysClr val="windowText" lastClr="000000"/>
                </a:solidFill>
                <a:latin typeface="Meiryo UI" panose="020B0604030504040204" pitchFamily="50" charset="-128"/>
                <a:ea typeface="Meiryo UI" panose="020B0604030504040204" pitchFamily="50" charset="-128"/>
              </a:rPr>
              <a:t>3</a:t>
            </a:r>
            <a:r>
              <a:rPr kumimoji="1" lang="ja-JP" altLang="en-US" sz="1400" b="0">
                <a:solidFill>
                  <a:sysClr val="windowText" lastClr="000000"/>
                </a:solidFill>
                <a:latin typeface="Meiryo UI" panose="020B0604030504040204" pitchFamily="50" charset="-128"/>
                <a:ea typeface="Meiryo UI" panose="020B0604030504040204" pitchFamily="50" charset="-128"/>
              </a:rPr>
              <a:t>項目に分けて回答してください。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・各調査実施状況の選択肢</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・設置場所において複数施設をまとめている場合、</a:t>
            </a:r>
            <a:r>
              <a:rPr kumimoji="1" lang="en-US" altLang="ja-JP" sz="1400" b="0">
                <a:solidFill>
                  <a:sysClr val="windowText" lastClr="000000"/>
                </a:solidFill>
                <a:latin typeface="Meiryo UI" panose="020B0604030504040204" pitchFamily="50" charset="-128"/>
                <a:ea typeface="Meiryo UI" panose="020B0604030504040204" pitchFamily="50" charset="-128"/>
              </a:rPr>
              <a:t>FS</a:t>
            </a:r>
            <a:r>
              <a:rPr kumimoji="1" lang="ja-JP" altLang="en-US" sz="1400" b="0">
                <a:solidFill>
                  <a:sysClr val="windowText" lastClr="000000"/>
                </a:solidFill>
                <a:latin typeface="Meiryo UI" panose="020B0604030504040204" pitchFamily="50" charset="-128"/>
                <a:ea typeface="Meiryo UI" panose="020B0604030504040204" pitchFamily="50" charset="-128"/>
              </a:rPr>
              <a:t>調査の進捗度が異なる施設でまとめられている際には、進捗が最も遅れているものを回答してください。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pic>
        <xdr:nvPicPr>
          <xdr:cNvPr id="13" name="図 12">
            <a:extLst>
              <a:ext uri="{FF2B5EF4-FFF2-40B4-BE49-F238E27FC236}">
                <a16:creationId xmlns:a16="http://schemas.microsoft.com/office/drawing/2014/main" id="{CEE7CEBA-1760-81F7-AC12-8E8DF5EE8A5D}"/>
              </a:ext>
            </a:extLst>
          </xdr:cNvPr>
          <xdr:cNvPicPr>
            <a:picLocks noChangeAspect="1"/>
          </xdr:cNvPicPr>
        </xdr:nvPicPr>
        <xdr:blipFill>
          <a:blip xmlns:r="http://schemas.openxmlformats.org/officeDocument/2006/relationships" r:embed="rId2"/>
          <a:stretch>
            <a:fillRect/>
          </a:stretch>
        </xdr:blipFill>
        <xdr:spPr>
          <a:xfrm>
            <a:off x="7839076" y="7807791"/>
            <a:ext cx="2990850" cy="1047896"/>
          </a:xfrm>
          <a:prstGeom prst="rect">
            <a:avLst/>
          </a:prstGeom>
        </xdr:spPr>
      </xdr:pic>
    </xdr:grpSp>
    <xdr:clientData/>
  </xdr:twoCellAnchor>
  <xdr:twoCellAnchor editAs="absolute">
    <xdr:from>
      <xdr:col>14</xdr:col>
      <xdr:colOff>2096861</xdr:colOff>
      <xdr:row>39</xdr:row>
      <xdr:rowOff>114300</xdr:rowOff>
    </xdr:from>
    <xdr:to>
      <xdr:col>32</xdr:col>
      <xdr:colOff>361950</xdr:colOff>
      <xdr:row>82</xdr:row>
      <xdr:rowOff>109950</xdr:rowOff>
    </xdr:to>
    <xdr:pic>
      <xdr:nvPicPr>
        <xdr:cNvPr id="15" name="図 1">
          <a:extLst>
            <a:ext uri="{FF2B5EF4-FFF2-40B4-BE49-F238E27FC236}">
              <a16:creationId xmlns:a16="http://schemas.microsoft.com/office/drawing/2014/main" id="{69E4D020-98FD-0ED0-422F-215EF10D6DA3}"/>
            </a:ext>
          </a:extLst>
        </xdr:cNvPr>
        <xdr:cNvPicPr>
          <a:picLocks noChangeAspect="1"/>
        </xdr:cNvPicPr>
      </xdr:nvPicPr>
      <xdr:blipFill>
        <a:blip xmlns:r="http://schemas.openxmlformats.org/officeDocument/2006/relationships" r:embed="rId3"/>
        <a:stretch>
          <a:fillRect/>
        </a:stretch>
      </xdr:blipFill>
      <xdr:spPr>
        <a:xfrm>
          <a:off x="13860236" y="8848725"/>
          <a:ext cx="7656739" cy="9349200"/>
        </a:xfrm>
        <a:prstGeom prst="rect">
          <a:avLst/>
        </a:prstGeom>
      </xdr:spPr>
    </xdr:pic>
    <xdr:clientData/>
  </xdr:twoCellAnchor>
  <xdr:twoCellAnchor editAs="absolute">
    <xdr:from>
      <xdr:col>14</xdr:col>
      <xdr:colOff>2211161</xdr:colOff>
      <xdr:row>83</xdr:row>
      <xdr:rowOff>28575</xdr:rowOff>
    </xdr:from>
    <xdr:to>
      <xdr:col>31</xdr:col>
      <xdr:colOff>666750</xdr:colOff>
      <xdr:row>116</xdr:row>
      <xdr:rowOff>34644</xdr:rowOff>
    </xdr:to>
    <xdr:pic>
      <xdr:nvPicPr>
        <xdr:cNvPr id="16" name="図 7">
          <a:extLst>
            <a:ext uri="{FF2B5EF4-FFF2-40B4-BE49-F238E27FC236}">
              <a16:creationId xmlns:a16="http://schemas.microsoft.com/office/drawing/2014/main" id="{FB53505C-A5F1-38A5-876A-3E4F827B2B10}"/>
            </a:ext>
          </a:extLst>
        </xdr:cNvPr>
        <xdr:cNvPicPr>
          <a:picLocks noChangeAspect="1"/>
        </xdr:cNvPicPr>
      </xdr:nvPicPr>
      <xdr:blipFill>
        <a:blip xmlns:r="http://schemas.openxmlformats.org/officeDocument/2006/relationships" r:embed="rId4"/>
        <a:stretch>
          <a:fillRect/>
        </a:stretch>
      </xdr:blipFill>
      <xdr:spPr>
        <a:xfrm>
          <a:off x="13974536" y="18364200"/>
          <a:ext cx="7161439" cy="7807044"/>
        </a:xfrm>
        <a:prstGeom prst="rect">
          <a:avLst/>
        </a:prstGeom>
      </xdr:spPr>
    </xdr:pic>
    <xdr:clientData/>
  </xdr:twoCellAnchor>
  <xdr:twoCellAnchor>
    <xdr:from>
      <xdr:col>14</xdr:col>
      <xdr:colOff>2133599</xdr:colOff>
      <xdr:row>12</xdr:row>
      <xdr:rowOff>104776</xdr:rowOff>
    </xdr:from>
    <xdr:to>
      <xdr:col>34</xdr:col>
      <xdr:colOff>142875</xdr:colOff>
      <xdr:row>36</xdr:row>
      <xdr:rowOff>238126</xdr:rowOff>
    </xdr:to>
    <xdr:grpSp>
      <xdr:nvGrpSpPr>
        <xdr:cNvPr id="12" name="グループ化 11">
          <a:extLst>
            <a:ext uri="{FF2B5EF4-FFF2-40B4-BE49-F238E27FC236}">
              <a16:creationId xmlns:a16="http://schemas.microsoft.com/office/drawing/2014/main" id="{F8402163-ABE8-3D4A-19F3-9548CEE216B7}"/>
            </a:ext>
          </a:extLst>
        </xdr:cNvPr>
        <xdr:cNvGrpSpPr/>
      </xdr:nvGrpSpPr>
      <xdr:grpSpPr>
        <a:xfrm>
          <a:off x="13896974" y="3473451"/>
          <a:ext cx="8769351" cy="5200650"/>
          <a:chOff x="6505575" y="3400852"/>
          <a:chExt cx="17545051" cy="4278926"/>
        </a:xfrm>
      </xdr:grpSpPr>
      <xdr:sp macro="" textlink="">
        <xdr:nvSpPr>
          <xdr:cNvPr id="11" name="吹き出し: 角を丸めた四角形 62">
            <a:extLst>
              <a:ext uri="{FF2B5EF4-FFF2-40B4-BE49-F238E27FC236}">
                <a16:creationId xmlns:a16="http://schemas.microsoft.com/office/drawing/2014/main" id="{A75D9DB4-18ED-0602-A94C-36B821635221}"/>
              </a:ext>
            </a:extLst>
          </xdr:cNvPr>
          <xdr:cNvSpPr/>
        </xdr:nvSpPr>
        <xdr:spPr>
          <a:xfrm>
            <a:off x="6505575" y="3400852"/>
            <a:ext cx="17545051" cy="4278926"/>
          </a:xfrm>
          <a:prstGeom prst="wedgeRoundRectCallout">
            <a:avLst>
              <a:gd name="adj1" fmla="val -46771"/>
              <a:gd name="adj2" fmla="val -7637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系統接続検討状況</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・再エネ発電設備の系統接続検討状況について、検討段階を回答してください。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・施設の系統接続のそれぞれの場合において、該当する内容を（単独の場合）と（一括プロセスの場合）のいずれかで、それぞれ検討状況を選択してください。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・系統接続の検討が不要である場合は、「検討不要」を選択ください。低圧で申込が完了している場合は「</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低圧</a:t>
            </a:r>
            <a:r>
              <a:rPr kumimoji="1" lang="en-US" altLang="ja-JP" sz="1400" b="0">
                <a:solidFill>
                  <a:sysClr val="windowText" lastClr="000000"/>
                </a:solidFill>
                <a:latin typeface="Meiryo UI" panose="020B0604030504040204" pitchFamily="50" charset="-128"/>
                <a:ea typeface="Meiryo UI" panose="020B0604030504040204" pitchFamily="50" charset="-128"/>
              </a:rPr>
              <a:t>)</a:t>
            </a:r>
            <a:r>
              <a:rPr kumimoji="1" lang="ja-JP" altLang="en-US" sz="1400" b="0">
                <a:solidFill>
                  <a:sysClr val="windowText" lastClr="000000"/>
                </a:solidFill>
                <a:latin typeface="Meiryo UI" panose="020B0604030504040204" pitchFamily="50" charset="-128"/>
                <a:ea typeface="Meiryo UI" panose="020B0604030504040204" pitchFamily="50" charset="-128"/>
              </a:rPr>
              <a:t>申込完了」を選択ください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・各検討状況の選択肢</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pic>
        <xdr:nvPicPr>
          <xdr:cNvPr id="10" name="図 9">
            <a:extLst>
              <a:ext uri="{FF2B5EF4-FFF2-40B4-BE49-F238E27FC236}">
                <a16:creationId xmlns:a16="http://schemas.microsoft.com/office/drawing/2014/main" id="{1CFBAAE3-4891-2C6D-6FC1-BC49CC47DA64}"/>
              </a:ext>
            </a:extLst>
          </xdr:cNvPr>
          <xdr:cNvPicPr>
            <a:picLocks noChangeAspect="1"/>
          </xdr:cNvPicPr>
        </xdr:nvPicPr>
        <xdr:blipFill>
          <a:blip xmlns:r="http://schemas.openxmlformats.org/officeDocument/2006/relationships" r:embed="rId5"/>
          <a:stretch>
            <a:fillRect/>
          </a:stretch>
        </xdr:blipFill>
        <xdr:spPr>
          <a:xfrm>
            <a:off x="7014697" y="5416408"/>
            <a:ext cx="16369179" cy="1911206"/>
          </a:xfrm>
          <a:prstGeom prst="rect">
            <a:avLst/>
          </a:prstGeom>
        </xdr:spPr>
      </xdr:pic>
    </xdr:grpSp>
    <xdr:clientData/>
  </xdr:twoCellAnchor>
  <xdr:twoCellAnchor editAs="absolute">
    <xdr:from>
      <xdr:col>8</xdr:col>
      <xdr:colOff>381000</xdr:colOff>
      <xdr:row>1</xdr:row>
      <xdr:rowOff>457200</xdr:rowOff>
    </xdr:from>
    <xdr:to>
      <xdr:col>13</xdr:col>
      <xdr:colOff>695325</xdr:colOff>
      <xdr:row>5</xdr:row>
      <xdr:rowOff>9525</xdr:rowOff>
    </xdr:to>
    <xdr:sp macro="" textlink="">
      <xdr:nvSpPr>
        <xdr:cNvPr id="4" name="四角形: 角を丸くする 3">
          <a:extLst>
            <a:ext uri="{FF2B5EF4-FFF2-40B4-BE49-F238E27FC236}">
              <a16:creationId xmlns:a16="http://schemas.microsoft.com/office/drawing/2014/main" id="{4FF7097B-C293-4310-960A-4DCBE3B245B4}"/>
            </a:ext>
          </a:extLst>
        </xdr:cNvPr>
        <xdr:cNvSpPr/>
      </xdr:nvSpPr>
      <xdr:spPr>
        <a:xfrm>
          <a:off x="5905500" y="762000"/>
          <a:ext cx="5476875" cy="819150"/>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施設番号</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(G</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列</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を選択しても青いセルに自動入力が反映されない場合は、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手入力いただきますようお願いいたします</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editAs="oneCell">
    <xdr:from>
      <xdr:col>10</xdr:col>
      <xdr:colOff>800100</xdr:colOff>
      <xdr:row>168</xdr:row>
      <xdr:rowOff>180975</xdr:rowOff>
    </xdr:from>
    <xdr:to>
      <xdr:col>14</xdr:col>
      <xdr:colOff>1562100</xdr:colOff>
      <xdr:row>175</xdr:row>
      <xdr:rowOff>161926</xdr:rowOff>
    </xdr:to>
    <xdr:sp macro="" textlink="">
      <xdr:nvSpPr>
        <xdr:cNvPr id="5" name="吹き出し: 角を丸めた四角形 62">
          <a:extLst>
            <a:ext uri="{FF2B5EF4-FFF2-40B4-BE49-F238E27FC236}">
              <a16:creationId xmlns:a16="http://schemas.microsoft.com/office/drawing/2014/main" id="{5299D519-FF7D-439F-9089-8550E657D59B}"/>
            </a:ext>
          </a:extLst>
        </xdr:cNvPr>
        <xdr:cNvSpPr/>
      </xdr:nvSpPr>
      <xdr:spPr>
        <a:xfrm>
          <a:off x="8258175" y="38404800"/>
          <a:ext cx="5067300" cy="1647826"/>
        </a:xfrm>
        <a:prstGeom prst="wedgeRoundRectCallout">
          <a:avLst>
            <a:gd name="adj1" fmla="val -64073"/>
            <a:gd name="adj2" fmla="val -1913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4.1(2)</a:t>
          </a:r>
          <a:r>
            <a:rPr kumimoji="1" lang="ja-JP" altLang="en-US" sz="1400" b="0">
              <a:solidFill>
                <a:sysClr val="windowText" lastClr="000000"/>
              </a:solidFill>
              <a:latin typeface="Meiryo UI" panose="020B0604030504040204" pitchFamily="50" charset="-128"/>
              <a:ea typeface="Meiryo UI" panose="020B0604030504040204" pitchFamily="50" charset="-128"/>
            </a:rPr>
            <a:t>新規再エネ導入予定（設備情報）」シートの数値と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一致しているか確認ください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・項目名のセルが緑で色付けされている場合、設備情報で入力した施設が、本シートですべて記載されていない可能性があります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1000125</xdr:colOff>
      <xdr:row>0</xdr:row>
      <xdr:rowOff>142875</xdr:rowOff>
    </xdr:from>
    <xdr:to>
      <xdr:col>17</xdr:col>
      <xdr:colOff>275166</xdr:colOff>
      <xdr:row>2</xdr:row>
      <xdr:rowOff>124317</xdr:rowOff>
    </xdr:to>
    <xdr:pic>
      <xdr:nvPicPr>
        <xdr:cNvPr id="2" name="図 1">
          <a:extLst>
            <a:ext uri="{FF2B5EF4-FFF2-40B4-BE49-F238E27FC236}">
              <a16:creationId xmlns:a16="http://schemas.microsoft.com/office/drawing/2014/main" id="{C39F2FAC-6606-4BFA-8E6E-7FE3E73651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916025" y="142875"/>
          <a:ext cx="2323041" cy="895842"/>
        </a:xfrm>
        <a:prstGeom prst="rect">
          <a:avLst/>
        </a:prstGeom>
      </xdr:spPr>
    </xdr:pic>
    <xdr:clientData/>
  </xdr:twoCellAnchor>
  <xdr:twoCellAnchor editAs="oneCell">
    <xdr:from>
      <xdr:col>0</xdr:col>
      <xdr:colOff>171450</xdr:colOff>
      <xdr:row>15</xdr:row>
      <xdr:rowOff>12927</xdr:rowOff>
    </xdr:from>
    <xdr:to>
      <xdr:col>7</xdr:col>
      <xdr:colOff>202871</xdr:colOff>
      <xdr:row>28</xdr:row>
      <xdr:rowOff>211690</xdr:rowOff>
    </xdr:to>
    <xdr:sp macro="" textlink="">
      <xdr:nvSpPr>
        <xdr:cNvPr id="3" name="吹き出し: 角を丸めた四角形 62">
          <a:extLst>
            <a:ext uri="{FF2B5EF4-FFF2-40B4-BE49-F238E27FC236}">
              <a16:creationId xmlns:a16="http://schemas.microsoft.com/office/drawing/2014/main" id="{0D740EED-BEF0-442B-B552-5AD8380A3202}"/>
            </a:ext>
          </a:extLst>
        </xdr:cNvPr>
        <xdr:cNvSpPr/>
      </xdr:nvSpPr>
      <xdr:spPr>
        <a:xfrm>
          <a:off x="171450" y="3832452"/>
          <a:ext cx="4612946" cy="2799088"/>
        </a:xfrm>
        <a:prstGeom prst="wedgeRoundRectCallout">
          <a:avLst>
            <a:gd name="adj1" fmla="val 31180"/>
            <a:gd name="adj2" fmla="val -10928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施設番号</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・設備情報シートで記載した施設番号をプルダウンから選択してください。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・選択された施設番号に紐付く「設置場所」「基幹設備」「施設数」「契約電力区分」「発電量（</a:t>
          </a:r>
          <a:r>
            <a:rPr kumimoji="1" lang="en-US" altLang="ja-JP" sz="1400" b="0">
              <a:solidFill>
                <a:sysClr val="windowText" lastClr="000000"/>
              </a:solidFill>
              <a:latin typeface="Meiryo UI" panose="020B0604030504040204" pitchFamily="50" charset="-128"/>
              <a:ea typeface="Meiryo UI" panose="020B0604030504040204" pitchFamily="50" charset="-128"/>
            </a:rPr>
            <a:t>kWh</a:t>
          </a:r>
          <a:r>
            <a:rPr kumimoji="1" lang="ja-JP" altLang="en-US" sz="1400" b="0">
              <a:solidFill>
                <a:sysClr val="windowText" lastClr="000000"/>
              </a:solidFill>
              <a:latin typeface="Meiryo UI" panose="020B0604030504040204" pitchFamily="50" charset="-128"/>
              <a:ea typeface="Meiryo UI" panose="020B0604030504040204" pitchFamily="50" charset="-128"/>
            </a:rPr>
            <a:t>／年）」が自動で入力されます。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・設備情報シートで記載した設備をすべて本シートにも記載してください。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7</xdr:col>
      <xdr:colOff>266019</xdr:colOff>
      <xdr:row>15</xdr:row>
      <xdr:rowOff>172131</xdr:rowOff>
    </xdr:from>
    <xdr:to>
      <xdr:col>11</xdr:col>
      <xdr:colOff>1154743</xdr:colOff>
      <xdr:row>23</xdr:row>
      <xdr:rowOff>154689</xdr:rowOff>
    </xdr:to>
    <xdr:sp macro="" textlink="">
      <xdr:nvSpPr>
        <xdr:cNvPr id="4" name="吹き出し: 角を丸めた四角形 62">
          <a:extLst>
            <a:ext uri="{FF2B5EF4-FFF2-40B4-BE49-F238E27FC236}">
              <a16:creationId xmlns:a16="http://schemas.microsoft.com/office/drawing/2014/main" id="{C216F557-D1D8-4B4B-A9A8-56D8936524DB}"/>
            </a:ext>
          </a:extLst>
        </xdr:cNvPr>
        <xdr:cNvSpPr/>
      </xdr:nvSpPr>
      <xdr:spPr>
        <a:xfrm>
          <a:off x="4847544" y="3991656"/>
          <a:ext cx="4841599" cy="1639908"/>
        </a:xfrm>
        <a:prstGeom prst="wedgeRoundRectCallout">
          <a:avLst>
            <a:gd name="adj1" fmla="val 42011"/>
            <a:gd name="adj2" fmla="val -15596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lang="ja-JP" altLang="en-US" sz="1400">
              <a:solidFill>
                <a:sysClr val="windowText" lastClr="000000"/>
              </a:solidFill>
              <a:effectLst/>
              <a:latin typeface="Meiryo UI" panose="020B0604030504040204" pitchFamily="50" charset="-128"/>
              <a:ea typeface="Meiryo UI" panose="020B0604030504040204" pitchFamily="50" charset="-128"/>
              <a:cs typeface="+mn-cs"/>
            </a:rPr>
            <a:t>合意形成対象者</a:t>
          </a:r>
          <a:endParaRPr lang="en-US" altLang="ja-JP" sz="1400">
            <a:solidFill>
              <a:sysClr val="windowText" lastClr="000000"/>
            </a:solidFill>
            <a:effectLst/>
            <a:latin typeface="Meiryo UI" panose="020B0604030504040204" pitchFamily="50" charset="-128"/>
            <a:ea typeface="Meiryo UI" panose="020B0604030504040204" pitchFamily="50" charset="-128"/>
            <a:cs typeface="+mn-cs"/>
          </a:endParaRP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再エネ設備導入に向けて合意形成が必要な対象者を記載してください。対象者の人数に応じて、表の行を増やしてください。</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（合意形成対象者の例）地権者、施設所有者、周辺住民等</a:t>
          </a:r>
        </a:p>
        <a:p>
          <a:pPr algn="l"/>
          <a:endParaRPr kumimoji="1" lang="en-US" altLang="ja-JP" sz="18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11</xdr:col>
      <xdr:colOff>344941</xdr:colOff>
      <xdr:row>23</xdr:row>
      <xdr:rowOff>133350</xdr:rowOff>
    </xdr:from>
    <xdr:to>
      <xdr:col>15</xdr:col>
      <xdr:colOff>630157</xdr:colOff>
      <xdr:row>54</xdr:row>
      <xdr:rowOff>77408</xdr:rowOff>
    </xdr:to>
    <xdr:sp macro="" textlink="">
      <xdr:nvSpPr>
        <xdr:cNvPr id="5" name="吹き出し: 角を丸めた四角形 62">
          <a:extLst>
            <a:ext uri="{FF2B5EF4-FFF2-40B4-BE49-F238E27FC236}">
              <a16:creationId xmlns:a16="http://schemas.microsoft.com/office/drawing/2014/main" id="{17418D95-6F91-4AB7-BA71-183EDD366976}"/>
            </a:ext>
          </a:extLst>
        </xdr:cNvPr>
        <xdr:cNvSpPr/>
      </xdr:nvSpPr>
      <xdr:spPr>
        <a:xfrm>
          <a:off x="8879341" y="5610225"/>
          <a:ext cx="5743041" cy="6135308"/>
        </a:xfrm>
        <a:prstGeom prst="wedgeRoundRectCallout">
          <a:avLst>
            <a:gd name="adj1" fmla="val -7988"/>
            <a:gd name="adj2" fmla="val -102204"/>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lang="ja-JP" altLang="ja-JP" sz="1400" u="none">
              <a:solidFill>
                <a:sysClr val="windowText" lastClr="000000"/>
              </a:solidFill>
              <a:effectLst/>
              <a:latin typeface="Meiryo UI" panose="020B0604030504040204" pitchFamily="50" charset="-128"/>
              <a:ea typeface="Meiryo UI" panose="020B0604030504040204" pitchFamily="50" charset="-128"/>
              <a:cs typeface="+mn-cs"/>
            </a:rPr>
            <a:t>合意形成に向けた主な説明事項</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・脱炭素先行地域のコンセプト：脱炭素先行地域に関する取組の方向性や考え方、取組の全体像に関する説明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・電源の詳細仕様：導入する再エネ発電設備の規模や導入場所等の説明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・周辺環境への影響と対策：再エネ発電設備導入にあたり想定される周辺環境への影響とその対策に関する説明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・導入コスト：再エネ設備導入に係る費用や費用負担に関する説明</a:t>
          </a:r>
        </a:p>
        <a:p>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 </a:t>
          </a:r>
          <a:endParaRPr lang="ja-JP" altLang="ja-JP" sz="1400">
            <a:solidFill>
              <a:sysClr val="windowText" lastClr="000000"/>
            </a:solidFill>
            <a:effectLst/>
            <a:latin typeface="Meiryo UI" panose="020B0604030504040204" pitchFamily="50" charset="-128"/>
            <a:ea typeface="Meiryo UI" panose="020B0604030504040204" pitchFamily="50" charset="-128"/>
            <a:cs typeface="+mn-cs"/>
          </a:endParaRP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の項目について、それぞれ実施状況を以下の内容から選択してください。</a:t>
          </a:r>
        </a:p>
        <a:p>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 </a:t>
          </a:r>
          <a:endParaRPr lang="ja-JP" altLang="ja-JP" sz="1400">
            <a:solidFill>
              <a:sysClr val="windowText" lastClr="000000"/>
            </a:solidFill>
            <a:effectLst/>
            <a:latin typeface="Meiryo UI" panose="020B0604030504040204" pitchFamily="50" charset="-128"/>
            <a:ea typeface="Meiryo UI" panose="020B0604030504040204" pitchFamily="50" charset="-128"/>
            <a:cs typeface="+mn-cs"/>
          </a:endParaRP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・未実施：合意形成対象者に当該説明項目に関して説明を実施していない段階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・説明済：合意形成対象者に説明会等で脱炭素先行地域の取組に関する情報共有や説明を実施した段階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・協議中：合意形成対象者と合意形成に向けて協議が進んでいる段階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・合意済：合意形成対象者と当該説明項目に関して合意形成が完了した段階</a:t>
          </a:r>
        </a:p>
        <a:p>
          <a:pPr algn="l"/>
          <a:endParaRPr kumimoji="1" lang="en-US" altLang="ja-JP" sz="18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12</xdr:col>
      <xdr:colOff>979712</xdr:colOff>
      <xdr:row>10</xdr:row>
      <xdr:rowOff>190500</xdr:rowOff>
    </xdr:from>
    <xdr:to>
      <xdr:col>19</xdr:col>
      <xdr:colOff>338160</xdr:colOff>
      <xdr:row>22</xdr:row>
      <xdr:rowOff>171091</xdr:rowOff>
    </xdr:to>
    <xdr:sp macro="" textlink="">
      <xdr:nvSpPr>
        <xdr:cNvPr id="6" name="吹き出し: 角を丸めた四角形 62">
          <a:extLst>
            <a:ext uri="{FF2B5EF4-FFF2-40B4-BE49-F238E27FC236}">
              <a16:creationId xmlns:a16="http://schemas.microsoft.com/office/drawing/2014/main" id="{D2771F10-A151-459D-95DB-64FDC6E55FC0}"/>
            </a:ext>
          </a:extLst>
        </xdr:cNvPr>
        <xdr:cNvSpPr/>
      </xdr:nvSpPr>
      <xdr:spPr>
        <a:xfrm>
          <a:off x="11742962" y="3048000"/>
          <a:ext cx="5016298" cy="2361841"/>
        </a:xfrm>
        <a:prstGeom prst="wedgeRoundRectCallout">
          <a:avLst>
            <a:gd name="adj1" fmla="val 23066"/>
            <a:gd name="adj2" fmla="val -84189"/>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r>
            <a:rPr lang="ja-JP" altLang="ja-JP" sz="1400" u="none">
              <a:solidFill>
                <a:sysClr val="windowText" lastClr="000000"/>
              </a:solidFill>
              <a:effectLst/>
              <a:latin typeface="Meiryo UI" panose="020B0604030504040204" pitchFamily="50" charset="-128"/>
              <a:ea typeface="Meiryo UI" panose="020B0604030504040204" pitchFamily="50" charset="-128"/>
              <a:cs typeface="+mn-cs"/>
            </a:rPr>
            <a:t>再エネ設備導入における合意形成状況</a:t>
          </a:r>
        </a:p>
        <a:p>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 </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以下の</a:t>
          </a:r>
          <a:r>
            <a:rPr lang="en-US" altLang="ja-JP" sz="1400">
              <a:solidFill>
                <a:sysClr val="windowText" lastClr="000000"/>
              </a:solidFill>
              <a:effectLst/>
              <a:latin typeface="Meiryo UI" panose="020B0604030504040204" pitchFamily="50" charset="-128"/>
              <a:ea typeface="Meiryo UI" panose="020B0604030504040204" pitchFamily="50" charset="-128"/>
              <a:cs typeface="+mn-cs"/>
            </a:rPr>
            <a:t>3</a:t>
          </a:r>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つから選択してください。</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・未実施：合意形成対象者に再エネ設備導入について説明を実施していない段階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・合意形成に向けて協議中：合意形成対象者と合意形成に向けて協議が進んでいる段階</a:t>
          </a:r>
        </a:p>
        <a:p>
          <a:r>
            <a:rPr lang="ja-JP" altLang="ja-JP" sz="1400">
              <a:solidFill>
                <a:sysClr val="windowText" lastClr="000000"/>
              </a:solidFill>
              <a:effectLst/>
              <a:latin typeface="Meiryo UI" panose="020B0604030504040204" pitchFamily="50" charset="-128"/>
              <a:ea typeface="Meiryo UI" panose="020B0604030504040204" pitchFamily="50" charset="-128"/>
              <a:cs typeface="+mn-cs"/>
            </a:rPr>
            <a:t>・合意済：合意形成対象者に関して合意形成が完了した段階</a:t>
          </a:r>
        </a:p>
        <a:p>
          <a:pPr algn="l"/>
          <a:endParaRPr kumimoji="1" lang="en-US" altLang="ja-JP" sz="2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36</xdr:col>
      <xdr:colOff>447675</xdr:colOff>
      <xdr:row>0</xdr:row>
      <xdr:rowOff>266700</xdr:rowOff>
    </xdr:from>
    <xdr:to>
      <xdr:col>49</xdr:col>
      <xdr:colOff>398707</xdr:colOff>
      <xdr:row>57</xdr:row>
      <xdr:rowOff>144306</xdr:rowOff>
    </xdr:to>
    <xdr:grpSp>
      <xdr:nvGrpSpPr>
        <xdr:cNvPr id="7" name="グループ化 6">
          <a:extLst>
            <a:ext uri="{FF2B5EF4-FFF2-40B4-BE49-F238E27FC236}">
              <a16:creationId xmlns:a16="http://schemas.microsoft.com/office/drawing/2014/main" id="{634AF1B4-FBE6-4DAA-9ED7-A90676F662C7}"/>
            </a:ext>
          </a:extLst>
        </xdr:cNvPr>
        <xdr:cNvGrpSpPr/>
      </xdr:nvGrpSpPr>
      <xdr:grpSpPr>
        <a:xfrm>
          <a:off x="17941925" y="266700"/>
          <a:ext cx="8898182" cy="11752106"/>
          <a:chOff x="18445766" y="3671505"/>
          <a:chExt cx="8895026" cy="11784395"/>
        </a:xfrm>
      </xdr:grpSpPr>
      <xdr:grpSp>
        <xdr:nvGrpSpPr>
          <xdr:cNvPr id="8" name="グループ化 7">
            <a:extLst>
              <a:ext uri="{FF2B5EF4-FFF2-40B4-BE49-F238E27FC236}">
                <a16:creationId xmlns:a16="http://schemas.microsoft.com/office/drawing/2014/main" id="{49DD7C1C-C0A1-1306-3EFF-E92C25B83140}"/>
              </a:ext>
            </a:extLst>
          </xdr:cNvPr>
          <xdr:cNvGrpSpPr/>
        </xdr:nvGrpSpPr>
        <xdr:grpSpPr>
          <a:xfrm>
            <a:off x="18445766" y="3671505"/>
            <a:ext cx="8895026" cy="11784395"/>
            <a:chOff x="18445766" y="3671505"/>
            <a:chExt cx="8895026" cy="11784395"/>
          </a:xfrm>
        </xdr:grpSpPr>
        <xdr:grpSp>
          <xdr:nvGrpSpPr>
            <xdr:cNvPr id="11" name="グループ化 10">
              <a:extLst>
                <a:ext uri="{FF2B5EF4-FFF2-40B4-BE49-F238E27FC236}">
                  <a16:creationId xmlns:a16="http://schemas.microsoft.com/office/drawing/2014/main" id="{941EB480-6A3E-105D-36CD-FE0E39D6C769}"/>
                </a:ext>
              </a:extLst>
            </xdr:cNvPr>
            <xdr:cNvGrpSpPr/>
          </xdr:nvGrpSpPr>
          <xdr:grpSpPr>
            <a:xfrm>
              <a:off x="18445766" y="3671505"/>
              <a:ext cx="8895026" cy="11784395"/>
              <a:chOff x="17892739" y="2517248"/>
              <a:chExt cx="8978730" cy="12030025"/>
            </a:xfrm>
          </xdr:grpSpPr>
          <xdr:sp macro="" textlink="">
            <xdr:nvSpPr>
              <xdr:cNvPr id="13" name="吹き出し: 角を丸めた四角形 62">
                <a:extLst>
                  <a:ext uri="{FF2B5EF4-FFF2-40B4-BE49-F238E27FC236}">
                    <a16:creationId xmlns:a16="http://schemas.microsoft.com/office/drawing/2014/main" id="{4F3BB41C-0887-319F-9038-FF8113A5FEB8}"/>
                  </a:ext>
                </a:extLst>
              </xdr:cNvPr>
              <xdr:cNvSpPr/>
            </xdr:nvSpPr>
            <xdr:spPr>
              <a:xfrm>
                <a:off x="17892739" y="2517248"/>
                <a:ext cx="8978730" cy="12030025"/>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t"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合意形成の進捗度の記載方法</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grpSp>
            <xdr:nvGrpSpPr>
              <xdr:cNvPr id="14" name="グループ化 13">
                <a:extLst>
                  <a:ext uri="{FF2B5EF4-FFF2-40B4-BE49-F238E27FC236}">
                    <a16:creationId xmlns:a16="http://schemas.microsoft.com/office/drawing/2014/main" id="{6695BDEF-DFEC-36CD-27CC-79E5F867BE76}"/>
                  </a:ext>
                </a:extLst>
              </xdr:cNvPr>
              <xdr:cNvGrpSpPr/>
            </xdr:nvGrpSpPr>
            <xdr:grpSpPr>
              <a:xfrm>
                <a:off x="18387163" y="3706091"/>
                <a:ext cx="7953221" cy="3115585"/>
                <a:chOff x="514349" y="355738"/>
                <a:chExt cx="7871369" cy="3215196"/>
              </a:xfrm>
            </xdr:grpSpPr>
            <xdr:pic>
              <xdr:nvPicPr>
                <xdr:cNvPr id="26" name="図 25">
                  <a:extLst>
                    <a:ext uri="{FF2B5EF4-FFF2-40B4-BE49-F238E27FC236}">
                      <a16:creationId xmlns:a16="http://schemas.microsoft.com/office/drawing/2014/main" id="{00169CCC-70D8-950D-B6DD-C2DF95778F19}"/>
                    </a:ext>
                  </a:extLst>
                </xdr:cNvPr>
                <xdr:cNvPicPr>
                  <a:picLocks noChangeAspect="1"/>
                </xdr:cNvPicPr>
              </xdr:nvPicPr>
              <xdr:blipFill>
                <a:blip xmlns:r="http://schemas.openxmlformats.org/officeDocument/2006/relationships" r:embed="rId2"/>
                <a:stretch>
                  <a:fillRect/>
                </a:stretch>
              </xdr:blipFill>
              <xdr:spPr>
                <a:xfrm>
                  <a:off x="514349" y="355738"/>
                  <a:ext cx="7871369" cy="3215196"/>
                </a:xfrm>
                <a:prstGeom prst="rect">
                  <a:avLst/>
                </a:prstGeom>
              </xdr:spPr>
            </xdr:pic>
            <xdr:sp macro="" textlink="">
              <xdr:nvSpPr>
                <xdr:cNvPr id="27" name="四角形: 角を丸くする 26">
                  <a:extLst>
                    <a:ext uri="{FF2B5EF4-FFF2-40B4-BE49-F238E27FC236}">
                      <a16:creationId xmlns:a16="http://schemas.microsoft.com/office/drawing/2014/main" id="{9E639E16-435E-6003-D028-0F7379FDCB0E}"/>
                    </a:ext>
                  </a:extLst>
                </xdr:cNvPr>
                <xdr:cNvSpPr/>
              </xdr:nvSpPr>
              <xdr:spPr>
                <a:xfrm>
                  <a:off x="1396586" y="972240"/>
                  <a:ext cx="1021936" cy="215348"/>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テキスト ボックス 27">
                  <a:extLst>
                    <a:ext uri="{FF2B5EF4-FFF2-40B4-BE49-F238E27FC236}">
                      <a16:creationId xmlns:a16="http://schemas.microsoft.com/office/drawing/2014/main" id="{C0F5C26D-AB99-98A8-72FF-6E87BE20C876}"/>
                    </a:ext>
                  </a:extLst>
                </xdr:cNvPr>
                <xdr:cNvSpPr txBox="1"/>
              </xdr:nvSpPr>
              <xdr:spPr>
                <a:xfrm>
                  <a:off x="1832390" y="1303546"/>
                  <a:ext cx="3365346" cy="48381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eiryo UI" panose="020B0604030504040204" pitchFamily="50" charset="-128"/>
                      <a:ea typeface="Meiryo UI" panose="020B0604030504040204" pitchFamily="50" charset="-128"/>
                    </a:rPr>
                    <a:t>施設番号をプルダウンから選択します。</a:t>
                  </a:r>
                </a:p>
              </xdr:txBody>
            </xdr:sp>
          </xdr:grpSp>
          <xdr:grpSp>
            <xdr:nvGrpSpPr>
              <xdr:cNvPr id="15" name="グループ化 14">
                <a:extLst>
                  <a:ext uri="{FF2B5EF4-FFF2-40B4-BE49-F238E27FC236}">
                    <a16:creationId xmlns:a16="http://schemas.microsoft.com/office/drawing/2014/main" id="{B1B8C656-696A-DDEC-1EB8-67FF15A6C396}"/>
                  </a:ext>
                </a:extLst>
              </xdr:cNvPr>
              <xdr:cNvGrpSpPr/>
            </xdr:nvGrpSpPr>
            <xdr:grpSpPr>
              <a:xfrm>
                <a:off x="18339954" y="6932085"/>
                <a:ext cx="8136651" cy="3174467"/>
                <a:chOff x="503445" y="3650698"/>
                <a:chExt cx="8053506" cy="3275523"/>
              </a:xfrm>
            </xdr:grpSpPr>
            <xdr:pic>
              <xdr:nvPicPr>
                <xdr:cNvPr id="20" name="図 19">
                  <a:extLst>
                    <a:ext uri="{FF2B5EF4-FFF2-40B4-BE49-F238E27FC236}">
                      <a16:creationId xmlns:a16="http://schemas.microsoft.com/office/drawing/2014/main" id="{A9223FA2-CCF2-C7FE-F5F8-A5451B1EDB51}"/>
                    </a:ext>
                  </a:extLst>
                </xdr:cNvPr>
                <xdr:cNvPicPr>
                  <a:picLocks noChangeAspect="1"/>
                </xdr:cNvPicPr>
              </xdr:nvPicPr>
              <xdr:blipFill>
                <a:blip xmlns:r="http://schemas.openxmlformats.org/officeDocument/2006/relationships" r:embed="rId3"/>
                <a:stretch>
                  <a:fillRect/>
                </a:stretch>
              </xdr:blipFill>
              <xdr:spPr>
                <a:xfrm>
                  <a:off x="503445" y="3650698"/>
                  <a:ext cx="7874544" cy="3275523"/>
                </a:xfrm>
                <a:prstGeom prst="rect">
                  <a:avLst/>
                </a:prstGeom>
              </xdr:spPr>
            </xdr:pic>
            <xdr:sp macro="" textlink="">
              <xdr:nvSpPr>
                <xdr:cNvPr id="21" name="四角形: 角を丸くする 20">
                  <a:extLst>
                    <a:ext uri="{FF2B5EF4-FFF2-40B4-BE49-F238E27FC236}">
                      <a16:creationId xmlns:a16="http://schemas.microsoft.com/office/drawing/2014/main" id="{CDE0F472-B254-AE98-0F30-F1174599D7C7}"/>
                    </a:ext>
                  </a:extLst>
                </xdr:cNvPr>
                <xdr:cNvSpPr/>
              </xdr:nvSpPr>
              <xdr:spPr>
                <a:xfrm>
                  <a:off x="4147792" y="4338155"/>
                  <a:ext cx="4217642" cy="258693"/>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a:extLst>
                    <a:ext uri="{FF2B5EF4-FFF2-40B4-BE49-F238E27FC236}">
                      <a16:creationId xmlns:a16="http://schemas.microsoft.com/office/drawing/2014/main" id="{F1B16267-D59D-269A-AEDC-99CCF139C974}"/>
                    </a:ext>
                  </a:extLst>
                </xdr:cNvPr>
                <xdr:cNvSpPr txBox="1"/>
              </xdr:nvSpPr>
              <xdr:spPr>
                <a:xfrm>
                  <a:off x="4068142" y="4702588"/>
                  <a:ext cx="4488809" cy="108722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eiryo UI" panose="020B0604030504040204" pitchFamily="50" charset="-128"/>
                      <a:ea typeface="Meiryo UI" panose="020B0604030504040204" pitchFamily="50" charset="-128"/>
                    </a:rPr>
                    <a:t>・合意形成対象者との合意形成の進捗度を記載します。</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・合意形成対象者が複数人いる場合は次の行に記載してください。</a:t>
                  </a:r>
                </a:p>
              </xdr:txBody>
            </xdr:sp>
            <xdr:sp macro="" textlink="">
              <xdr:nvSpPr>
                <xdr:cNvPr id="23" name="四角形: 角を丸くする 22">
                  <a:extLst>
                    <a:ext uri="{FF2B5EF4-FFF2-40B4-BE49-F238E27FC236}">
                      <a16:creationId xmlns:a16="http://schemas.microsoft.com/office/drawing/2014/main" id="{E6471DCB-71F3-D4B7-A902-644C50ECD2C9}"/>
                    </a:ext>
                  </a:extLst>
                </xdr:cNvPr>
                <xdr:cNvSpPr/>
              </xdr:nvSpPr>
              <xdr:spPr>
                <a:xfrm>
                  <a:off x="1454012" y="4329872"/>
                  <a:ext cx="878509" cy="266976"/>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テキスト ボックス 23">
                  <a:extLst>
                    <a:ext uri="{FF2B5EF4-FFF2-40B4-BE49-F238E27FC236}">
                      <a16:creationId xmlns:a16="http://schemas.microsoft.com/office/drawing/2014/main" id="{6D989645-51FE-10E3-89CE-9FC70846780F}"/>
                    </a:ext>
                  </a:extLst>
                </xdr:cNvPr>
                <xdr:cNvSpPr txBox="1"/>
              </xdr:nvSpPr>
              <xdr:spPr>
                <a:xfrm>
                  <a:off x="1273944" y="4809021"/>
                  <a:ext cx="2504860" cy="105223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eiryo UI" panose="020B0604030504040204" pitchFamily="50" charset="-128"/>
                      <a:ea typeface="Meiryo UI" panose="020B0604030504040204" pitchFamily="50" charset="-128"/>
                    </a:rPr>
                    <a:t>合意形成者が複数人いる場合でも、施設番号の入力は最初の行のみとしてください。</a:t>
                  </a:r>
                  <a:endParaRPr kumimoji="1" lang="en-US" altLang="ja-JP" sz="1400">
                    <a:latin typeface="Meiryo UI" panose="020B0604030504040204" pitchFamily="50" charset="-128"/>
                    <a:ea typeface="Meiryo UI" panose="020B0604030504040204" pitchFamily="50" charset="-128"/>
                  </a:endParaRPr>
                </a:p>
              </xdr:txBody>
            </xdr:sp>
            <xdr:cxnSp macro="">
              <xdr:nvCxnSpPr>
                <xdr:cNvPr id="25" name="コネクタ: カギ線 24">
                  <a:extLst>
                    <a:ext uri="{FF2B5EF4-FFF2-40B4-BE49-F238E27FC236}">
                      <a16:creationId xmlns:a16="http://schemas.microsoft.com/office/drawing/2014/main" id="{67D608D4-20E6-0B9E-726F-70ACB0AB9139}"/>
                    </a:ext>
                  </a:extLst>
                </xdr:cNvPr>
                <xdr:cNvCxnSpPr/>
              </xdr:nvCxnSpPr>
              <xdr:spPr>
                <a:xfrm rot="10800000">
                  <a:off x="2322308" y="4470675"/>
                  <a:ext cx="589996" cy="338345"/>
                </a:xfrm>
                <a:prstGeom prst="bentConnector3">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16" name="グループ化 15">
                <a:extLst>
                  <a:ext uri="{FF2B5EF4-FFF2-40B4-BE49-F238E27FC236}">
                    <a16:creationId xmlns:a16="http://schemas.microsoft.com/office/drawing/2014/main" id="{0BF2B832-568E-96E5-65BD-3C367C495FAE}"/>
                  </a:ext>
                </a:extLst>
              </xdr:cNvPr>
              <xdr:cNvGrpSpPr/>
            </xdr:nvGrpSpPr>
            <xdr:grpSpPr>
              <a:xfrm>
                <a:off x="18405937" y="10367500"/>
                <a:ext cx="7962747" cy="3157000"/>
                <a:chOff x="526773" y="7254184"/>
                <a:chExt cx="7884070" cy="3266136"/>
              </a:xfrm>
            </xdr:grpSpPr>
            <xdr:pic>
              <xdr:nvPicPr>
                <xdr:cNvPr id="17" name="図 16">
                  <a:extLst>
                    <a:ext uri="{FF2B5EF4-FFF2-40B4-BE49-F238E27FC236}">
                      <a16:creationId xmlns:a16="http://schemas.microsoft.com/office/drawing/2014/main" id="{A2CE7F10-71BC-E5F9-C442-33856EAD7DB8}"/>
                    </a:ext>
                  </a:extLst>
                </xdr:cNvPr>
                <xdr:cNvPicPr>
                  <a:picLocks noChangeAspect="1"/>
                </xdr:cNvPicPr>
              </xdr:nvPicPr>
              <xdr:blipFill>
                <a:blip xmlns:r="http://schemas.openxmlformats.org/officeDocument/2006/relationships" r:embed="rId4"/>
                <a:stretch>
                  <a:fillRect/>
                </a:stretch>
              </xdr:blipFill>
              <xdr:spPr>
                <a:xfrm>
                  <a:off x="526773" y="7254184"/>
                  <a:ext cx="7884070" cy="3266136"/>
                </a:xfrm>
                <a:prstGeom prst="rect">
                  <a:avLst/>
                </a:prstGeom>
              </xdr:spPr>
            </xdr:pic>
            <xdr:sp macro="" textlink="">
              <xdr:nvSpPr>
                <xdr:cNvPr id="18" name="四角形: 角を丸くする 17">
                  <a:extLst>
                    <a:ext uri="{FF2B5EF4-FFF2-40B4-BE49-F238E27FC236}">
                      <a16:creationId xmlns:a16="http://schemas.microsoft.com/office/drawing/2014/main" id="{8DC74374-C079-B636-B177-0FA5A9BC68A2}"/>
                    </a:ext>
                  </a:extLst>
                </xdr:cNvPr>
                <xdr:cNvSpPr/>
              </xdr:nvSpPr>
              <xdr:spPr>
                <a:xfrm>
                  <a:off x="1472233" y="8115714"/>
                  <a:ext cx="878509" cy="193675"/>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a:extLst>
                    <a:ext uri="{FF2B5EF4-FFF2-40B4-BE49-F238E27FC236}">
                      <a16:creationId xmlns:a16="http://schemas.microsoft.com/office/drawing/2014/main" id="{0ECDC8E2-3C06-D99F-9A5F-22B6D0821284}"/>
                    </a:ext>
                  </a:extLst>
                </xdr:cNvPr>
                <xdr:cNvSpPr txBox="1"/>
              </xdr:nvSpPr>
              <xdr:spPr>
                <a:xfrm>
                  <a:off x="1482585" y="8380065"/>
                  <a:ext cx="4019360" cy="208484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Meiryo UI" panose="020B0604030504040204" pitchFamily="50" charset="-128"/>
                      <a:ea typeface="Meiryo UI" panose="020B0604030504040204" pitchFamily="50" charset="-128"/>
                    </a:rPr>
                    <a:t>・次の施設番号をプルダウンから選択します。</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・設備情報シートに記載した設備をすべて本シートに記載し、</a:t>
                  </a:r>
                  <a:r>
                    <a:rPr kumimoji="1" lang="ja-JP" altLang="ja-JP" sz="1400">
                      <a:solidFill>
                        <a:schemeClr val="dk1"/>
                      </a:solidFill>
                      <a:effectLst/>
                      <a:latin typeface="Meiryo UI" panose="020B0604030504040204" pitchFamily="50" charset="-128"/>
                      <a:ea typeface="Meiryo UI" panose="020B0604030504040204" pitchFamily="50" charset="-128"/>
                      <a:cs typeface="+mn-cs"/>
                    </a:rPr>
                    <a:t>以降、手順１～２の繰り返しで</a:t>
                  </a:r>
                  <a:r>
                    <a:rPr kumimoji="1" lang="ja-JP" altLang="en-US" sz="1400">
                      <a:solidFill>
                        <a:schemeClr val="dk1"/>
                      </a:solidFill>
                      <a:effectLst/>
                      <a:latin typeface="Meiryo UI" panose="020B0604030504040204" pitchFamily="50" charset="-128"/>
                      <a:ea typeface="Meiryo UI" panose="020B0604030504040204" pitchFamily="50" charset="-128"/>
                      <a:cs typeface="+mn-cs"/>
                    </a:rPr>
                    <a:t>合意形成の進捗度を記載してください。</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・行が足りない場合は、</a:t>
                  </a:r>
                  <a:r>
                    <a:rPr kumimoji="1" lang="en-US" altLang="ja-JP" sz="1400">
                      <a:latin typeface="Meiryo UI" panose="020B0604030504040204" pitchFamily="50" charset="-128"/>
                      <a:ea typeface="Meiryo UI" panose="020B0604030504040204" pitchFamily="50" charset="-128"/>
                    </a:rPr>
                    <a:t>【</a:t>
                  </a:r>
                  <a:r>
                    <a:rPr kumimoji="1" lang="ja-JP" altLang="en-US" sz="1400">
                      <a:latin typeface="Meiryo UI" panose="020B0604030504040204" pitchFamily="50" charset="-128"/>
                      <a:ea typeface="Meiryo UI" panose="020B0604030504040204" pitchFamily="50" charset="-128"/>
                    </a:rPr>
                    <a:t>行を追加する方法</a:t>
                  </a:r>
                  <a:r>
                    <a:rPr kumimoji="1" lang="en-US" altLang="ja-JP" sz="1400">
                      <a:latin typeface="Meiryo UI" panose="020B0604030504040204" pitchFamily="50" charset="-128"/>
                      <a:ea typeface="Meiryo UI" panose="020B0604030504040204" pitchFamily="50" charset="-128"/>
                    </a:rPr>
                    <a:t>】</a:t>
                  </a:r>
                  <a:r>
                    <a:rPr kumimoji="1" lang="ja-JP" altLang="en-US" sz="1400">
                      <a:latin typeface="Meiryo UI" panose="020B0604030504040204" pitchFamily="50" charset="-128"/>
                      <a:ea typeface="Meiryo UI" panose="020B0604030504040204" pitchFamily="50" charset="-128"/>
                    </a:rPr>
                    <a:t>を参照して、行を追加してください。</a:t>
                  </a:r>
                </a:p>
              </xdr:txBody>
            </xdr:sp>
          </xdr:grpSp>
        </xdr:grpSp>
        <xdr:sp macro="" textlink="">
          <xdr:nvSpPr>
            <xdr:cNvPr id="12" name="テキスト ボックス 11">
              <a:extLst>
                <a:ext uri="{FF2B5EF4-FFF2-40B4-BE49-F238E27FC236}">
                  <a16:creationId xmlns:a16="http://schemas.microsoft.com/office/drawing/2014/main" id="{7CF731A6-D88C-6278-6C75-9F774CA0003F}"/>
                </a:ext>
              </a:extLst>
            </xdr:cNvPr>
            <xdr:cNvSpPr txBox="1"/>
          </xdr:nvSpPr>
          <xdr:spPr>
            <a:xfrm>
              <a:off x="19908287" y="4555886"/>
              <a:ext cx="783476" cy="355550"/>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chemeClr val="bg1"/>
                  </a:solidFill>
                </a:rPr>
                <a:t>手順１</a:t>
              </a:r>
            </a:p>
          </xdr:txBody>
        </xdr:sp>
      </xdr:grpSp>
      <xdr:sp macro="" textlink="">
        <xdr:nvSpPr>
          <xdr:cNvPr id="9" name="テキスト ボックス 8">
            <a:extLst>
              <a:ext uri="{FF2B5EF4-FFF2-40B4-BE49-F238E27FC236}">
                <a16:creationId xmlns:a16="http://schemas.microsoft.com/office/drawing/2014/main" id="{4F4659E5-D612-A15E-E836-6BDBE060F066}"/>
              </a:ext>
            </a:extLst>
          </xdr:cNvPr>
          <xdr:cNvSpPr txBox="1"/>
        </xdr:nvSpPr>
        <xdr:spPr>
          <a:xfrm>
            <a:off x="19835839" y="7820074"/>
            <a:ext cx="789826" cy="361323"/>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chemeClr val="bg1"/>
                </a:solidFill>
              </a:rPr>
              <a:t>手順２</a:t>
            </a:r>
          </a:p>
        </xdr:txBody>
      </xdr:sp>
      <xdr:sp macro="" textlink="">
        <xdr:nvSpPr>
          <xdr:cNvPr id="10" name="テキスト ボックス 9">
            <a:extLst>
              <a:ext uri="{FF2B5EF4-FFF2-40B4-BE49-F238E27FC236}">
                <a16:creationId xmlns:a16="http://schemas.microsoft.com/office/drawing/2014/main" id="{503DD3C2-FFA9-3190-020F-356B748993E1}"/>
              </a:ext>
            </a:extLst>
          </xdr:cNvPr>
          <xdr:cNvSpPr txBox="1"/>
        </xdr:nvSpPr>
        <xdr:spPr>
          <a:xfrm>
            <a:off x="19928780" y="11132755"/>
            <a:ext cx="789826" cy="35872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solidFill>
                  <a:schemeClr val="bg1"/>
                </a:solidFill>
              </a:rPr>
              <a:t>手順３</a:t>
            </a:r>
          </a:p>
        </xdr:txBody>
      </xdr:sp>
    </xdr:grpSp>
    <xdr:clientData/>
  </xdr:twoCellAnchor>
  <xdr:twoCellAnchor editAs="absolute">
    <xdr:from>
      <xdr:col>36</xdr:col>
      <xdr:colOff>22078</xdr:colOff>
      <xdr:row>58</xdr:row>
      <xdr:rowOff>182336</xdr:rowOff>
    </xdr:from>
    <xdr:to>
      <xdr:col>48</xdr:col>
      <xdr:colOff>273218</xdr:colOff>
      <xdr:row>108</xdr:row>
      <xdr:rowOff>62959</xdr:rowOff>
    </xdr:to>
    <xdr:pic>
      <xdr:nvPicPr>
        <xdr:cNvPr id="29" name="図 28">
          <a:extLst>
            <a:ext uri="{FF2B5EF4-FFF2-40B4-BE49-F238E27FC236}">
              <a16:creationId xmlns:a16="http://schemas.microsoft.com/office/drawing/2014/main" id="{CE183E19-86F4-452D-B332-EE9C263B9B32}"/>
            </a:ext>
          </a:extLst>
        </xdr:cNvPr>
        <xdr:cNvPicPr>
          <a:picLocks noChangeAspect="1"/>
        </xdr:cNvPicPr>
      </xdr:nvPicPr>
      <xdr:blipFill>
        <a:blip xmlns:r="http://schemas.openxmlformats.org/officeDocument/2006/relationships" r:embed="rId5"/>
        <a:stretch>
          <a:fillRect/>
        </a:stretch>
      </xdr:blipFill>
      <xdr:spPr>
        <a:xfrm>
          <a:off x="17519503" y="12555311"/>
          <a:ext cx="8509315" cy="11053448"/>
        </a:xfrm>
        <a:prstGeom prst="roundRect">
          <a:avLst/>
        </a:prstGeom>
      </xdr:spPr>
    </xdr:pic>
    <xdr:clientData/>
  </xdr:twoCellAnchor>
  <xdr:twoCellAnchor editAs="absolute">
    <xdr:from>
      <xdr:col>20</xdr:col>
      <xdr:colOff>161925</xdr:colOff>
      <xdr:row>108</xdr:row>
      <xdr:rowOff>235158</xdr:rowOff>
    </xdr:from>
    <xdr:to>
      <xdr:col>48</xdr:col>
      <xdr:colOff>144910</xdr:colOff>
      <xdr:row>151</xdr:row>
      <xdr:rowOff>191861</xdr:rowOff>
    </xdr:to>
    <xdr:pic>
      <xdr:nvPicPr>
        <xdr:cNvPr id="30" name="図 5">
          <a:extLst>
            <a:ext uri="{FF2B5EF4-FFF2-40B4-BE49-F238E27FC236}">
              <a16:creationId xmlns:a16="http://schemas.microsoft.com/office/drawing/2014/main" id="{5CB9EB75-4B66-4884-B3C4-BB1A6611459B}"/>
            </a:ext>
          </a:extLst>
        </xdr:cNvPr>
        <xdr:cNvPicPr>
          <a:picLocks noChangeAspect="1"/>
        </xdr:cNvPicPr>
      </xdr:nvPicPr>
      <xdr:blipFill>
        <a:blip xmlns:r="http://schemas.openxmlformats.org/officeDocument/2006/relationships" r:embed="rId6"/>
        <a:stretch>
          <a:fillRect/>
        </a:stretch>
      </xdr:blipFill>
      <xdr:spPr>
        <a:xfrm>
          <a:off x="17440275" y="23780958"/>
          <a:ext cx="8460235" cy="10196078"/>
        </a:xfrm>
        <a:prstGeom prst="rect">
          <a:avLst/>
        </a:prstGeom>
      </xdr:spPr>
    </xdr:pic>
    <xdr:clientData/>
  </xdr:twoCellAnchor>
  <xdr:twoCellAnchor editAs="absolute">
    <xdr:from>
      <xdr:col>3</xdr:col>
      <xdr:colOff>57150</xdr:colOff>
      <xdr:row>1</xdr:row>
      <xdr:rowOff>504825</xdr:rowOff>
    </xdr:from>
    <xdr:to>
      <xdr:col>8</xdr:col>
      <xdr:colOff>528312</xdr:colOff>
      <xdr:row>3</xdr:row>
      <xdr:rowOff>93154</xdr:rowOff>
    </xdr:to>
    <xdr:sp macro="" textlink="">
      <xdr:nvSpPr>
        <xdr:cNvPr id="31" name="吹き出し: 角を丸めた四角形 4">
          <a:extLst>
            <a:ext uri="{FF2B5EF4-FFF2-40B4-BE49-F238E27FC236}">
              <a16:creationId xmlns:a16="http://schemas.microsoft.com/office/drawing/2014/main" id="{965D5D05-9088-4620-82F5-B9ADCEED2D9C}"/>
            </a:ext>
          </a:extLst>
        </xdr:cNvPr>
        <xdr:cNvSpPr/>
      </xdr:nvSpPr>
      <xdr:spPr>
        <a:xfrm>
          <a:off x="638175" y="809625"/>
          <a:ext cx="5414637" cy="417004"/>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ct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Word</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に貼り付ける際は吹き出しを削除してからコピーしてください</a:t>
          </a:r>
        </a:p>
      </xdr:txBody>
    </xdr:sp>
    <xdr:clientData/>
  </xdr:twoCellAnchor>
  <xdr:twoCellAnchor editAs="absolute">
    <xdr:from>
      <xdr:col>8</xdr:col>
      <xdr:colOff>609600</xdr:colOff>
      <xdr:row>1</xdr:row>
      <xdr:rowOff>504825</xdr:rowOff>
    </xdr:from>
    <xdr:to>
      <xdr:col>12</xdr:col>
      <xdr:colOff>847725</xdr:colOff>
      <xdr:row>5</xdr:row>
      <xdr:rowOff>168088</xdr:rowOff>
    </xdr:to>
    <xdr:sp macro="" textlink="">
      <xdr:nvSpPr>
        <xdr:cNvPr id="33" name="四角形: 角を丸くする 32">
          <a:extLst>
            <a:ext uri="{FF2B5EF4-FFF2-40B4-BE49-F238E27FC236}">
              <a16:creationId xmlns:a16="http://schemas.microsoft.com/office/drawing/2014/main" id="{491290A8-2C59-4A3D-8FAC-557800F9B485}"/>
            </a:ext>
          </a:extLst>
        </xdr:cNvPr>
        <xdr:cNvSpPr/>
      </xdr:nvSpPr>
      <xdr:spPr>
        <a:xfrm>
          <a:off x="6134100" y="807384"/>
          <a:ext cx="5482478" cy="929528"/>
        </a:xfrm>
        <a:prstGeom prst="roundRect">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施設番号</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(G</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列</a:t>
          </a:r>
          <a:r>
            <a:rPr kumimoji="1" lang="en-US" altLang="ja-JP" sz="1400" b="0">
              <a:solidFill>
                <a:sysClr val="windowText" lastClr="000000"/>
              </a:solidFill>
              <a:latin typeface="Meiryo UI" panose="020B0604030504040204" pitchFamily="50" charset="-128"/>
              <a:ea typeface="Meiryo UI" panose="020B0604030504040204" pitchFamily="50" charset="-128"/>
              <a:cs typeface="+mn-cs"/>
            </a:rPr>
            <a:t>)</a:t>
          </a:r>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を選択しても青いセルに自動入力が反映されない場合は、</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cs typeface="+mn-cs"/>
            </a:rPr>
            <a:t>手入力いただきますようお願いいたします</a:t>
          </a:r>
          <a:endParaRPr kumimoji="1" lang="en-US" altLang="ja-JP" sz="1400" b="0">
            <a:solidFill>
              <a:sysClr val="windowText" lastClr="000000"/>
            </a:solidFill>
            <a:latin typeface="Meiryo UI" panose="020B0604030504040204" pitchFamily="50" charset="-128"/>
            <a:ea typeface="Meiryo UI" panose="020B0604030504040204" pitchFamily="50" charset="-128"/>
            <a:cs typeface="+mn-cs"/>
          </a:endParaRPr>
        </a:p>
      </xdr:txBody>
    </xdr:sp>
    <xdr:clientData/>
  </xdr:twoCellAnchor>
  <xdr:twoCellAnchor editAs="oneCell">
    <xdr:from>
      <xdr:col>10</xdr:col>
      <xdr:colOff>838200</xdr:colOff>
      <xdr:row>177</xdr:row>
      <xdr:rowOff>0</xdr:rowOff>
    </xdr:from>
    <xdr:to>
      <xdr:col>14</xdr:col>
      <xdr:colOff>447675</xdr:colOff>
      <xdr:row>183</xdr:row>
      <xdr:rowOff>219076</xdr:rowOff>
    </xdr:to>
    <xdr:sp macro="" textlink="">
      <xdr:nvSpPr>
        <xdr:cNvPr id="32" name="吹き出し: 角を丸めた四角形 62">
          <a:extLst>
            <a:ext uri="{FF2B5EF4-FFF2-40B4-BE49-F238E27FC236}">
              <a16:creationId xmlns:a16="http://schemas.microsoft.com/office/drawing/2014/main" id="{052E39B8-ABC3-445F-A495-ED506B6CB6F6}"/>
            </a:ext>
          </a:extLst>
        </xdr:cNvPr>
        <xdr:cNvSpPr/>
      </xdr:nvSpPr>
      <xdr:spPr>
        <a:xfrm>
          <a:off x="8296275" y="40033575"/>
          <a:ext cx="5067300" cy="1647826"/>
        </a:xfrm>
        <a:prstGeom prst="wedgeRoundRectCallout">
          <a:avLst>
            <a:gd name="adj1" fmla="val -64073"/>
            <a:gd name="adj2" fmla="val -1913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a:t>
          </a:r>
          <a:r>
            <a:rPr kumimoji="1" lang="en-US" altLang="ja-JP" sz="1400" b="0">
              <a:solidFill>
                <a:sysClr val="windowText" lastClr="000000"/>
              </a:solidFill>
              <a:latin typeface="Meiryo UI" panose="020B0604030504040204" pitchFamily="50" charset="-128"/>
              <a:ea typeface="Meiryo UI" panose="020B0604030504040204" pitchFamily="50" charset="-128"/>
            </a:rPr>
            <a:t>4.1(2)</a:t>
          </a:r>
          <a:r>
            <a:rPr kumimoji="1" lang="ja-JP" altLang="en-US" sz="1400" b="0">
              <a:solidFill>
                <a:sysClr val="windowText" lastClr="000000"/>
              </a:solidFill>
              <a:latin typeface="Meiryo UI" panose="020B0604030504040204" pitchFamily="50" charset="-128"/>
              <a:ea typeface="Meiryo UI" panose="020B0604030504040204" pitchFamily="50" charset="-128"/>
            </a:rPr>
            <a:t>新規再エネ導入予定（設備情報）」シートの数値と</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一致しているか確認ください</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400" b="0">
              <a:solidFill>
                <a:sysClr val="windowText" lastClr="000000"/>
              </a:solidFill>
              <a:latin typeface="Meiryo UI" panose="020B0604030504040204" pitchFamily="50" charset="-128"/>
              <a:ea typeface="Meiryo UI" panose="020B0604030504040204" pitchFamily="50" charset="-128"/>
            </a:rPr>
            <a:t>・項目名のセルが緑で色付けされている場合、設備情報で入力した施設が、本シートですべて記載されていない可能性があります</a:t>
          </a:r>
          <a:endParaRPr kumimoji="1" lang="en-US" altLang="ja-JP" sz="14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15</xdr:col>
      <xdr:colOff>847725</xdr:colOff>
      <xdr:row>24</xdr:row>
      <xdr:rowOff>76201</xdr:rowOff>
    </xdr:from>
    <xdr:to>
      <xdr:col>37</xdr:col>
      <xdr:colOff>25400</xdr:colOff>
      <xdr:row>32</xdr:row>
      <xdr:rowOff>0</xdr:rowOff>
    </xdr:to>
    <xdr:sp macro="" textlink="">
      <xdr:nvSpPr>
        <xdr:cNvPr id="34" name="吹き出し: 角を丸めた四角形 62">
          <a:extLst>
            <a:ext uri="{FF2B5EF4-FFF2-40B4-BE49-F238E27FC236}">
              <a16:creationId xmlns:a16="http://schemas.microsoft.com/office/drawing/2014/main" id="{E4A0E50B-255A-440F-B409-3D37C2AB52D5}"/>
            </a:ext>
          </a:extLst>
        </xdr:cNvPr>
        <xdr:cNvSpPr/>
      </xdr:nvSpPr>
      <xdr:spPr>
        <a:xfrm>
          <a:off x="14839950" y="5791201"/>
          <a:ext cx="3368675" cy="1600200"/>
        </a:xfrm>
        <a:prstGeom prst="wedgeRoundRectCallout">
          <a:avLst>
            <a:gd name="adj1" fmla="val 14945"/>
            <a:gd name="adj2" fmla="val -271887"/>
            <a:gd name="adj3" fmla="val 16667"/>
          </a:avLst>
        </a:prstGeom>
        <a:solidFill>
          <a:schemeClr val="bg1"/>
        </a:solidFill>
        <a:ln w="28575">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0" rIns="36000" bIns="0" numCol="1" spcCol="0" rtlCol="0" fromWordArt="0" anchor="ctr" anchorCtr="0" forceAA="0" compatLnSpc="1">
          <a:prstTxWarp prst="textNoShape">
            <a:avLst/>
          </a:prstTxWarp>
          <a:noAutofit/>
        </a:bodyPr>
        <a:lstStyle/>
        <a:p>
          <a:pPr algn="l"/>
          <a:r>
            <a:rPr kumimoji="1" lang="ja-JP" altLang="en-US" sz="1600" b="0">
              <a:solidFill>
                <a:sysClr val="windowText" lastClr="000000"/>
              </a:solidFill>
              <a:latin typeface="Meiryo UI" panose="020B0604030504040204" pitchFamily="50" charset="-128"/>
              <a:ea typeface="Meiryo UI" panose="020B0604030504040204" pitchFamily="50" charset="-128"/>
            </a:rPr>
            <a:t>合意形成対象者が、例えば、自治会長やその施設における代表者である場合は、「合意形成対象 代表者」に ○ を記入してください。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w="28575">
          <a:solidFill>
            <a:schemeClr val="accent2"/>
          </a:solidFill>
        </a:ln>
      </a:spPr>
      <a:bodyPr rot="0" spcFirstLastPara="0" vertOverflow="clip" horzOverflow="clip" vert="horz" wrap="square" lIns="36000" tIns="0" rIns="36000" bIns="0" numCol="1" spcCol="0" rtlCol="0" fromWordArt="0" anchor="ctr" anchorCtr="0" forceAA="0" compatLnSpc="1">
        <a:prstTxWarp prst="textNoShape">
          <a:avLst/>
        </a:prstTxWarp>
        <a:noAutofit/>
      </a:bodyPr>
      <a:lstStyle>
        <a:defPPr algn="ctr">
          <a:defRPr kumimoji="1" sz="1400" b="0">
            <a:solidFill>
              <a:sysClr val="windowText" lastClr="000000"/>
            </a:solidFill>
            <a:latin typeface="ＭＳ ゴシック" panose="020B0609070205080204" pitchFamily="49" charset="-128"/>
            <a:ea typeface="ＭＳ ゴシック" panose="020B0609070205080204" pitchFamily="49" charset="-128"/>
            <a:cs typeface="+mn-cs"/>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8.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9.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0.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1.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2.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3.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4.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5.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6.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7.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8.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19.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0.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1.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22.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23.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24.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4.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5.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6.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7.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C2FA9-220B-4724-8EE1-DD73468876E0}">
  <sheetPr codeName="Sheet1"/>
  <dimension ref="B2:D30"/>
  <sheetViews>
    <sheetView showGridLines="0" workbookViewId="0"/>
  </sheetViews>
  <sheetFormatPr defaultRowHeight="18"/>
  <cols>
    <col min="1" max="1" width="2.33203125" customWidth="1"/>
    <col min="2" max="2" width="0" hidden="1" customWidth="1"/>
    <col min="3" max="3" width="51.08203125" hidden="1" customWidth="1"/>
    <col min="4" max="4" width="0" hidden="1" customWidth="1"/>
  </cols>
  <sheetData>
    <row r="2" spans="2:4">
      <c r="C2" s="893" t="s">
        <v>604</v>
      </c>
    </row>
    <row r="3" spans="2:4">
      <c r="C3" s="177">
        <f>表紙!$C$4</f>
        <v>0</v>
      </c>
    </row>
    <row r="5" spans="2:4">
      <c r="B5" s="894" t="s">
        <v>603</v>
      </c>
      <c r="C5" s="894" t="s">
        <v>589</v>
      </c>
      <c r="D5" s="894" t="s">
        <v>458</v>
      </c>
    </row>
    <row r="6" spans="2:4">
      <c r="B6" s="177">
        <v>1</v>
      </c>
      <c r="C6" s="177" t="s">
        <v>588</v>
      </c>
      <c r="D6" s="518"/>
    </row>
    <row r="7" spans="2:4">
      <c r="B7" s="177">
        <v>2</v>
      </c>
      <c r="C7" s="177" t="s">
        <v>587</v>
      </c>
      <c r="D7" s="177">
        <f ca="1">'1.1対象エリアの規模等'!N21</f>
        <v>1</v>
      </c>
    </row>
    <row r="8" spans="2:4">
      <c r="B8" s="177">
        <v>3</v>
      </c>
      <c r="C8" s="177" t="s">
        <v>586</v>
      </c>
      <c r="D8" s="518"/>
    </row>
    <row r="9" spans="2:4">
      <c r="B9" s="177">
        <v>4</v>
      </c>
      <c r="C9" s="177" t="s">
        <v>585</v>
      </c>
      <c r="D9" s="177">
        <f ca="1">'3.4活用想定補助金(年度別)'!$O99</f>
        <v>1</v>
      </c>
    </row>
    <row r="10" spans="2:4">
      <c r="B10" s="177">
        <v>5</v>
      </c>
      <c r="C10" s="177" t="s">
        <v>584</v>
      </c>
      <c r="D10" s="177">
        <f ca="1">'4.1(1)再エネ導入可能量'!P6</f>
        <v>1</v>
      </c>
    </row>
    <row r="11" spans="2:4">
      <c r="B11" s="177">
        <v>6</v>
      </c>
      <c r="C11" s="177" t="s">
        <v>583</v>
      </c>
      <c r="D11" s="177">
        <f>'4.1(2)新規再エネ導入予定（設備情報）'!Y191</f>
        <v>1</v>
      </c>
    </row>
    <row r="12" spans="2:4">
      <c r="B12" s="177">
        <v>7</v>
      </c>
      <c r="C12" s="177" t="s">
        <v>582</v>
      </c>
      <c r="D12" s="177">
        <f ca="1">'4.1(2)新規再エネ導入予定(FS調査、系統接続検討状況)'!S178</f>
        <v>1</v>
      </c>
    </row>
    <row r="13" spans="2:4">
      <c r="B13" s="177">
        <v>8</v>
      </c>
      <c r="C13" s="177" t="s">
        <v>581</v>
      </c>
      <c r="D13" s="177">
        <f ca="1">'4.1(2)新規再エネ導入予定(合意形成)'!X187</f>
        <v>1</v>
      </c>
    </row>
    <row r="14" spans="2:4">
      <c r="B14" s="177">
        <v>9</v>
      </c>
      <c r="C14" s="177" t="s">
        <v>580</v>
      </c>
      <c r="D14" s="518"/>
    </row>
    <row r="15" spans="2:4">
      <c r="B15" s="177">
        <v>10</v>
      </c>
      <c r="C15" s="177" t="s">
        <v>579</v>
      </c>
      <c r="D15" s="177">
        <f ca="1">'4.1(3)活用可能な既存の再エネ発電設備'!U7</f>
        <v>1</v>
      </c>
    </row>
    <row r="16" spans="2:4">
      <c r="B16" s="177">
        <v>11</v>
      </c>
      <c r="C16" s="177" t="s">
        <v>578</v>
      </c>
      <c r="D16" s="177">
        <f ca="1">'4.2実質ゼロ(計算結果)'!R3</f>
        <v>1</v>
      </c>
    </row>
    <row r="17" spans="2:4">
      <c r="B17" s="177">
        <v>12</v>
      </c>
      <c r="C17" s="177" t="s">
        <v>577</v>
      </c>
      <c r="D17" s="177">
        <f>'4.2対象地域の民生需要家数等'!N9</f>
        <v>1</v>
      </c>
    </row>
    <row r="18" spans="2:4">
      <c r="B18" s="177">
        <v>13</v>
      </c>
      <c r="C18" s="177" t="s">
        <v>576</v>
      </c>
      <c r="D18" s="177">
        <f ca="1">'4.2実質ゼロ(サマリ)'!P6</f>
        <v>1</v>
      </c>
    </row>
    <row r="19" spans="2:4">
      <c r="B19" s="177">
        <v>14</v>
      </c>
      <c r="C19" s="177" t="s">
        <v>575</v>
      </c>
      <c r="D19" s="410">
        <f ca="1">'4.2民生電力需要量'!Q55</f>
        <v>1</v>
      </c>
    </row>
    <row r="20" spans="2:4">
      <c r="B20" s="177">
        <v>15</v>
      </c>
      <c r="C20" s="177" t="s">
        <v>574</v>
      </c>
      <c r="D20" s="177">
        <f ca="1">'4.2需要家合意形成状況(住宅)'!AA5</f>
        <v>1</v>
      </c>
    </row>
    <row r="21" spans="2:4">
      <c r="B21" s="177">
        <v>16</v>
      </c>
      <c r="C21" s="177" t="s">
        <v>573</v>
      </c>
      <c r="D21" s="177">
        <f ca="1">'4.2需要家合意形成状況(民生・業務その他)'!Z5</f>
        <v>1</v>
      </c>
    </row>
    <row r="22" spans="2:4">
      <c r="B22" s="177">
        <v>17</v>
      </c>
      <c r="C22" s="177" t="s">
        <v>572</v>
      </c>
      <c r="D22" s="177">
        <f ca="1">'4.2需要家合意形成状況(公共)'!V5</f>
        <v>1</v>
      </c>
    </row>
    <row r="23" spans="2:4">
      <c r="B23" s="177">
        <v>18</v>
      </c>
      <c r="C23" s="177" t="s">
        <v>571</v>
      </c>
      <c r="D23" s="177">
        <f ca="1">'4.2電力供給状況(民生部門)'!W8</f>
        <v>1</v>
      </c>
    </row>
    <row r="24" spans="2:4">
      <c r="B24" s="177">
        <v>19</v>
      </c>
      <c r="C24" s="177" t="s">
        <v>570</v>
      </c>
      <c r="D24" s="177">
        <f ca="1">'4.2地産地消割合'!N23</f>
        <v>0</v>
      </c>
    </row>
    <row r="25" spans="2:4">
      <c r="B25" s="177">
        <v>20</v>
      </c>
      <c r="C25" s="177" t="s">
        <v>569</v>
      </c>
      <c r="D25" s="177">
        <f ca="1">'4.2電力削減量'!L68</f>
        <v>1</v>
      </c>
    </row>
    <row r="26" spans="2:4">
      <c r="B26" s="177">
        <v>21</v>
      </c>
      <c r="C26" s="177" t="s">
        <v>568</v>
      </c>
      <c r="D26" s="177">
        <f ca="1">'4.3民生部門電力以外の排出削減取組'!Q43</f>
        <v>1</v>
      </c>
    </row>
    <row r="27" spans="2:4">
      <c r="B27" s="177">
        <v>22</v>
      </c>
      <c r="C27" s="177" t="s">
        <v>567</v>
      </c>
      <c r="D27" s="177">
        <f ca="1">'4.3民生部門電力以外の取組'!Z5</f>
        <v>1</v>
      </c>
    </row>
    <row r="28" spans="2:4">
      <c r="B28" s="177">
        <v>23</v>
      </c>
      <c r="C28" s="177" t="s">
        <v>566</v>
      </c>
      <c r="D28" s="177">
        <f ca="1">'4.3電力供給状況(民生部門電力以外)'!U51</f>
        <v>1</v>
      </c>
    </row>
    <row r="29" spans="2:4">
      <c r="B29" s="177">
        <v>24</v>
      </c>
      <c r="C29" s="177" t="s">
        <v>565</v>
      </c>
      <c r="D29" s="518"/>
    </row>
    <row r="30" spans="2:4">
      <c r="B30" s="177">
        <v>25</v>
      </c>
      <c r="C30" s="177" t="s">
        <v>231</v>
      </c>
      <c r="D30" s="217" t="str">
        <f ca="1">IF(PRODUCT($D$6:$D$29)=1,"OK","NG")</f>
        <v>NG</v>
      </c>
    </row>
  </sheetData>
  <sheetProtection algorithmName="SHA-512" hashValue="+CYWKpObysUqCDZD8q12QwHCElRva3w3XrSdMtf8sA4EbpLjY1eYcQlzrxJep9DXOitn0jKjtBtmwzTzhEJqZA==" saltValue="YKB+fteBc8HrMuMsbyrbNA==" spinCount="100000" sheet="1" objects="1" scenarios="1"/>
  <phoneticPr fontId="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45867-962F-4089-8E8B-9BFBE47C3A86}">
  <sheetPr codeName="Sheet3">
    <tabColor theme="7" tint="0.79998168889431442"/>
    <pageSetUpPr autoPageBreaks="0" fitToPage="1"/>
  </sheetPr>
  <dimension ref="A1:AJ218"/>
  <sheetViews>
    <sheetView showGridLines="0" zoomScaleNormal="100" zoomScaleSheetLayoutView="100" workbookViewId="0"/>
  </sheetViews>
  <sheetFormatPr defaultColWidth="9" defaultRowHeight="18"/>
  <cols>
    <col min="1" max="1" width="2.33203125" customWidth="1"/>
    <col min="2" max="3" width="2.58203125" style="13" customWidth="1"/>
    <col min="4" max="4" width="2.33203125" style="13" customWidth="1"/>
    <col min="5" max="5" width="5.08203125" style="13" customWidth="1"/>
    <col min="6" max="6" width="20.83203125" style="13" customWidth="1"/>
    <col min="7" max="7" width="24.08203125" style="13" customWidth="1"/>
    <col min="8" max="8" width="12.33203125" style="13" customWidth="1"/>
    <col min="9" max="9" width="11.58203125" style="252" customWidth="1"/>
    <col min="10" max="10" width="13.75" style="13" customWidth="1"/>
    <col min="11" max="11" width="14.08203125" style="13" bestFit="1" customWidth="1"/>
    <col min="12" max="12" width="29.25" style="13" customWidth="1"/>
    <col min="13" max="16" width="14.08203125" style="231" customWidth="1"/>
    <col min="17" max="17" width="11.75" style="231" customWidth="1"/>
    <col min="18" max="18" width="3.58203125" style="13" customWidth="1"/>
    <col min="19" max="19" width="2.33203125" style="13" customWidth="1"/>
    <col min="20" max="20" width="11.25" style="2" customWidth="1"/>
    <col min="21" max="21" width="2.83203125" customWidth="1"/>
    <col min="22" max="22" width="9" hidden="1" customWidth="1"/>
    <col min="23" max="23" width="9" style="2" hidden="1" customWidth="1"/>
    <col min="24" max="27" width="9" style="123" hidden="1" customWidth="1"/>
    <col min="28" max="28" width="9" style="261" hidden="1" customWidth="1"/>
    <col min="29" max="34" width="9" hidden="1" customWidth="1"/>
    <col min="35" max="35" width="9.33203125" hidden="1" customWidth="1"/>
    <col min="36" max="36" width="9" hidden="1" customWidth="1"/>
    <col min="38" max="38" width="9.33203125" bestFit="1" customWidth="1"/>
  </cols>
  <sheetData>
    <row r="1" spans="1:36" ht="24" customHeight="1">
      <c r="A1" s="44" t="s">
        <v>350</v>
      </c>
      <c r="C1"/>
      <c r="I1" s="13"/>
      <c r="L1" s="229"/>
      <c r="N1" s="229"/>
      <c r="Q1" s="229"/>
      <c r="R1" s="231"/>
      <c r="S1" s="231"/>
    </row>
    <row r="2" spans="1:36" ht="48" customHeight="1">
      <c r="A2" s="955" t="s">
        <v>351</v>
      </c>
      <c r="B2" s="955"/>
      <c r="C2" s="955"/>
      <c r="D2" s="955"/>
      <c r="E2" s="955"/>
      <c r="F2" s="955"/>
      <c r="G2" s="955"/>
      <c r="H2" s="955"/>
      <c r="I2" s="955"/>
      <c r="J2" s="955"/>
      <c r="K2" s="955"/>
      <c r="L2" s="955"/>
      <c r="M2" s="955"/>
      <c r="N2" s="955"/>
      <c r="O2" s="955"/>
      <c r="P2" s="955"/>
      <c r="Q2" s="955"/>
      <c r="R2" s="955"/>
      <c r="S2" s="955"/>
    </row>
    <row r="3" spans="1:36" ht="17.25" customHeight="1">
      <c r="D3" s="232"/>
      <c r="E3" s="232"/>
      <c r="F3" s="232"/>
      <c r="G3" s="232"/>
      <c r="H3" s="232"/>
      <c r="I3" s="262"/>
      <c r="J3" s="232"/>
      <c r="K3" s="232"/>
      <c r="L3" s="232"/>
      <c r="M3" s="235"/>
      <c r="N3" s="235"/>
      <c r="O3" s="235"/>
      <c r="P3" s="235"/>
      <c r="Q3" s="235"/>
      <c r="V3" s="1" t="s">
        <v>317</v>
      </c>
      <c r="W3" s="475"/>
    </row>
    <row r="4" spans="1:36" ht="9.75" customHeight="1">
      <c r="D4" s="236"/>
      <c r="E4" s="15"/>
      <c r="F4" s="15"/>
      <c r="G4" s="15"/>
      <c r="H4" s="15"/>
      <c r="I4" s="251"/>
      <c r="J4" s="15"/>
      <c r="K4" s="15"/>
      <c r="L4" s="15"/>
      <c r="M4" s="238"/>
      <c r="N4" s="238"/>
      <c r="O4" s="238"/>
      <c r="P4" s="238"/>
      <c r="Q4" s="238"/>
      <c r="R4" s="30"/>
    </row>
    <row r="5" spans="1:36" ht="24.75" customHeight="1">
      <c r="D5" s="239" t="s">
        <v>7</v>
      </c>
      <c r="R5" s="19"/>
    </row>
    <row r="6" spans="1:36" ht="21" customHeight="1">
      <c r="D6" s="239"/>
      <c r="E6" s="970" t="s">
        <v>8</v>
      </c>
      <c r="F6" s="971"/>
      <c r="G6" s="976" t="s">
        <v>186</v>
      </c>
      <c r="H6" s="976" t="s">
        <v>181</v>
      </c>
      <c r="I6" s="974" t="s">
        <v>31</v>
      </c>
      <c r="J6" s="976" t="s">
        <v>187</v>
      </c>
      <c r="K6" s="976" t="s">
        <v>81</v>
      </c>
      <c r="L6" s="983" t="s">
        <v>184</v>
      </c>
      <c r="M6" s="947" t="s">
        <v>185</v>
      </c>
      <c r="N6" s="947"/>
      <c r="O6" s="947"/>
      <c r="P6" s="947"/>
      <c r="Q6" s="981" t="s">
        <v>306</v>
      </c>
      <c r="R6" s="19"/>
      <c r="T6" s="981" t="s">
        <v>402</v>
      </c>
      <c r="V6" s="979" t="s">
        <v>308</v>
      </c>
      <c r="W6" s="979" t="s">
        <v>513</v>
      </c>
      <c r="X6" s="979" t="s">
        <v>401</v>
      </c>
      <c r="Y6" s="979" t="s">
        <v>314</v>
      </c>
      <c r="Z6" s="979" t="s">
        <v>426</v>
      </c>
      <c r="AA6" s="979" t="s">
        <v>427</v>
      </c>
      <c r="AB6" s="979" t="s">
        <v>410</v>
      </c>
      <c r="AC6" s="979" t="s">
        <v>403</v>
      </c>
      <c r="AD6" s="979" t="s">
        <v>404</v>
      </c>
      <c r="AE6" s="979" t="s">
        <v>405</v>
      </c>
      <c r="AF6" s="979" t="s">
        <v>406</v>
      </c>
      <c r="AG6" s="979" t="s">
        <v>407</v>
      </c>
      <c r="AH6" s="990" t="s">
        <v>514</v>
      </c>
      <c r="AI6" s="979" t="s">
        <v>408</v>
      </c>
      <c r="AJ6" s="979" t="s">
        <v>409</v>
      </c>
    </row>
    <row r="7" spans="1:36" ht="42" customHeight="1">
      <c r="D7" s="16"/>
      <c r="E7" s="972"/>
      <c r="F7" s="973"/>
      <c r="G7" s="977"/>
      <c r="H7" s="977"/>
      <c r="I7" s="975"/>
      <c r="J7" s="977"/>
      <c r="K7" s="977"/>
      <c r="L7" s="984"/>
      <c r="M7" s="436" t="s">
        <v>197</v>
      </c>
      <c r="N7" s="436" t="s">
        <v>101</v>
      </c>
      <c r="O7" s="436" t="s">
        <v>196</v>
      </c>
      <c r="P7" s="367" t="s">
        <v>100</v>
      </c>
      <c r="Q7" s="982"/>
      <c r="R7" s="19"/>
      <c r="T7" s="982"/>
      <c r="V7" s="980"/>
      <c r="W7" s="980"/>
      <c r="X7" s="980"/>
      <c r="Y7" s="980"/>
      <c r="Z7" s="980"/>
      <c r="AA7" s="980"/>
      <c r="AB7" s="980"/>
      <c r="AC7" s="980"/>
      <c r="AD7" s="980"/>
      <c r="AE7" s="980"/>
      <c r="AF7" s="980"/>
      <c r="AG7" s="980"/>
      <c r="AH7" s="991"/>
      <c r="AI7" s="980"/>
      <c r="AJ7" s="980"/>
    </row>
    <row r="8" spans="1:36" ht="20">
      <c r="D8" s="190"/>
      <c r="E8" s="192" t="s">
        <v>437</v>
      </c>
      <c r="F8" s="193"/>
      <c r="G8" s="477"/>
      <c r="H8" s="478"/>
      <c r="I8" s="479"/>
      <c r="J8" s="480"/>
      <c r="K8" s="481"/>
      <c r="L8" s="481"/>
      <c r="M8" s="480"/>
      <c r="N8" s="480"/>
      <c r="O8" s="480"/>
      <c r="P8" s="480"/>
      <c r="Q8" s="503"/>
      <c r="R8" s="19"/>
      <c r="T8" s="490"/>
      <c r="V8" s="177">
        <f>ROW()-7</f>
        <v>1</v>
      </c>
      <c r="W8" s="217">
        <f ca="1">IF(OFFSET('4.1(2)新規再エネ導入予定（設備情報）'!$O$1,MATCH(X8,'4.1(2)新規再エネ導入予定（設備情報）'!$Z:$Z,0)-1,0)="低圧",1,0)</f>
        <v>0</v>
      </c>
      <c r="X8" s="127" t="str">
        <f ca="1">IFERROR(IF(AND(G8="",L8&lt;&gt;""),MAX(OFFSET($X$8,0,0,ROW()-8,1)),OFFSET('4.1(2)新規再エネ導入予定（設備情報）'!$Z$1,MATCH($G8,'4.1(2)新規再エネ導入予定（設備情報）'!$G:$G,0)-1,0)),"")</f>
        <v/>
      </c>
      <c r="Y8" s="263">
        <f t="shared" ref="Y8:Y9" si="0">IF(T8="○",1,0)</f>
        <v>0</v>
      </c>
      <c r="Z8" s="263">
        <f t="shared" ref="Z8:Z39" ca="1" si="1">SUMIF($X$8:$X$171,X8,$Y$8:$Y$171)</f>
        <v>0</v>
      </c>
      <c r="AA8" s="263">
        <f>IF($M8="合意済",1,0)</f>
        <v>0</v>
      </c>
      <c r="AB8" s="264">
        <f t="shared" ref="AB8:AB39" ca="1" si="2">IF(COUNTIFS($X$8:$X$171,X8,$Y$8:$Y$171,1)=0,1,COUNTIFS($X$8:$X$171,X8,$Y$8:$Y$171,1,$AA$8:$AA$171,1))</f>
        <v>1</v>
      </c>
      <c r="AC8" s="177" t="str">
        <f>IF(M8="","",IF(OR(M8="説明済",M8="協議中",M8="合意済"),1,0))</f>
        <v/>
      </c>
      <c r="AD8" s="177" t="str">
        <f>IF(N8="","",IF(OR(N8="説明済",N8="協議中",N8="合意済"),1,0))</f>
        <v/>
      </c>
      <c r="AE8" s="177" t="str">
        <f>IF(O8="","",IF(OR(O8="説明済",O8="協議中",O8="合意済"),1,0))</f>
        <v/>
      </c>
      <c r="AF8" s="177" t="str">
        <f>IF(P8="","",IF(OR(P8="説明済",P8="協議中",P8="合意済"),1,0))</f>
        <v/>
      </c>
      <c r="AG8" s="177" t="str">
        <f>IF(COUNTBLANK(AD8:AF8)=0,PRODUCT(AD8:AF8),"E")</f>
        <v>E</v>
      </c>
      <c r="AH8" s="177" cm="1">
        <f t="array" ref="AH8">_xlfn.IFS(COUNTIF($N8:$P8,"合意済")=3,4,OR(COUNTIF($N8:$P8,"合意済")=2,COUNTIF($N8:$P8,"合意済")=1),3,COUNTIF($N8:$P8,"合意済")=0,2)</f>
        <v>2</v>
      </c>
      <c r="AI8" s="177" t="e">
        <f t="shared" ref="AI8:AI11" ca="1" si="3">IF(AND(W8*AA8*AC8=1,AD8*AE8*AF8=0),2,AB8*AC8*AG8*(AH8))</f>
        <v>#VALUE!</v>
      </c>
      <c r="AJ8" s="177" t="str">
        <f t="shared" ref="AJ8:AJ39" ca="1" si="4">IFERROR(_xlfn.MINIFS($AI$8:$AI$171,$X$8:$X$171,X8),"")</f>
        <v/>
      </c>
    </row>
    <row r="9" spans="1:36" s="11" customFormat="1" hidden="1">
      <c r="B9" s="21"/>
      <c r="C9" s="21"/>
      <c r="D9" s="36"/>
      <c r="E9" s="126"/>
      <c r="F9" s="714"/>
      <c r="G9" s="482"/>
      <c r="H9" s="498"/>
      <c r="I9" s="499"/>
      <c r="J9" s="500"/>
      <c r="K9" s="501"/>
      <c r="L9" s="484"/>
      <c r="M9" s="487"/>
      <c r="N9" s="487"/>
      <c r="O9" s="487"/>
      <c r="P9" s="487"/>
      <c r="Q9" s="487"/>
      <c r="R9" s="24"/>
      <c r="S9" s="21"/>
      <c r="T9" s="487"/>
      <c r="V9" s="257">
        <f t="shared" ref="V9:V72" si="5">ROW()-7</f>
        <v>2</v>
      </c>
      <c r="W9" s="131">
        <f ca="1">IF(OFFSET('4.1(2)新規再エネ導入予定（設備情報）'!$O$1,MATCH(X9,'4.1(2)新規再エネ導入予定（設備情報）'!$Z:$Z,0)-1,0)="低圧",1,0)</f>
        <v>0</v>
      </c>
      <c r="X9" s="127" t="str">
        <f ca="1">IFERROR(IF(AND(G9="",L9&lt;&gt;""),MAX(OFFSET($X$8,0,0,ROW()-8,1)),OFFSET('4.1(2)新規再エネ導入予定（設備情報）'!$Z$1,MATCH($G9,'4.1(2)新規再エネ導入予定（設備情報）'!$G:$G,0)-1,0)),"")</f>
        <v/>
      </c>
      <c r="Y9" s="226">
        <f t="shared" si="0"/>
        <v>0</v>
      </c>
      <c r="Z9" s="226">
        <f t="shared" ca="1" si="1"/>
        <v>0</v>
      </c>
      <c r="AA9" s="226">
        <f t="shared" ref="AA9:AA64" si="6">IF($M9="合意済",1,0)</f>
        <v>0</v>
      </c>
      <c r="AB9" s="279">
        <f t="shared" ca="1" si="2"/>
        <v>1</v>
      </c>
      <c r="AC9" s="257" t="str">
        <f t="shared" ref="AC9:AC24" si="7">IF(M9="","",IF(OR(M9="説明済",M9="協議中",M9="合意済"),1,0))</f>
        <v/>
      </c>
      <c r="AD9" s="257" t="str">
        <f t="shared" ref="AD9:AD67" si="8">IF(N9="","",IF(OR(N9="説明済",N9="協議中",N9="合意済"),1,0))</f>
        <v/>
      </c>
      <c r="AE9" s="257" t="str">
        <f t="shared" ref="AE9:AE40" si="9">IF(O9="","",IF(OR(O9="説明済",O9="協議中",O9="合意済"),1,0))</f>
        <v/>
      </c>
      <c r="AF9" s="257" t="str">
        <f t="shared" ref="AF9:AF40" si="10">IF(P9="","",IF(OR(P9="説明済",P9="協議中",P9="合意済"),1,0))</f>
        <v/>
      </c>
      <c r="AG9" s="257" t="str">
        <f t="shared" ref="AG9:AG19" si="11">IF(COUNTBLANK(AD9:AF9)=0,PRODUCT(AD9:AF9),"E")</f>
        <v>E</v>
      </c>
      <c r="AH9" s="257" cm="1">
        <f t="array" ref="AH9">_xlfn.IFS(COUNTIF($N9:$P9,"合意済")=3,4,OR(COUNTIF($N9:$P9,"合意済")=2,COUNTIF($N9:$P9,"合意済")=1),3,COUNTIF($N9:$P9,"合意済")=0,2)</f>
        <v>2</v>
      </c>
      <c r="AI9" s="257" t="e">
        <f t="shared" ca="1" si="3"/>
        <v>#VALUE!</v>
      </c>
      <c r="AJ9" s="257" t="str">
        <f t="shared" ca="1" si="4"/>
        <v/>
      </c>
    </row>
    <row r="10" spans="1:36" s="11" customFormat="1">
      <c r="B10" s="21"/>
      <c r="C10" s="21"/>
      <c r="D10" s="36"/>
      <c r="E10" s="126"/>
      <c r="F10" s="492" t="str">
        <f ca="1">IFERROR(OFFSET('4.1(2)新規再エネ導入予定（設備情報）'!$F$1,MATCH(G10,'4.1(2)新規再エネ導入予定（設備情報）'!$G:$G,0)-1,0),"")</f>
        <v/>
      </c>
      <c r="G10" s="483"/>
      <c r="H10" s="494" t="str">
        <f ca="1">IFERROR(OFFSET('4.1(2)新規再エネ導入予定（設備情報）'!$H$1,MATCH(G10,'4.1(2)新規再エネ導入予定（設備情報）'!$G:$G,0)-1,0)&amp;"","")</f>
        <v/>
      </c>
      <c r="I10" s="495" t="str">
        <f ca="1">IFERROR(OFFSET('4.1(2)新規再エネ導入予定（設備情報）'!$L$1,MATCH(G10,'4.1(2)新規再エネ導入予定（設備情報）'!$G:$G,0)-1,0),"")</f>
        <v/>
      </c>
      <c r="J10" s="496" t="str">
        <f ca="1">IFERROR(OFFSET('4.1(2)新規再エネ導入予定（設備情報）'!$O$1,MATCH(G10,'4.1(2)新規再エネ導入予定（設備情報）'!$G:$G,0)-1,0),"")</f>
        <v/>
      </c>
      <c r="K10" s="497" t="str">
        <f ca="1">IFERROR(OFFSET('4.1(2)新規再エネ導入予定（設備情報）'!$P$1,MATCH(G10,'4.1(2)新規再エネ導入予定（設備情報）'!$G:$G,0)-1,0),"")</f>
        <v/>
      </c>
      <c r="L10" s="485"/>
      <c r="M10" s="488"/>
      <c r="N10" s="488"/>
      <c r="O10" s="488"/>
      <c r="P10" s="488"/>
      <c r="Q10" s="488"/>
      <c r="R10" s="24"/>
      <c r="S10" s="21"/>
      <c r="T10" s="488"/>
      <c r="V10" s="257">
        <f t="shared" si="5"/>
        <v>3</v>
      </c>
      <c r="W10" s="131">
        <f ca="1">IF(OFFSET('4.1(2)新規再エネ導入予定（設備情報）'!$O$1,MATCH(X10,'4.1(2)新規再エネ導入予定（設備情報）'!$Z:$Z,0)-1,0)="低圧",1,0)</f>
        <v>0</v>
      </c>
      <c r="X10" s="127" t="str">
        <f ca="1">IFERROR(IF(AND(G10="",L10&lt;&gt;""),MAX(OFFSET($X$8,0,0,ROW()-8,1)),OFFSET('4.1(2)新規再エネ導入予定（設備情報）'!$Z$1,MATCH($G10,'4.1(2)新規再エネ導入予定（設備情報）'!$G:$G,0)-1,0)),"")</f>
        <v/>
      </c>
      <c r="Y10" s="127">
        <f>IF(T10="○",1,0)</f>
        <v>0</v>
      </c>
      <c r="Z10" s="226">
        <f t="shared" ca="1" si="1"/>
        <v>0</v>
      </c>
      <c r="AA10" s="127">
        <f t="shared" si="6"/>
        <v>0</v>
      </c>
      <c r="AB10" s="279">
        <f t="shared" ca="1" si="2"/>
        <v>1</v>
      </c>
      <c r="AC10" s="257" t="str">
        <f t="shared" si="7"/>
        <v/>
      </c>
      <c r="AD10" s="257" t="str">
        <f t="shared" si="8"/>
        <v/>
      </c>
      <c r="AE10" s="257" t="str">
        <f t="shared" si="9"/>
        <v/>
      </c>
      <c r="AF10" s="257" t="str">
        <f t="shared" si="10"/>
        <v/>
      </c>
      <c r="AG10" s="257" t="str">
        <f>IF(COUNTBLANK(AD10:AF10)=0,PRODUCT(AD10:AF10),"E")</f>
        <v>E</v>
      </c>
      <c r="AH10" s="257" cm="1">
        <f t="array" ref="AH10">_xlfn.IFS(COUNTIF($N10:$P10,"合意済")=3,4,OR(COUNTIF($N10:$P10,"合意済")=2,COUNTIF($N10:$P10,"合意済")=1),3,COUNTIF($N10:$P10,"合意済")=0,2)</f>
        <v>2</v>
      </c>
      <c r="AI10" s="257" t="e">
        <f t="shared" ca="1" si="3"/>
        <v>#VALUE!</v>
      </c>
      <c r="AJ10" s="257" t="str">
        <f t="shared" ca="1" si="4"/>
        <v/>
      </c>
    </row>
    <row r="11" spans="1:36" s="11" customFormat="1">
      <c r="B11" s="21"/>
      <c r="C11" s="21"/>
      <c r="D11" s="36"/>
      <c r="E11" s="126"/>
      <c r="F11" s="492" t="str">
        <f ca="1">IFERROR(OFFSET('4.1(2)新規再エネ導入予定（設備情報）'!$F$1,MATCH(G11,'4.1(2)新規再エネ導入予定（設備情報）'!$G:$G,0)-1,0),"")</f>
        <v/>
      </c>
      <c r="G11" s="483"/>
      <c r="H11" s="494" t="str">
        <f ca="1">IFERROR(OFFSET('4.1(2)新規再エネ導入予定（設備情報）'!$H$1,MATCH(G11,'4.1(2)新規再エネ導入予定（設備情報）'!$G:$G,0)-1,0)&amp;"","")</f>
        <v/>
      </c>
      <c r="I11" s="495" t="str">
        <f ca="1">IFERROR(OFFSET('4.1(2)新規再エネ導入予定（設備情報）'!$L$1,MATCH(G11,'4.1(2)新規再エネ導入予定（設備情報）'!$G:$G,0)-1,0),"")</f>
        <v/>
      </c>
      <c r="J11" s="496" t="str">
        <f ca="1">IFERROR(OFFSET('4.1(2)新規再エネ導入予定（設備情報）'!$O$1,MATCH(G11,'4.1(2)新規再エネ導入予定（設備情報）'!$G:$G,0)-1,0),"")</f>
        <v/>
      </c>
      <c r="K11" s="497" t="str">
        <f ca="1">IFERROR(OFFSET('4.1(2)新規再エネ導入予定（設備情報）'!$P$1,MATCH(G11,'4.1(2)新規再エネ導入予定（設備情報）'!$G:$G,0)-1,0),"")</f>
        <v/>
      </c>
      <c r="L11" s="485"/>
      <c r="M11" s="489"/>
      <c r="N11" s="489"/>
      <c r="O11" s="489"/>
      <c r="P11" s="489"/>
      <c r="Q11" s="489"/>
      <c r="R11" s="24"/>
      <c r="S11" s="21"/>
      <c r="T11" s="488"/>
      <c r="V11" s="257">
        <f t="shared" si="5"/>
        <v>4</v>
      </c>
      <c r="W11" s="131">
        <f ca="1">IF(OFFSET('4.1(2)新規再エネ導入予定（設備情報）'!$O$1,MATCH(X11,'4.1(2)新規再エネ導入予定（設備情報）'!$Z:$Z,0)-1,0)="低圧",1,0)</f>
        <v>0</v>
      </c>
      <c r="X11" s="127" t="str">
        <f ca="1">IFERROR(IF(AND(G11="",L11&lt;&gt;""),MAX(OFFSET($X$8,0,0,ROW()-8,1)),OFFSET('4.1(2)新規再エネ導入予定（設備情報）'!$Z$1,MATCH($G11,'4.1(2)新規再エネ導入予定（設備情報）'!$G:$G,0)-1,0)),"")</f>
        <v/>
      </c>
      <c r="Y11" s="127">
        <f t="shared" ref="Y11:Y73" si="12">IF(T11="○",1,0)</f>
        <v>0</v>
      </c>
      <c r="Z11" s="226">
        <f t="shared" ca="1" si="1"/>
        <v>0</v>
      </c>
      <c r="AA11" s="127">
        <f t="shared" si="6"/>
        <v>0</v>
      </c>
      <c r="AB11" s="279">
        <f t="shared" ca="1" si="2"/>
        <v>1</v>
      </c>
      <c r="AC11" s="257" t="str">
        <f t="shared" si="7"/>
        <v/>
      </c>
      <c r="AD11" s="257" t="str">
        <f t="shared" si="8"/>
        <v/>
      </c>
      <c r="AE11" s="257" t="str">
        <f t="shared" si="9"/>
        <v/>
      </c>
      <c r="AF11" s="257" t="str">
        <f t="shared" si="10"/>
        <v/>
      </c>
      <c r="AG11" s="257" t="str">
        <f>IF(COUNTBLANK(AD11:AF11)=0,PRODUCT(AD11:AF11),"E")</f>
        <v>E</v>
      </c>
      <c r="AH11" s="257" cm="1">
        <f t="array" ref="AH11">_xlfn.IFS(COUNTIF($N11:$P11,"合意済")=3,4,OR(COUNTIF($N11:$P11,"合意済")=2,COUNTIF($N11:$P11,"合意済")=1),3,COUNTIF($N11:$P11,"合意済")=0,2)</f>
        <v>2</v>
      </c>
      <c r="AI11" s="257" t="e">
        <f t="shared" ca="1" si="3"/>
        <v>#VALUE!</v>
      </c>
      <c r="AJ11" s="257" t="str">
        <f t="shared" ca="1" si="4"/>
        <v/>
      </c>
    </row>
    <row r="12" spans="1:36" s="11" customFormat="1">
      <c r="B12" s="21"/>
      <c r="C12" s="21"/>
      <c r="D12" s="36"/>
      <c r="E12" s="126"/>
      <c r="F12" s="492" t="str">
        <f ca="1">IFERROR(OFFSET('4.1(2)新規再エネ導入予定（設備情報）'!$F$1,MATCH(G12,'4.1(2)新規再エネ導入予定（設備情報）'!$G:$G,0)-1,0),"")</f>
        <v/>
      </c>
      <c r="G12" s="483"/>
      <c r="H12" s="494" t="str">
        <f ca="1">IFERROR(OFFSET('4.1(2)新規再エネ導入予定（設備情報）'!$H$1,MATCH(G12,'4.1(2)新規再エネ導入予定（設備情報）'!$G:$G,0)-1,0)&amp;"","")</f>
        <v/>
      </c>
      <c r="I12" s="495" t="str">
        <f ca="1">IFERROR(OFFSET('4.1(2)新規再エネ導入予定（設備情報）'!$L$1,MATCH(G12,'4.1(2)新規再エネ導入予定（設備情報）'!$G:$G,0)-1,0),"")</f>
        <v/>
      </c>
      <c r="J12" s="496" t="str">
        <f ca="1">IFERROR(OFFSET('4.1(2)新規再エネ導入予定（設備情報）'!$O$1,MATCH(G12,'4.1(2)新規再エネ導入予定（設備情報）'!$G:$G,0)-1,0),"")</f>
        <v/>
      </c>
      <c r="K12" s="497" t="str">
        <f ca="1">IFERROR(OFFSET('4.1(2)新規再エネ導入予定（設備情報）'!$P$1,MATCH(G12,'4.1(2)新規再エネ導入予定（設備情報）'!$G:$G,0)-1,0),"")</f>
        <v/>
      </c>
      <c r="L12" s="486"/>
      <c r="M12" s="489"/>
      <c r="N12" s="489"/>
      <c r="O12" s="489"/>
      <c r="P12" s="489"/>
      <c r="Q12" s="489"/>
      <c r="R12" s="24"/>
      <c r="S12" s="21"/>
      <c r="T12" s="488"/>
      <c r="V12" s="257">
        <f t="shared" si="5"/>
        <v>5</v>
      </c>
      <c r="W12" s="131">
        <f ca="1">IF(OFFSET('4.1(2)新規再エネ導入予定（設備情報）'!$O$1,MATCH(X12,'4.1(2)新規再エネ導入予定（設備情報）'!$Z:$Z,0)-1,0)="低圧",1,0)</f>
        <v>0</v>
      </c>
      <c r="X12" s="127" t="str">
        <f ca="1">IFERROR(IF(AND(G12="",L12&lt;&gt;""),MAX(OFFSET($X$8,0,0,ROW()-8,1)),OFFSET('4.1(2)新規再エネ導入予定（設備情報）'!$Z$1,MATCH($G12,'4.1(2)新規再エネ導入予定（設備情報）'!$G:$G,0)-1,0)),"")</f>
        <v/>
      </c>
      <c r="Y12" s="127">
        <f t="shared" si="12"/>
        <v>0</v>
      </c>
      <c r="Z12" s="226">
        <f t="shared" ca="1" si="1"/>
        <v>0</v>
      </c>
      <c r="AA12" s="127">
        <f t="shared" si="6"/>
        <v>0</v>
      </c>
      <c r="AB12" s="279">
        <f t="shared" ca="1" si="2"/>
        <v>1</v>
      </c>
      <c r="AC12" s="257" t="str">
        <f t="shared" si="7"/>
        <v/>
      </c>
      <c r="AD12" s="257" t="str">
        <f t="shared" si="8"/>
        <v/>
      </c>
      <c r="AE12" s="257" t="str">
        <f t="shared" si="9"/>
        <v/>
      </c>
      <c r="AF12" s="257" t="str">
        <f t="shared" si="10"/>
        <v/>
      </c>
      <c r="AG12" s="257" t="str">
        <f>IF(COUNTBLANK(AD12:AF12)=0,PRODUCT(AD12:AF12),"E")</f>
        <v>E</v>
      </c>
      <c r="AH12" s="257" cm="1">
        <f t="array" ref="AH12">_xlfn.IFS(COUNTIF($N12:$P12,"合意済")=3,4,OR(COUNTIF($N12:$P12,"合意済")=2,COUNTIF($N12:$P12,"合意済")=1),3,COUNTIF($N12:$P12,"合意済")=0,2)</f>
        <v>2</v>
      </c>
      <c r="AI12" s="257" t="e">
        <f ca="1">IF(AND(W12*AA12*AC12=1,AD12*AE12*AF12=0),2,AB12*AC12*AG12*(AH12))</f>
        <v>#VALUE!</v>
      </c>
      <c r="AJ12" s="257" t="str">
        <f t="shared" ca="1" si="4"/>
        <v/>
      </c>
    </row>
    <row r="13" spans="1:36" s="11" customFormat="1">
      <c r="B13" s="21"/>
      <c r="C13" s="21"/>
      <c r="D13" s="36"/>
      <c r="E13" s="126"/>
      <c r="F13" s="492" t="str">
        <f ca="1">IFERROR(OFFSET('4.1(2)新規再エネ導入予定（設備情報）'!$F$1,MATCH(G13,'4.1(2)新規再エネ導入予定（設備情報）'!$G:$G,0)-1,0),"")</f>
        <v/>
      </c>
      <c r="G13" s="483"/>
      <c r="H13" s="494" t="str">
        <f ca="1">IFERROR(OFFSET('4.1(2)新規再エネ導入予定（設備情報）'!$H$1,MATCH(G13,'4.1(2)新規再エネ導入予定（設備情報）'!$G:$G,0)-1,0)&amp;"","")</f>
        <v/>
      </c>
      <c r="I13" s="495" t="str">
        <f ca="1">IFERROR(OFFSET('4.1(2)新規再エネ導入予定（設備情報）'!$L$1,MATCH(G13,'4.1(2)新規再エネ導入予定（設備情報）'!$G:$G,0)-1,0),"")</f>
        <v/>
      </c>
      <c r="J13" s="496" t="str">
        <f ca="1">IFERROR(OFFSET('4.1(2)新規再エネ導入予定（設備情報）'!$O$1,MATCH(G13,'4.1(2)新規再エネ導入予定（設備情報）'!$G:$G,0)-1,0),"")</f>
        <v/>
      </c>
      <c r="K13" s="497" t="str">
        <f ca="1">IFERROR(OFFSET('4.1(2)新規再エネ導入予定（設備情報）'!$P$1,MATCH(G13,'4.1(2)新規再エネ導入予定（設備情報）'!$G:$G,0)-1,0),"")</f>
        <v/>
      </c>
      <c r="L13" s="486"/>
      <c r="M13" s="489"/>
      <c r="N13" s="489"/>
      <c r="O13" s="489"/>
      <c r="P13" s="489"/>
      <c r="Q13" s="489"/>
      <c r="R13" s="24"/>
      <c r="S13" s="21"/>
      <c r="T13" s="488"/>
      <c r="V13" s="257">
        <f t="shared" si="5"/>
        <v>6</v>
      </c>
      <c r="W13" s="131">
        <f ca="1">IF(OFFSET('4.1(2)新規再エネ導入予定（設備情報）'!$O$1,MATCH(X13,'4.1(2)新規再エネ導入予定（設備情報）'!$Z:$Z,0)-1,0)="低圧",1,0)</f>
        <v>0</v>
      </c>
      <c r="X13" s="127" t="str">
        <f ca="1">IFERROR(IF(AND(G13="",L13&lt;&gt;""),MAX(OFFSET($X$8,0,0,ROW()-8,1)),OFFSET('4.1(2)新規再エネ導入予定（設備情報）'!$Z$1,MATCH($G13,'4.1(2)新規再エネ導入予定（設備情報）'!$G:$G,0)-1,0)),"")</f>
        <v/>
      </c>
      <c r="Y13" s="127">
        <f t="shared" si="12"/>
        <v>0</v>
      </c>
      <c r="Z13" s="226">
        <f t="shared" ca="1" si="1"/>
        <v>0</v>
      </c>
      <c r="AA13" s="127">
        <f t="shared" si="6"/>
        <v>0</v>
      </c>
      <c r="AB13" s="279">
        <f t="shared" ca="1" si="2"/>
        <v>1</v>
      </c>
      <c r="AC13" s="257" t="str">
        <f t="shared" si="7"/>
        <v/>
      </c>
      <c r="AD13" s="257" t="str">
        <f t="shared" si="8"/>
        <v/>
      </c>
      <c r="AE13" s="257" t="str">
        <f t="shared" si="9"/>
        <v/>
      </c>
      <c r="AF13" s="257" t="str">
        <f t="shared" si="10"/>
        <v/>
      </c>
      <c r="AG13" s="257" t="str">
        <f>IF(COUNTBLANK(AD13:AF13)=0,PRODUCT(AD13:AF13),"E")</f>
        <v>E</v>
      </c>
      <c r="AH13" s="257" cm="1">
        <f t="array" ref="AH13">_xlfn.IFS(COUNTIF($N13:$P13,"合意済")=3,4,OR(COUNTIF($N13:$P13,"合意済")=2,COUNTIF($N13:$P13,"合意済")=1),3,COUNTIF($N13:$P13,"合意済")=0,2)</f>
        <v>2</v>
      </c>
      <c r="AI13" s="257" t="e">
        <f t="shared" ref="AI13:AI76" ca="1" si="13">IF(AND(W13*AA13*AC13=1,AD13*AE13*AF13=0),2,AB13*AC13*AG13*(AH13))</f>
        <v>#VALUE!</v>
      </c>
      <c r="AJ13" s="257" t="str">
        <f t="shared" ca="1" si="4"/>
        <v/>
      </c>
    </row>
    <row r="14" spans="1:36" ht="20">
      <c r="D14" s="190"/>
      <c r="E14" s="192" t="s">
        <v>16</v>
      </c>
      <c r="F14" s="193"/>
      <c r="G14" s="477"/>
      <c r="H14" s="478"/>
      <c r="I14" s="479"/>
      <c r="J14" s="480"/>
      <c r="K14" s="481"/>
      <c r="L14" s="481"/>
      <c r="M14" s="480"/>
      <c r="N14" s="480"/>
      <c r="O14" s="480"/>
      <c r="P14" s="480"/>
      <c r="Q14" s="503"/>
      <c r="R14" s="19"/>
      <c r="T14" s="490"/>
      <c r="V14" s="177">
        <f t="shared" si="5"/>
        <v>7</v>
      </c>
      <c r="W14" s="217">
        <f ca="1">IF(OFFSET('4.1(2)新規再エネ導入予定（設備情報）'!$O$1,MATCH(X14,'4.1(2)新規再エネ導入予定（設備情報）'!$Z:$Z,0)-1,0)="低圧",1,0)</f>
        <v>0</v>
      </c>
      <c r="X14" s="127" t="str">
        <f ca="1">IFERROR(IF(AND(G14="",L14&lt;&gt;""),MAX(OFFSET($X$8,0,0,ROW()-8,1)),OFFSET('4.1(2)新規再エネ導入予定（設備情報）'!$Z$1,MATCH($G14,'4.1(2)新規再エネ導入予定（設備情報）'!$G:$G,0)-1,0)),"")</f>
        <v/>
      </c>
      <c r="Y14" s="265">
        <f t="shared" si="12"/>
        <v>0</v>
      </c>
      <c r="Z14" s="263">
        <f t="shared" ca="1" si="1"/>
        <v>0</v>
      </c>
      <c r="AA14" s="265">
        <f t="shared" si="6"/>
        <v>0</v>
      </c>
      <c r="AB14" s="264">
        <f t="shared" ca="1" si="2"/>
        <v>1</v>
      </c>
      <c r="AC14" s="177" t="str">
        <f t="shared" si="7"/>
        <v/>
      </c>
      <c r="AD14" s="177" t="str">
        <f t="shared" si="8"/>
        <v/>
      </c>
      <c r="AE14" s="177" t="str">
        <f t="shared" si="9"/>
        <v/>
      </c>
      <c r="AF14" s="177" t="str">
        <f t="shared" si="10"/>
        <v/>
      </c>
      <c r="AG14" s="177" t="str">
        <f>IF(COUNTBLANK(AD14:AF14)=0,PRODUCT(AD14:AF14),"E")</f>
        <v>E</v>
      </c>
      <c r="AH14" s="177" cm="1">
        <f t="array" ref="AH14">_xlfn.IFS(COUNTIF($N14:$P14,"合意済")=3,4,OR(COUNTIF($N14:$P14,"合意済")=2,COUNTIF($N14:$P14,"合意済")=1),3,COUNTIF($N14:$P14,"合意済")=0,2)</f>
        <v>2</v>
      </c>
      <c r="AI14" s="177" t="e">
        <f t="shared" ca="1" si="13"/>
        <v>#VALUE!</v>
      </c>
      <c r="AJ14" s="177" t="str">
        <f t="shared" ca="1" si="4"/>
        <v/>
      </c>
    </row>
    <row r="15" spans="1:36" s="11" customFormat="1" hidden="1">
      <c r="B15" s="21"/>
      <c r="C15" s="21"/>
      <c r="D15" s="36"/>
      <c r="E15" s="126"/>
      <c r="F15" s="714"/>
      <c r="G15" s="482"/>
      <c r="H15" s="498"/>
      <c r="I15" s="499"/>
      <c r="J15" s="500"/>
      <c r="K15" s="501"/>
      <c r="L15" s="484"/>
      <c r="M15" s="487"/>
      <c r="N15" s="487"/>
      <c r="O15" s="487"/>
      <c r="P15" s="487"/>
      <c r="Q15" s="487"/>
      <c r="R15" s="24"/>
      <c r="S15" s="21"/>
      <c r="T15" s="487"/>
      <c r="V15" s="257">
        <f t="shared" si="5"/>
        <v>8</v>
      </c>
      <c r="W15" s="131">
        <f ca="1">IF(OFFSET('4.1(2)新規再エネ導入予定（設備情報）'!$O$1,MATCH(X15,'4.1(2)新規再エネ導入予定（設備情報）'!$Z:$Z,0)-1,0)="低圧",1,0)</f>
        <v>0</v>
      </c>
      <c r="X15" s="127" t="str">
        <f ca="1">IFERROR(IF(AND(G15="",L15&lt;&gt;""),MAX(OFFSET($X$8,0,0,ROW()-8,1)),OFFSET('4.1(2)新規再エネ導入予定（設備情報）'!$Z$1,MATCH($G15,'4.1(2)新規再エネ導入予定（設備情報）'!$G:$G,0)-1,0)),"")</f>
        <v/>
      </c>
      <c r="Y15" s="226">
        <f t="shared" si="12"/>
        <v>0</v>
      </c>
      <c r="Z15" s="226">
        <f t="shared" ca="1" si="1"/>
        <v>0</v>
      </c>
      <c r="AA15" s="226">
        <f t="shared" si="6"/>
        <v>0</v>
      </c>
      <c r="AB15" s="279">
        <f t="shared" ca="1" si="2"/>
        <v>1</v>
      </c>
      <c r="AC15" s="257" t="str">
        <f t="shared" si="7"/>
        <v/>
      </c>
      <c r="AD15" s="257" t="str">
        <f t="shared" si="8"/>
        <v/>
      </c>
      <c r="AE15" s="257" t="str">
        <f t="shared" si="9"/>
        <v/>
      </c>
      <c r="AF15" s="257" t="str">
        <f t="shared" si="10"/>
        <v/>
      </c>
      <c r="AG15" s="257" t="str">
        <f t="shared" si="11"/>
        <v>E</v>
      </c>
      <c r="AH15" s="257" cm="1">
        <f t="array" ref="AH15">_xlfn.IFS(COUNTIF($N15:$P15,"合意済")=3,4,OR(COUNTIF($N15:$P15,"合意済")=2,COUNTIF($N15:$P15,"合意済")=1),3,COUNTIF($N15:$P15,"合意済")=0,2)</f>
        <v>2</v>
      </c>
      <c r="AI15" s="257" t="e">
        <f t="shared" ca="1" si="13"/>
        <v>#VALUE!</v>
      </c>
      <c r="AJ15" s="257" t="str">
        <f t="shared" ca="1" si="4"/>
        <v/>
      </c>
    </row>
    <row r="16" spans="1:36" s="11" customFormat="1">
      <c r="B16" s="21"/>
      <c r="C16" s="21"/>
      <c r="D16" s="36"/>
      <c r="E16" s="126"/>
      <c r="F16" s="492" t="str">
        <f ca="1">IFERROR(OFFSET('4.1(2)新規再エネ導入予定（設備情報）'!$F$1,MATCH(G16,'4.1(2)新規再エネ導入予定（設備情報）'!$G:$G,0)-1,0),"")</f>
        <v/>
      </c>
      <c r="G16" s="483"/>
      <c r="H16" s="494" t="str">
        <f ca="1">IFERROR(OFFSET('4.1(2)新規再エネ導入予定（設備情報）'!$H$1,MATCH(G16,'4.1(2)新規再エネ導入予定（設備情報）'!$G:$G,0)-1,0)&amp;"","")</f>
        <v/>
      </c>
      <c r="I16" s="495" t="str">
        <f ca="1">IFERROR(OFFSET('4.1(2)新規再エネ導入予定（設備情報）'!$L$1,MATCH(G16,'4.1(2)新規再エネ導入予定（設備情報）'!$G:$G,0)-1,0),"")</f>
        <v/>
      </c>
      <c r="J16" s="496" t="str">
        <f ca="1">IFERROR(OFFSET('4.1(2)新規再エネ導入予定（設備情報）'!$O$1,MATCH(G16,'4.1(2)新規再エネ導入予定（設備情報）'!$G:$G,0)-1,0),"")</f>
        <v/>
      </c>
      <c r="K16" s="497" t="str">
        <f ca="1">IFERROR(OFFSET('4.1(2)新規再エネ導入予定（設備情報）'!$P$1,MATCH(G16,'4.1(2)新規再エネ導入予定（設備情報）'!$G:$G,0)-1,0),"")</f>
        <v/>
      </c>
      <c r="L16" s="486"/>
      <c r="M16" s="489"/>
      <c r="N16" s="488"/>
      <c r="O16" s="488"/>
      <c r="P16" s="488"/>
      <c r="Q16" s="488"/>
      <c r="R16" s="24"/>
      <c r="S16" s="21"/>
      <c r="T16" s="488"/>
      <c r="V16" s="257">
        <f t="shared" si="5"/>
        <v>9</v>
      </c>
      <c r="W16" s="131">
        <f ca="1">IF(OFFSET('4.1(2)新規再エネ導入予定（設備情報）'!$O$1,MATCH(X16,'4.1(2)新規再エネ導入予定（設備情報）'!$Z:$Z,0)-1,0)="低圧",1,0)</f>
        <v>0</v>
      </c>
      <c r="X16" s="127" t="str">
        <f ca="1">IFERROR(IF(AND(G16="",L16&lt;&gt;""),MAX(OFFSET($X$8,0,0,ROW()-8,1)),OFFSET('4.1(2)新規再エネ導入予定（設備情報）'!$Z$1,MATCH($G16,'4.1(2)新規再エネ導入予定（設備情報）'!$G:$G,0)-1,0)),"")</f>
        <v/>
      </c>
      <c r="Y16" s="225">
        <f t="shared" si="12"/>
        <v>0</v>
      </c>
      <c r="Z16" s="226">
        <f t="shared" ca="1" si="1"/>
        <v>0</v>
      </c>
      <c r="AA16" s="225">
        <f t="shared" si="6"/>
        <v>0</v>
      </c>
      <c r="AB16" s="279">
        <f t="shared" ca="1" si="2"/>
        <v>1</v>
      </c>
      <c r="AC16" s="257" t="str">
        <f t="shared" si="7"/>
        <v/>
      </c>
      <c r="AD16" s="257" t="str">
        <f t="shared" si="8"/>
        <v/>
      </c>
      <c r="AE16" s="257" t="str">
        <f t="shared" si="9"/>
        <v/>
      </c>
      <c r="AF16" s="257" t="str">
        <f t="shared" si="10"/>
        <v/>
      </c>
      <c r="AG16" s="257" t="str">
        <f>IF(COUNTBLANK(AD16:AF16)=0,PRODUCT(AD16:AF16),"E")</f>
        <v>E</v>
      </c>
      <c r="AH16" s="257" cm="1">
        <f t="array" ref="AH16">_xlfn.IFS(COUNTIF($N16:$P16,"合意済")=3,4,OR(COUNTIF($N16:$P16,"合意済")=2,COUNTIF($N16:$P16,"合意済")=1),3,COUNTIF($N16:$P16,"合意済")=0,2)</f>
        <v>2</v>
      </c>
      <c r="AI16" s="257" t="e">
        <f t="shared" ca="1" si="13"/>
        <v>#VALUE!</v>
      </c>
      <c r="AJ16" s="257" t="str">
        <f t="shared" ca="1" si="4"/>
        <v/>
      </c>
    </row>
    <row r="17" spans="2:36" s="11" customFormat="1">
      <c r="B17" s="21"/>
      <c r="C17" s="21"/>
      <c r="D17" s="36"/>
      <c r="E17" s="126"/>
      <c r="F17" s="492" t="str">
        <f ca="1">IFERROR(OFFSET('4.1(2)新規再エネ導入予定（設備情報）'!$F$1,MATCH(G17,'4.1(2)新規再エネ導入予定（設備情報）'!$G:$G,0)-1,0),"")</f>
        <v/>
      </c>
      <c r="G17" s="483"/>
      <c r="H17" s="494" t="str">
        <f ca="1">IFERROR(OFFSET('4.1(2)新規再エネ導入予定（設備情報）'!$H$1,MATCH(G17,'4.1(2)新規再エネ導入予定（設備情報）'!$G:$G,0)-1,0)&amp;"","")</f>
        <v/>
      </c>
      <c r="I17" s="495" t="str">
        <f ca="1">IFERROR(OFFSET('4.1(2)新規再エネ導入予定（設備情報）'!$L$1,MATCH(G17,'4.1(2)新規再エネ導入予定（設備情報）'!$G:$G,0)-1,0),"")</f>
        <v/>
      </c>
      <c r="J17" s="496" t="str">
        <f ca="1">IFERROR(OFFSET('4.1(2)新規再エネ導入予定（設備情報）'!$O$1,MATCH(G17,'4.1(2)新規再エネ導入予定（設備情報）'!$G:$G,0)-1,0),"")</f>
        <v/>
      </c>
      <c r="K17" s="497" t="str">
        <f ca="1">IFERROR(OFFSET('4.1(2)新規再エネ導入予定（設備情報）'!$P$1,MATCH(G17,'4.1(2)新規再エネ導入予定（設備情報）'!$G:$G,0)-1,0),"")</f>
        <v/>
      </c>
      <c r="L17" s="486"/>
      <c r="M17" s="489"/>
      <c r="N17" s="489"/>
      <c r="O17" s="489"/>
      <c r="P17" s="489"/>
      <c r="Q17" s="489"/>
      <c r="R17" s="24"/>
      <c r="S17" s="21"/>
      <c r="T17" s="489"/>
      <c r="V17" s="257">
        <f t="shared" si="5"/>
        <v>10</v>
      </c>
      <c r="W17" s="131">
        <f ca="1">IF(OFFSET('4.1(2)新規再エネ導入予定（設備情報）'!$O$1,MATCH(X17,'4.1(2)新規再エネ導入予定（設備情報）'!$Z:$Z,0)-1,0)="低圧",1,0)</f>
        <v>0</v>
      </c>
      <c r="X17" s="127" t="str">
        <f ca="1">IFERROR(IF(AND(G17="",L17&lt;&gt;""),MAX(OFFSET($X$8,0,0,ROW()-8,1)),OFFSET('4.1(2)新規再エネ導入予定（設備情報）'!$Z$1,MATCH($G17,'4.1(2)新規再エネ導入予定（設備情報）'!$G:$G,0)-1,0)),"")</f>
        <v/>
      </c>
      <c r="Y17" s="225">
        <f t="shared" si="12"/>
        <v>0</v>
      </c>
      <c r="Z17" s="226">
        <f t="shared" ca="1" si="1"/>
        <v>0</v>
      </c>
      <c r="AA17" s="225">
        <f t="shared" si="6"/>
        <v>0</v>
      </c>
      <c r="AB17" s="279">
        <f t="shared" ca="1" si="2"/>
        <v>1</v>
      </c>
      <c r="AC17" s="257" t="str">
        <f t="shared" si="7"/>
        <v/>
      </c>
      <c r="AD17" s="257" t="str">
        <f t="shared" si="8"/>
        <v/>
      </c>
      <c r="AE17" s="257" t="str">
        <f t="shared" si="9"/>
        <v/>
      </c>
      <c r="AF17" s="257" t="str">
        <f t="shared" si="10"/>
        <v/>
      </c>
      <c r="AG17" s="257" t="str">
        <f t="shared" si="11"/>
        <v>E</v>
      </c>
      <c r="AH17" s="257" cm="1">
        <f t="array" ref="AH17">_xlfn.IFS(COUNTIF($N17:$P17,"合意済")=3,4,OR(COUNTIF($N17:$P17,"合意済")=2,COUNTIF($N17:$P17,"合意済")=1),3,COUNTIF($N17:$P17,"合意済")=0,2)</f>
        <v>2</v>
      </c>
      <c r="AI17" s="257" t="e">
        <f t="shared" ca="1" si="13"/>
        <v>#VALUE!</v>
      </c>
      <c r="AJ17" s="257" t="str">
        <f t="shared" ca="1" si="4"/>
        <v/>
      </c>
    </row>
    <row r="18" spans="2:36" s="11" customFormat="1">
      <c r="B18" s="21"/>
      <c r="C18" s="21"/>
      <c r="D18" s="36"/>
      <c r="E18" s="126"/>
      <c r="F18" s="492" t="str">
        <f ca="1">IFERROR(OFFSET('4.1(2)新規再エネ導入予定（設備情報）'!$F$1,MATCH(G18,'4.1(2)新規再エネ導入予定（設備情報）'!$G:$G,0)-1,0),"")</f>
        <v/>
      </c>
      <c r="G18" s="483"/>
      <c r="H18" s="494" t="str">
        <f ca="1">IFERROR(OFFSET('4.1(2)新規再エネ導入予定（設備情報）'!$H$1,MATCH(G18,'4.1(2)新規再エネ導入予定（設備情報）'!$G:$G,0)-1,0)&amp;"","")</f>
        <v/>
      </c>
      <c r="I18" s="495" t="str">
        <f ca="1">IFERROR(OFFSET('4.1(2)新規再エネ導入予定（設備情報）'!$L$1,MATCH(G18,'4.1(2)新規再エネ導入予定（設備情報）'!$G:$G,0)-1,0),"")</f>
        <v/>
      </c>
      <c r="J18" s="496" t="str">
        <f ca="1">IFERROR(OFFSET('4.1(2)新規再エネ導入予定（設備情報）'!$O$1,MATCH(G18,'4.1(2)新規再エネ導入予定（設備情報）'!$G:$G,0)-1,0),"")</f>
        <v/>
      </c>
      <c r="K18" s="497" t="str">
        <f ca="1">IFERROR(OFFSET('4.1(2)新規再エネ導入予定（設備情報）'!$P$1,MATCH(G18,'4.1(2)新規再エネ導入予定（設備情報）'!$G:$G,0)-1,0),"")</f>
        <v/>
      </c>
      <c r="L18" s="486"/>
      <c r="M18" s="489"/>
      <c r="N18" s="489"/>
      <c r="O18" s="489"/>
      <c r="P18" s="489"/>
      <c r="Q18" s="489"/>
      <c r="R18" s="24"/>
      <c r="S18" s="21"/>
      <c r="T18" s="489"/>
      <c r="V18" s="257">
        <f t="shared" si="5"/>
        <v>11</v>
      </c>
      <c r="W18" s="131">
        <f ca="1">IF(OFFSET('4.1(2)新規再エネ導入予定（設備情報）'!$O$1,MATCH(X18,'4.1(2)新規再エネ導入予定（設備情報）'!$Z:$Z,0)-1,0)="低圧",1,0)</f>
        <v>0</v>
      </c>
      <c r="X18" s="127" t="str">
        <f ca="1">IFERROR(IF(AND(G18="",L18&lt;&gt;""),MAX(OFFSET($X$8,0,0,ROW()-8,1)),OFFSET('4.1(2)新規再エネ導入予定（設備情報）'!$Z$1,MATCH($G18,'4.1(2)新規再エネ導入予定（設備情報）'!$G:$G,0)-1,0)),"")</f>
        <v/>
      </c>
      <c r="Y18" s="225">
        <f t="shared" si="12"/>
        <v>0</v>
      </c>
      <c r="Z18" s="226">
        <f t="shared" ca="1" si="1"/>
        <v>0</v>
      </c>
      <c r="AA18" s="225">
        <f t="shared" si="6"/>
        <v>0</v>
      </c>
      <c r="AB18" s="279">
        <f t="shared" ca="1" si="2"/>
        <v>1</v>
      </c>
      <c r="AC18" s="257" t="str">
        <f t="shared" si="7"/>
        <v/>
      </c>
      <c r="AD18" s="257" t="str">
        <f t="shared" si="8"/>
        <v/>
      </c>
      <c r="AE18" s="257" t="str">
        <f t="shared" si="9"/>
        <v/>
      </c>
      <c r="AF18" s="257" t="str">
        <f t="shared" si="10"/>
        <v/>
      </c>
      <c r="AG18" s="257" t="str">
        <f t="shared" si="11"/>
        <v>E</v>
      </c>
      <c r="AH18" s="257" cm="1">
        <f t="array" ref="AH18">_xlfn.IFS(COUNTIF($N18:$P18,"合意済")=3,4,OR(COUNTIF($N18:$P18,"合意済")=2,COUNTIF($N18:$P18,"合意済")=1),3,COUNTIF($N18:$P18,"合意済")=0,2)</f>
        <v>2</v>
      </c>
      <c r="AI18" s="257" t="e">
        <f t="shared" ca="1" si="13"/>
        <v>#VALUE!</v>
      </c>
      <c r="AJ18" s="257" t="str">
        <f t="shared" ca="1" si="4"/>
        <v/>
      </c>
    </row>
    <row r="19" spans="2:36" s="11" customFormat="1">
      <c r="B19" s="21"/>
      <c r="C19" s="21"/>
      <c r="D19" s="36"/>
      <c r="E19" s="126"/>
      <c r="F19" s="492" t="str">
        <f ca="1">IFERROR(OFFSET('4.1(2)新規再エネ導入予定（設備情報）'!$F$1,MATCH(G19,'4.1(2)新規再エネ導入予定（設備情報）'!$G:$G,0)-1,0),"")</f>
        <v/>
      </c>
      <c r="G19" s="483"/>
      <c r="H19" s="494" t="str">
        <f ca="1">IFERROR(OFFSET('4.1(2)新規再エネ導入予定（設備情報）'!$H$1,MATCH(G19,'4.1(2)新規再エネ導入予定（設備情報）'!$G:$G,0)-1,0)&amp;"","")</f>
        <v/>
      </c>
      <c r="I19" s="495" t="str">
        <f ca="1">IFERROR(OFFSET('4.1(2)新規再エネ導入予定（設備情報）'!$L$1,MATCH(G19,'4.1(2)新規再エネ導入予定（設備情報）'!$G:$G,0)-1,0),"")</f>
        <v/>
      </c>
      <c r="J19" s="496" t="str">
        <f ca="1">IFERROR(OFFSET('4.1(2)新規再エネ導入予定（設備情報）'!$O$1,MATCH(G19,'4.1(2)新規再エネ導入予定（設備情報）'!$G:$G,0)-1,0),"")</f>
        <v/>
      </c>
      <c r="K19" s="497" t="str">
        <f ca="1">IFERROR(OFFSET('4.1(2)新規再エネ導入予定（設備情報）'!$P$1,MATCH(G19,'4.1(2)新規再エネ導入予定（設備情報）'!$G:$G,0)-1,0),"")</f>
        <v/>
      </c>
      <c r="L19" s="486"/>
      <c r="M19" s="489"/>
      <c r="N19" s="489"/>
      <c r="O19" s="489"/>
      <c r="P19" s="489"/>
      <c r="Q19" s="489"/>
      <c r="R19" s="24"/>
      <c r="S19" s="21"/>
      <c r="T19" s="489"/>
      <c r="V19" s="257">
        <f t="shared" si="5"/>
        <v>12</v>
      </c>
      <c r="W19" s="131">
        <f ca="1">IF(OFFSET('4.1(2)新規再エネ導入予定（設備情報）'!$O$1,MATCH(X19,'4.1(2)新規再エネ導入予定（設備情報）'!$Z:$Z,0)-1,0)="低圧",1,0)</f>
        <v>0</v>
      </c>
      <c r="X19" s="127" t="str">
        <f ca="1">IFERROR(IF(AND(G19="",L19&lt;&gt;""),MAX(OFFSET($X$8,0,0,ROW()-8,1)),OFFSET('4.1(2)新規再エネ導入予定（設備情報）'!$Z$1,MATCH($G19,'4.1(2)新規再エネ導入予定（設備情報）'!$G:$G,0)-1,0)),"")</f>
        <v/>
      </c>
      <c r="Y19" s="225">
        <f t="shared" si="12"/>
        <v>0</v>
      </c>
      <c r="Z19" s="226">
        <f t="shared" ca="1" si="1"/>
        <v>0</v>
      </c>
      <c r="AA19" s="225">
        <f t="shared" si="6"/>
        <v>0</v>
      </c>
      <c r="AB19" s="279">
        <f t="shared" ca="1" si="2"/>
        <v>1</v>
      </c>
      <c r="AC19" s="257" t="str">
        <f t="shared" si="7"/>
        <v/>
      </c>
      <c r="AD19" s="257" t="str">
        <f t="shared" si="8"/>
        <v/>
      </c>
      <c r="AE19" s="257" t="str">
        <f t="shared" si="9"/>
        <v/>
      </c>
      <c r="AF19" s="257" t="str">
        <f t="shared" si="10"/>
        <v/>
      </c>
      <c r="AG19" s="257" t="str">
        <f t="shared" si="11"/>
        <v>E</v>
      </c>
      <c r="AH19" s="257" cm="1">
        <f t="array" ref="AH19">_xlfn.IFS(COUNTIF($N19:$P19,"合意済")=3,4,OR(COUNTIF($N19:$P19,"合意済")=2,COUNTIF($N19:$P19,"合意済")=1),3,COUNTIF($N19:$P19,"合意済")=0,2)</f>
        <v>2</v>
      </c>
      <c r="AI19" s="257" t="e">
        <f t="shared" ca="1" si="13"/>
        <v>#VALUE!</v>
      </c>
      <c r="AJ19" s="257" t="str">
        <f t="shared" ca="1" si="4"/>
        <v/>
      </c>
    </row>
    <row r="20" spans="2:36" ht="18" customHeight="1">
      <c r="D20" s="190"/>
      <c r="E20" s="192" t="s">
        <v>17</v>
      </c>
      <c r="F20" s="193"/>
      <c r="G20" s="477"/>
      <c r="H20" s="478"/>
      <c r="I20" s="479"/>
      <c r="J20" s="480"/>
      <c r="K20" s="481"/>
      <c r="L20" s="481"/>
      <c r="M20" s="480"/>
      <c r="N20" s="480"/>
      <c r="O20" s="480"/>
      <c r="P20" s="480"/>
      <c r="Q20" s="503"/>
      <c r="R20" s="19"/>
      <c r="T20" s="490"/>
      <c r="V20" s="177">
        <f t="shared" si="5"/>
        <v>13</v>
      </c>
      <c r="W20" s="217">
        <f ca="1">IF(OFFSET('4.1(2)新規再エネ導入予定（設備情報）'!$O$1,MATCH(X20,'4.1(2)新規再エネ導入予定（設備情報）'!$Z:$Z,0)-1,0)="低圧",1,0)</f>
        <v>0</v>
      </c>
      <c r="X20" s="127" t="str">
        <f ca="1">IFERROR(IF(AND(G20="",L20&lt;&gt;""),MAX(OFFSET($X$8,0,0,ROW()-8,1)),OFFSET('4.1(2)新規再エネ導入予定（設備情報）'!$Z$1,MATCH($G20,'4.1(2)新規再エネ導入予定（設備情報）'!$G:$G,0)-1,0)),"")</f>
        <v/>
      </c>
      <c r="Y20" s="265">
        <f t="shared" si="12"/>
        <v>0</v>
      </c>
      <c r="Z20" s="263">
        <f t="shared" ca="1" si="1"/>
        <v>0</v>
      </c>
      <c r="AA20" s="265">
        <f t="shared" si="6"/>
        <v>0</v>
      </c>
      <c r="AB20" s="264">
        <f t="shared" ca="1" si="2"/>
        <v>1</v>
      </c>
      <c r="AC20" s="177" t="str">
        <f t="shared" si="7"/>
        <v/>
      </c>
      <c r="AD20" s="177" t="str">
        <f t="shared" si="8"/>
        <v/>
      </c>
      <c r="AE20" s="177" t="str">
        <f t="shared" si="9"/>
        <v/>
      </c>
      <c r="AF20" s="177" t="str">
        <f t="shared" si="10"/>
        <v/>
      </c>
      <c r="AG20" s="177" t="str">
        <f t="shared" ref="AG20:AG72" si="14">IF(COUNTBLANK(AD20:AF20)=0,IF(W20=1,AC20,PRODUCT(AD20:AF20)),"E")</f>
        <v>E</v>
      </c>
      <c r="AH20" s="177" cm="1">
        <f t="array" ref="AH20">_xlfn.IFS(COUNTIF($N20:$P20,"合意済")=3,4,OR(COUNTIF($N20:$P20,"合意済")=2,COUNTIF($N20:$P20,"合意済")=1),3,COUNTIF($N20:$P20,"合意済")=0,2)</f>
        <v>2</v>
      </c>
      <c r="AI20" s="177" t="e">
        <f t="shared" ca="1" si="13"/>
        <v>#VALUE!</v>
      </c>
      <c r="AJ20" s="177" t="str">
        <f t="shared" ca="1" si="4"/>
        <v/>
      </c>
    </row>
    <row r="21" spans="2:36" s="11" customFormat="1" hidden="1">
      <c r="B21" s="21"/>
      <c r="C21" s="21"/>
      <c r="D21" s="36"/>
      <c r="E21" s="126"/>
      <c r="F21" s="714"/>
      <c r="G21" s="482"/>
      <c r="H21" s="498"/>
      <c r="I21" s="499"/>
      <c r="J21" s="500"/>
      <c r="K21" s="501"/>
      <c r="L21" s="484"/>
      <c r="M21" s="487"/>
      <c r="N21" s="487"/>
      <c r="O21" s="487"/>
      <c r="P21" s="487"/>
      <c r="Q21" s="487"/>
      <c r="R21" s="24"/>
      <c r="S21" s="21"/>
      <c r="T21" s="487"/>
      <c r="V21" s="257">
        <f t="shared" si="5"/>
        <v>14</v>
      </c>
      <c r="W21" s="131">
        <f ca="1">IF(OFFSET('4.1(2)新規再エネ導入予定（設備情報）'!$O$1,MATCH(X21,'4.1(2)新規再エネ導入予定（設備情報）'!$Z:$Z,0)-1,0)="低圧",1,0)</f>
        <v>0</v>
      </c>
      <c r="X21" s="127" t="str">
        <f ca="1">IFERROR(IF(AND(G21="",L21&lt;&gt;""),MAX(OFFSET($X$8,0,0,ROW()-8,1)),OFFSET('4.1(2)新規再エネ導入予定（設備情報）'!$Z$1,MATCH($G21,'4.1(2)新規再エネ導入予定（設備情報）'!$G:$G,0)-1,0)),"")</f>
        <v/>
      </c>
      <c r="Y21" s="226">
        <f t="shared" si="12"/>
        <v>0</v>
      </c>
      <c r="Z21" s="226">
        <f t="shared" ca="1" si="1"/>
        <v>0</v>
      </c>
      <c r="AA21" s="226">
        <f t="shared" si="6"/>
        <v>0</v>
      </c>
      <c r="AB21" s="279">
        <f t="shared" ca="1" si="2"/>
        <v>1</v>
      </c>
      <c r="AC21" s="257" t="str">
        <f t="shared" si="7"/>
        <v/>
      </c>
      <c r="AD21" s="257" t="str">
        <f t="shared" si="8"/>
        <v/>
      </c>
      <c r="AE21" s="257" t="str">
        <f t="shared" si="9"/>
        <v/>
      </c>
      <c r="AF21" s="257" t="str">
        <f t="shared" si="10"/>
        <v/>
      </c>
      <c r="AG21" s="257" t="str">
        <f t="shared" si="14"/>
        <v>E</v>
      </c>
      <c r="AH21" s="257" cm="1">
        <f t="array" ref="AH21">_xlfn.IFS(COUNTIF($N21:$P21,"合意済")=3,4,OR(COUNTIF($N21:$P21,"合意済")=2,COUNTIF($N21:$P21,"合意済")=1),3,COUNTIF($N21:$P21,"合意済")=0,2)</f>
        <v>2</v>
      </c>
      <c r="AI21" s="257" t="e">
        <f t="shared" ca="1" si="13"/>
        <v>#VALUE!</v>
      </c>
      <c r="AJ21" s="257" t="str">
        <f t="shared" ca="1" si="4"/>
        <v/>
      </c>
    </row>
    <row r="22" spans="2:36" s="11" customFormat="1">
      <c r="B22" s="21"/>
      <c r="C22" s="21"/>
      <c r="D22" s="36"/>
      <c r="E22" s="126"/>
      <c r="F22" s="492" t="str">
        <f ca="1">IFERROR(OFFSET('4.1(2)新規再エネ導入予定（設備情報）'!$F$1,MATCH(G22,'4.1(2)新規再エネ導入予定（設備情報）'!$G:$G,0)-1,0),"")</f>
        <v/>
      </c>
      <c r="G22" s="483"/>
      <c r="H22" s="494" t="str">
        <f ca="1">IFERROR(OFFSET('4.1(2)新規再エネ導入予定（設備情報）'!$H$1,MATCH(G22,'4.1(2)新規再エネ導入予定（設備情報）'!$G:$G,0)-1,0)&amp;"","")</f>
        <v/>
      </c>
      <c r="I22" s="495" t="str">
        <f ca="1">IFERROR(OFFSET('4.1(2)新規再エネ導入予定（設備情報）'!$L$1,MATCH(G22,'4.1(2)新規再エネ導入予定（設備情報）'!$G:$G,0)-1,0),"")</f>
        <v/>
      </c>
      <c r="J22" s="496" t="str">
        <f ca="1">IFERROR(OFFSET('4.1(2)新規再エネ導入予定（設備情報）'!$O$1,MATCH(G22,'4.1(2)新規再エネ導入予定（設備情報）'!$G:$G,0)-1,0),"")</f>
        <v/>
      </c>
      <c r="K22" s="497" t="str">
        <f ca="1">IFERROR(OFFSET('4.1(2)新規再エネ導入予定（設備情報）'!$P$1,MATCH(G22,'4.1(2)新規再エネ導入予定（設備情報）'!$G:$G,0)-1,0),"")</f>
        <v/>
      </c>
      <c r="L22" s="486"/>
      <c r="M22" s="489"/>
      <c r="N22" s="489"/>
      <c r="O22" s="489"/>
      <c r="P22" s="489"/>
      <c r="Q22" s="489"/>
      <c r="R22" s="24"/>
      <c r="S22" s="21"/>
      <c r="T22" s="489"/>
      <c r="V22" s="257">
        <f t="shared" si="5"/>
        <v>15</v>
      </c>
      <c r="W22" s="131">
        <f ca="1">IF(OFFSET('4.1(2)新規再エネ導入予定（設備情報）'!$O$1,MATCH(X22,'4.1(2)新規再エネ導入予定（設備情報）'!$Z:$Z,0)-1,0)="低圧",1,0)</f>
        <v>0</v>
      </c>
      <c r="X22" s="127" t="str">
        <f ca="1">IFERROR(IF(AND(G22="",L22&lt;&gt;""),MAX(OFFSET($X$8,0,0,ROW()-8,1)),OFFSET('4.1(2)新規再エネ導入予定（設備情報）'!$Z$1,MATCH($G22,'4.1(2)新規再エネ導入予定（設備情報）'!$G:$G,0)-1,0)),"")</f>
        <v/>
      </c>
      <c r="Y22" s="225">
        <f t="shared" si="12"/>
        <v>0</v>
      </c>
      <c r="Z22" s="226">
        <f t="shared" ca="1" si="1"/>
        <v>0</v>
      </c>
      <c r="AA22" s="225">
        <f t="shared" si="6"/>
        <v>0</v>
      </c>
      <c r="AB22" s="279">
        <f t="shared" ca="1" si="2"/>
        <v>1</v>
      </c>
      <c r="AC22" s="257" t="str">
        <f t="shared" si="7"/>
        <v/>
      </c>
      <c r="AD22" s="257" t="str">
        <f t="shared" si="8"/>
        <v/>
      </c>
      <c r="AE22" s="257" t="str">
        <f t="shared" si="9"/>
        <v/>
      </c>
      <c r="AF22" s="257" t="str">
        <f t="shared" si="10"/>
        <v/>
      </c>
      <c r="AG22" s="257" t="str">
        <f t="shared" si="14"/>
        <v>E</v>
      </c>
      <c r="AH22" s="257" cm="1">
        <f t="array" ref="AH22">_xlfn.IFS(COUNTIF($N22:$P22,"合意済")=3,4,OR(COUNTIF($N22:$P22,"合意済")=2,COUNTIF($N22:$P22,"合意済")=1),3,COUNTIF($N22:$P22,"合意済")=0,2)</f>
        <v>2</v>
      </c>
      <c r="AI22" s="257" t="e">
        <f t="shared" ca="1" si="13"/>
        <v>#VALUE!</v>
      </c>
      <c r="AJ22" s="257" t="str">
        <f t="shared" ca="1" si="4"/>
        <v/>
      </c>
    </row>
    <row r="23" spans="2:36" s="11" customFormat="1">
      <c r="B23" s="21"/>
      <c r="C23" s="21"/>
      <c r="D23" s="36"/>
      <c r="E23" s="126"/>
      <c r="F23" s="492" t="str">
        <f ca="1">IFERROR(OFFSET('4.1(2)新規再エネ導入予定（設備情報）'!$F$1,MATCH(G23,'4.1(2)新規再エネ導入予定（設備情報）'!$G:$G,0)-1,0),"")</f>
        <v/>
      </c>
      <c r="G23" s="483"/>
      <c r="H23" s="494" t="str">
        <f ca="1">IFERROR(OFFSET('4.1(2)新規再エネ導入予定（設備情報）'!$H$1,MATCH(G23,'4.1(2)新規再エネ導入予定（設備情報）'!$G:$G,0)-1,0)&amp;"","")</f>
        <v/>
      </c>
      <c r="I23" s="495" t="str">
        <f ca="1">IFERROR(OFFSET('4.1(2)新規再エネ導入予定（設備情報）'!$L$1,MATCH(G23,'4.1(2)新規再エネ導入予定（設備情報）'!$G:$G,0)-1,0),"")</f>
        <v/>
      </c>
      <c r="J23" s="496" t="str">
        <f ca="1">IFERROR(OFFSET('4.1(2)新規再エネ導入予定（設備情報）'!$O$1,MATCH(G23,'4.1(2)新規再エネ導入予定（設備情報）'!$G:$G,0)-1,0),"")</f>
        <v/>
      </c>
      <c r="K23" s="497" t="str">
        <f ca="1">IFERROR(OFFSET('4.1(2)新規再エネ導入予定（設備情報）'!$P$1,MATCH(G23,'4.1(2)新規再エネ導入予定（設備情報）'!$G:$G,0)-1,0),"")</f>
        <v/>
      </c>
      <c r="L23" s="486"/>
      <c r="M23" s="489"/>
      <c r="N23" s="489"/>
      <c r="O23" s="489"/>
      <c r="P23" s="489"/>
      <c r="Q23" s="489"/>
      <c r="R23" s="24"/>
      <c r="S23" s="21"/>
      <c r="T23" s="489"/>
      <c r="V23" s="257">
        <f t="shared" si="5"/>
        <v>16</v>
      </c>
      <c r="W23" s="131">
        <f ca="1">IF(OFFSET('4.1(2)新規再エネ導入予定（設備情報）'!$O$1,MATCH(X23,'4.1(2)新規再エネ導入予定（設備情報）'!$Z:$Z,0)-1,0)="低圧",1,0)</f>
        <v>0</v>
      </c>
      <c r="X23" s="127" t="str">
        <f ca="1">IFERROR(IF(AND(G23="",L23&lt;&gt;""),MAX(OFFSET($X$8,0,0,ROW()-8,1)),OFFSET('4.1(2)新規再エネ導入予定（設備情報）'!$Z$1,MATCH($G23,'4.1(2)新規再エネ導入予定（設備情報）'!$G:$G,0)-1,0)),"")</f>
        <v/>
      </c>
      <c r="Y23" s="225">
        <f t="shared" ref="Y23" si="15">IF(T23="○",1,0)</f>
        <v>0</v>
      </c>
      <c r="Z23" s="226">
        <f t="shared" ca="1" si="1"/>
        <v>0</v>
      </c>
      <c r="AA23" s="225">
        <f t="shared" si="6"/>
        <v>0</v>
      </c>
      <c r="AB23" s="279">
        <f t="shared" ca="1" si="2"/>
        <v>1</v>
      </c>
      <c r="AC23" s="257" t="str">
        <f t="shared" ref="AC23" si="16">IF(M23="","",IF(OR(M23="説明済",M23="協議中",M23="合意済"),1,0))</f>
        <v/>
      </c>
      <c r="AD23" s="257" t="str">
        <f t="shared" ref="AD23" si="17">IF(N23="","",IF(OR(N23="説明済",N23="協議中",N23="合意済"),1,0))</f>
        <v/>
      </c>
      <c r="AE23" s="257" t="str">
        <f t="shared" ref="AE23" si="18">IF(O23="","",IF(OR(O23="説明済",O23="協議中",O23="合意済"),1,0))</f>
        <v/>
      </c>
      <c r="AF23" s="257" t="str">
        <f t="shared" ref="AF23" si="19">IF(P23="","",IF(OR(P23="説明済",P23="協議中",P23="合意済"),1,0))</f>
        <v/>
      </c>
      <c r="AG23" s="257" t="str">
        <f t="shared" ref="AG23" si="20">IF(COUNTBLANK(AD23:AF23)=0,IF(W23=1,AC23,PRODUCT(AD23:AF23)),"E")</f>
        <v>E</v>
      </c>
      <c r="AH23" s="257" cm="1">
        <f t="array" ref="AH23">_xlfn.IFS(COUNTIF($N23:$P23,"合意済")=3,4,OR(COUNTIF($N23:$P23,"合意済")=2,COUNTIF($N23:$P23,"合意済")=1),3,COUNTIF($N23:$P23,"合意済")=0,2)</f>
        <v>2</v>
      </c>
      <c r="AI23" s="257" t="e">
        <f t="shared" ref="AI23" ca="1" si="21">IF(AND(W23*AA23*AC23=1,AD23*AE23*AF23=0),2,AB23*AC23*AG23*(AH23))</f>
        <v>#VALUE!</v>
      </c>
      <c r="AJ23" s="257" t="str">
        <f t="shared" ca="1" si="4"/>
        <v/>
      </c>
    </row>
    <row r="24" spans="2:36" s="11" customFormat="1">
      <c r="B24" s="21"/>
      <c r="C24" s="21"/>
      <c r="D24" s="36"/>
      <c r="E24" s="126"/>
      <c r="F24" s="492" t="str">
        <f ca="1">IFERROR(OFFSET('4.1(2)新規再エネ導入予定（設備情報）'!$F$1,MATCH(G24,'4.1(2)新規再エネ導入予定（設備情報）'!$G:$G,0)-1,0),"")</f>
        <v/>
      </c>
      <c r="G24" s="483"/>
      <c r="H24" s="494" t="str">
        <f ca="1">IFERROR(OFFSET('4.1(2)新規再エネ導入予定（設備情報）'!$H$1,MATCH(G24,'4.1(2)新規再エネ導入予定（設備情報）'!$G:$G,0)-1,0)&amp;"","")</f>
        <v/>
      </c>
      <c r="I24" s="495" t="str">
        <f ca="1">IFERROR(OFFSET('4.1(2)新規再エネ導入予定（設備情報）'!$L$1,MATCH(G24,'4.1(2)新規再エネ導入予定（設備情報）'!$G:$G,0)-1,0),"")</f>
        <v/>
      </c>
      <c r="J24" s="496" t="str">
        <f ca="1">IFERROR(OFFSET('4.1(2)新規再エネ導入予定（設備情報）'!$O$1,MATCH(G24,'4.1(2)新規再エネ導入予定（設備情報）'!$G:$G,0)-1,0),"")</f>
        <v/>
      </c>
      <c r="K24" s="497" t="str">
        <f ca="1">IFERROR(OFFSET('4.1(2)新規再エネ導入予定（設備情報）'!$P$1,MATCH(G24,'4.1(2)新規再エネ導入予定（設備情報）'!$G:$G,0)-1,0),"")</f>
        <v/>
      </c>
      <c r="L24" s="486"/>
      <c r="M24" s="489"/>
      <c r="N24" s="489"/>
      <c r="O24" s="489"/>
      <c r="P24" s="489"/>
      <c r="Q24" s="489"/>
      <c r="R24" s="24"/>
      <c r="S24" s="21"/>
      <c r="T24" s="489"/>
      <c r="V24" s="257">
        <f t="shared" si="5"/>
        <v>17</v>
      </c>
      <c r="W24" s="131">
        <f ca="1">IF(OFFSET('4.1(2)新規再エネ導入予定（設備情報）'!$O$1,MATCH(X24,'4.1(2)新規再エネ導入予定（設備情報）'!$Z:$Z,0)-1,0)="低圧",1,0)</f>
        <v>0</v>
      </c>
      <c r="X24" s="127" t="str">
        <f ca="1">IFERROR(IF(AND(G24="",L24&lt;&gt;""),MAX(OFFSET($X$8,0,0,ROW()-8,1)),OFFSET('4.1(2)新規再エネ導入予定（設備情報）'!$Z$1,MATCH($G24,'4.1(2)新規再エネ導入予定（設備情報）'!$G:$G,0)-1,0)),"")</f>
        <v/>
      </c>
      <c r="Y24" s="225">
        <f t="shared" si="12"/>
        <v>0</v>
      </c>
      <c r="Z24" s="226">
        <f t="shared" ca="1" si="1"/>
        <v>0</v>
      </c>
      <c r="AA24" s="225">
        <f t="shared" si="6"/>
        <v>0</v>
      </c>
      <c r="AB24" s="279">
        <f t="shared" ca="1" si="2"/>
        <v>1</v>
      </c>
      <c r="AC24" s="257" t="str">
        <f t="shared" si="7"/>
        <v/>
      </c>
      <c r="AD24" s="257" t="str">
        <f t="shared" si="8"/>
        <v/>
      </c>
      <c r="AE24" s="257" t="str">
        <f t="shared" si="9"/>
        <v/>
      </c>
      <c r="AF24" s="257" t="str">
        <f t="shared" si="10"/>
        <v/>
      </c>
      <c r="AG24" s="257" t="str">
        <f t="shared" si="14"/>
        <v>E</v>
      </c>
      <c r="AH24" s="257" cm="1">
        <f t="array" ref="AH24">_xlfn.IFS(COUNTIF($N24:$P24,"合意済")=3,4,OR(COUNTIF($N24:$P24,"合意済")=2,COUNTIF($N24:$P24,"合意済")=1),3,COUNTIF($N24:$P24,"合意済")=0,2)</f>
        <v>2</v>
      </c>
      <c r="AI24" s="257" t="e">
        <f t="shared" ca="1" si="13"/>
        <v>#VALUE!</v>
      </c>
      <c r="AJ24" s="257" t="str">
        <f t="shared" ca="1" si="4"/>
        <v/>
      </c>
    </row>
    <row r="25" spans="2:36" s="11" customFormat="1">
      <c r="B25" s="21"/>
      <c r="C25" s="21"/>
      <c r="D25" s="36"/>
      <c r="E25" s="126"/>
      <c r="F25" s="492" t="str">
        <f ca="1">IFERROR(OFFSET('4.1(2)新規再エネ導入予定（設備情報）'!$F$1,MATCH(G25,'4.1(2)新規再エネ導入予定（設備情報）'!$G:$G,0)-1,0),"")</f>
        <v/>
      </c>
      <c r="G25" s="483"/>
      <c r="H25" s="494" t="str">
        <f ca="1">IFERROR(OFFSET('4.1(2)新規再エネ導入予定（設備情報）'!$H$1,MATCH(G25,'4.1(2)新規再エネ導入予定（設備情報）'!$G:$G,0)-1,0)&amp;"","")</f>
        <v/>
      </c>
      <c r="I25" s="495" t="str">
        <f ca="1">IFERROR(OFFSET('4.1(2)新規再エネ導入予定（設備情報）'!$L$1,MATCH(G25,'4.1(2)新規再エネ導入予定（設備情報）'!$G:$G,0)-1,0),"")</f>
        <v/>
      </c>
      <c r="J25" s="496" t="str">
        <f ca="1">IFERROR(OFFSET('4.1(2)新規再エネ導入予定（設備情報）'!$O$1,MATCH(G25,'4.1(2)新規再エネ導入予定（設備情報）'!$G:$G,0)-1,0),"")</f>
        <v/>
      </c>
      <c r="K25" s="497" t="str">
        <f ca="1">IFERROR(OFFSET('4.1(2)新規再エネ導入予定（設備情報）'!$P$1,MATCH(G25,'4.1(2)新規再エネ導入予定（設備情報）'!$G:$G,0)-1,0),"")</f>
        <v/>
      </c>
      <c r="L25" s="486"/>
      <c r="M25" s="489"/>
      <c r="N25" s="489"/>
      <c r="O25" s="489"/>
      <c r="P25" s="489"/>
      <c r="Q25" s="489"/>
      <c r="R25" s="24"/>
      <c r="S25" s="21"/>
      <c r="T25" s="489"/>
      <c r="V25" s="257">
        <f t="shared" si="5"/>
        <v>18</v>
      </c>
      <c r="W25" s="131">
        <f ca="1">IF(OFFSET('4.1(2)新規再エネ導入予定（設備情報）'!$O$1,MATCH(X25,'4.1(2)新規再エネ導入予定（設備情報）'!$Z:$Z,0)-1,0)="低圧",1,0)</f>
        <v>0</v>
      </c>
      <c r="X25" s="127" t="str">
        <f ca="1">IFERROR(IF(AND(G25="",L25&lt;&gt;""),MAX(OFFSET($X$8,0,0,ROW()-8,1)),OFFSET('4.1(2)新規再エネ導入予定（設備情報）'!$Z$1,MATCH($G25,'4.1(2)新規再エネ導入予定（設備情報）'!$G:$G,0)-1,0)),"")</f>
        <v/>
      </c>
      <c r="Y25" s="225">
        <f t="shared" si="12"/>
        <v>0</v>
      </c>
      <c r="Z25" s="226">
        <f t="shared" ca="1" si="1"/>
        <v>0</v>
      </c>
      <c r="AA25" s="225">
        <f t="shared" si="6"/>
        <v>0</v>
      </c>
      <c r="AB25" s="279">
        <f t="shared" ca="1" si="2"/>
        <v>1</v>
      </c>
      <c r="AC25" s="257" t="str">
        <f t="shared" ref="AC25:AC65" si="22">IF(M25="","",IF(OR(M25="説明済",M25="協議中",M25="合意済"),1,0))</f>
        <v/>
      </c>
      <c r="AD25" s="257" t="str">
        <f t="shared" si="8"/>
        <v/>
      </c>
      <c r="AE25" s="257" t="str">
        <f t="shared" si="9"/>
        <v/>
      </c>
      <c r="AF25" s="257" t="str">
        <f t="shared" si="10"/>
        <v/>
      </c>
      <c r="AG25" s="257" t="str">
        <f t="shared" si="14"/>
        <v>E</v>
      </c>
      <c r="AH25" s="257" cm="1">
        <f t="array" ref="AH25">_xlfn.IFS(COUNTIF($N25:$P25,"合意済")=3,4,OR(COUNTIF($N25:$P25,"合意済")=2,COUNTIF($N25:$P25,"合意済")=1),3,COUNTIF($N25:$P25,"合意済")=0,2)</f>
        <v>2</v>
      </c>
      <c r="AI25" s="257" t="e">
        <f t="shared" ca="1" si="13"/>
        <v>#VALUE!</v>
      </c>
      <c r="AJ25" s="257" t="str">
        <f t="shared" ca="1" si="4"/>
        <v/>
      </c>
    </row>
    <row r="26" spans="2:36" ht="18" customHeight="1">
      <c r="D26" s="190"/>
      <c r="E26" s="192" t="s">
        <v>18</v>
      </c>
      <c r="F26" s="193"/>
      <c r="G26" s="477"/>
      <c r="H26" s="478"/>
      <c r="I26" s="479"/>
      <c r="J26" s="480"/>
      <c r="K26" s="481"/>
      <c r="L26" s="481"/>
      <c r="M26" s="480"/>
      <c r="N26" s="480"/>
      <c r="O26" s="480"/>
      <c r="P26" s="480"/>
      <c r="Q26" s="503"/>
      <c r="R26" s="19"/>
      <c r="T26" s="490"/>
      <c r="V26" s="177">
        <f t="shared" si="5"/>
        <v>19</v>
      </c>
      <c r="W26" s="217">
        <f ca="1">IF(OFFSET('4.1(2)新規再エネ導入予定（設備情報）'!$O$1,MATCH(X26,'4.1(2)新規再エネ導入予定（設備情報）'!$Z:$Z,0)-1,0)="低圧",1,0)</f>
        <v>0</v>
      </c>
      <c r="X26" s="127" t="str">
        <f ca="1">IFERROR(IF(AND(G26="",L26&lt;&gt;""),MAX(OFFSET($X$8,0,0,ROW()-8,1)),OFFSET('4.1(2)新規再エネ導入予定（設備情報）'!$Z$1,MATCH($G26,'4.1(2)新規再エネ導入予定（設備情報）'!$G:$G,0)-1,0)),"")</f>
        <v/>
      </c>
      <c r="Y26" s="265">
        <f t="shared" si="12"/>
        <v>0</v>
      </c>
      <c r="Z26" s="263">
        <f t="shared" ca="1" si="1"/>
        <v>0</v>
      </c>
      <c r="AA26" s="265">
        <f t="shared" si="6"/>
        <v>0</v>
      </c>
      <c r="AB26" s="264">
        <f t="shared" ca="1" si="2"/>
        <v>1</v>
      </c>
      <c r="AC26" s="177" t="str">
        <f t="shared" si="22"/>
        <v/>
      </c>
      <c r="AD26" s="177" t="str">
        <f t="shared" si="8"/>
        <v/>
      </c>
      <c r="AE26" s="177" t="str">
        <f t="shared" si="9"/>
        <v/>
      </c>
      <c r="AF26" s="177" t="str">
        <f t="shared" si="10"/>
        <v/>
      </c>
      <c r="AG26" s="177" t="str">
        <f t="shared" si="14"/>
        <v>E</v>
      </c>
      <c r="AH26" s="177" cm="1">
        <f t="array" ref="AH26">_xlfn.IFS(COUNTIF($N26:$P26,"合意済")=3,4,OR(COUNTIF($N26:$P26,"合意済")=2,COUNTIF($N26:$P26,"合意済")=1),3,COUNTIF($N26:$P26,"合意済")=0,2)</f>
        <v>2</v>
      </c>
      <c r="AI26" s="177" t="e">
        <f t="shared" ca="1" si="13"/>
        <v>#VALUE!</v>
      </c>
      <c r="AJ26" s="177" t="str">
        <f t="shared" ca="1" si="4"/>
        <v/>
      </c>
    </row>
    <row r="27" spans="2:36" s="11" customFormat="1" hidden="1">
      <c r="B27" s="21"/>
      <c r="C27" s="21"/>
      <c r="D27" s="36"/>
      <c r="E27" s="126"/>
      <c r="F27" s="714"/>
      <c r="G27" s="482"/>
      <c r="H27" s="498"/>
      <c r="I27" s="499"/>
      <c r="J27" s="500"/>
      <c r="K27" s="501"/>
      <c r="L27" s="484"/>
      <c r="M27" s="487"/>
      <c r="N27" s="487"/>
      <c r="O27" s="487"/>
      <c r="P27" s="487"/>
      <c r="Q27" s="487"/>
      <c r="R27" s="24"/>
      <c r="S27" s="21"/>
      <c r="T27" s="487"/>
      <c r="V27" s="257">
        <f t="shared" si="5"/>
        <v>20</v>
      </c>
      <c r="W27" s="131">
        <f ca="1">IF(OFFSET('4.1(2)新規再エネ導入予定（設備情報）'!$O$1,MATCH(X27,'4.1(2)新規再エネ導入予定（設備情報）'!$Z:$Z,0)-1,0)="低圧",1,0)</f>
        <v>0</v>
      </c>
      <c r="X27" s="127" t="str">
        <f ca="1">IFERROR(IF(AND(G27="",L27&lt;&gt;""),MAX(OFFSET($X$8,0,0,ROW()-8,1)),OFFSET('4.1(2)新規再エネ導入予定（設備情報）'!$Z$1,MATCH($G27,'4.1(2)新規再エネ導入予定（設備情報）'!$G:$G,0)-1,0)),"")</f>
        <v/>
      </c>
      <c r="Y27" s="226">
        <f t="shared" si="12"/>
        <v>0</v>
      </c>
      <c r="Z27" s="226">
        <f t="shared" ca="1" si="1"/>
        <v>0</v>
      </c>
      <c r="AA27" s="226">
        <f t="shared" si="6"/>
        <v>0</v>
      </c>
      <c r="AB27" s="279">
        <f t="shared" ca="1" si="2"/>
        <v>1</v>
      </c>
      <c r="AC27" s="257" t="str">
        <f t="shared" si="22"/>
        <v/>
      </c>
      <c r="AD27" s="257" t="str">
        <f t="shared" si="8"/>
        <v/>
      </c>
      <c r="AE27" s="257" t="str">
        <f t="shared" si="9"/>
        <v/>
      </c>
      <c r="AF27" s="257" t="str">
        <f t="shared" si="10"/>
        <v/>
      </c>
      <c r="AG27" s="257" t="str">
        <f t="shared" si="14"/>
        <v>E</v>
      </c>
      <c r="AH27" s="257" cm="1">
        <f t="array" ref="AH27">_xlfn.IFS(COUNTIF($N27:$P27,"合意済")=3,4,OR(COUNTIF($N27:$P27,"合意済")=2,COUNTIF($N27:$P27,"合意済")=1),3,COUNTIF($N27:$P27,"合意済")=0,2)</f>
        <v>2</v>
      </c>
      <c r="AI27" s="257" t="e">
        <f t="shared" ca="1" si="13"/>
        <v>#VALUE!</v>
      </c>
      <c r="AJ27" s="257" t="str">
        <f t="shared" ca="1" si="4"/>
        <v/>
      </c>
    </row>
    <row r="28" spans="2:36" s="11" customFormat="1">
      <c r="B28" s="21"/>
      <c r="C28" s="21"/>
      <c r="D28" s="36"/>
      <c r="E28" s="126"/>
      <c r="F28" s="492" t="str">
        <f ca="1">IFERROR(OFFSET('4.1(2)新規再エネ導入予定（設備情報）'!$F$1,MATCH(G28,'4.1(2)新規再エネ導入予定（設備情報）'!$G:$G,0)-1,0),"")</f>
        <v/>
      </c>
      <c r="G28" s="483"/>
      <c r="H28" s="494" t="str">
        <f ca="1">IFERROR(OFFSET('4.1(2)新規再エネ導入予定（設備情報）'!$H$1,MATCH(G28,'4.1(2)新規再エネ導入予定（設備情報）'!$G:$G,0)-1,0)&amp;"","")</f>
        <v/>
      </c>
      <c r="I28" s="495" t="str">
        <f ca="1">IFERROR(OFFSET('4.1(2)新規再エネ導入予定（設備情報）'!$L$1,MATCH(G28,'4.1(2)新規再エネ導入予定（設備情報）'!$G:$G,0)-1,0),"")</f>
        <v/>
      </c>
      <c r="J28" s="496" t="str">
        <f ca="1">IFERROR(OFFSET('4.1(2)新規再エネ導入予定（設備情報）'!$O$1,MATCH(G28,'4.1(2)新規再エネ導入予定（設備情報）'!$G:$G,0)-1,0),"")</f>
        <v/>
      </c>
      <c r="K28" s="497" t="str">
        <f ca="1">IFERROR(OFFSET('4.1(2)新規再エネ導入予定（設備情報）'!$P$1,MATCH(G28,'4.1(2)新規再エネ導入予定（設備情報）'!$G:$G,0)-1,0),"")</f>
        <v/>
      </c>
      <c r="L28" s="486"/>
      <c r="M28" s="489"/>
      <c r="N28" s="489"/>
      <c r="O28" s="489"/>
      <c r="P28" s="489"/>
      <c r="Q28" s="489"/>
      <c r="R28" s="24"/>
      <c r="S28" s="21"/>
      <c r="T28" s="489"/>
      <c r="V28" s="257">
        <f t="shared" si="5"/>
        <v>21</v>
      </c>
      <c r="W28" s="131">
        <f ca="1">IF(OFFSET('4.1(2)新規再エネ導入予定（設備情報）'!$O$1,MATCH(X28,'4.1(2)新規再エネ導入予定（設備情報）'!$Z:$Z,0)-1,0)="低圧",1,0)</f>
        <v>0</v>
      </c>
      <c r="X28" s="127" t="str">
        <f ca="1">IFERROR(IF(AND(G28="",L28&lt;&gt;""),MAX(OFFSET($X$8,0,0,ROW()-8,1)),OFFSET('4.1(2)新規再エネ導入予定（設備情報）'!$Z$1,MATCH($G28,'4.1(2)新規再エネ導入予定（設備情報）'!$G:$G,0)-1,0)),"")</f>
        <v/>
      </c>
      <c r="Y28" s="225">
        <f t="shared" si="12"/>
        <v>0</v>
      </c>
      <c r="Z28" s="226">
        <f t="shared" ca="1" si="1"/>
        <v>0</v>
      </c>
      <c r="AA28" s="225">
        <f t="shared" si="6"/>
        <v>0</v>
      </c>
      <c r="AB28" s="279">
        <f t="shared" ca="1" si="2"/>
        <v>1</v>
      </c>
      <c r="AC28" s="257" t="str">
        <f t="shared" si="22"/>
        <v/>
      </c>
      <c r="AD28" s="257" t="str">
        <f t="shared" si="8"/>
        <v/>
      </c>
      <c r="AE28" s="257" t="str">
        <f t="shared" si="9"/>
        <v/>
      </c>
      <c r="AF28" s="257" t="str">
        <f t="shared" si="10"/>
        <v/>
      </c>
      <c r="AG28" s="257" t="str">
        <f t="shared" si="14"/>
        <v>E</v>
      </c>
      <c r="AH28" s="257" cm="1">
        <f t="array" ref="AH28">_xlfn.IFS(COUNTIF($N28:$P28,"合意済")=3,4,OR(COUNTIF($N28:$P28,"合意済")=2,COUNTIF($N28:$P28,"合意済")=1),3,COUNTIF($N28:$P28,"合意済")=0,2)</f>
        <v>2</v>
      </c>
      <c r="AI28" s="257" t="e">
        <f t="shared" ca="1" si="13"/>
        <v>#VALUE!</v>
      </c>
      <c r="AJ28" s="257" t="str">
        <f t="shared" ca="1" si="4"/>
        <v/>
      </c>
    </row>
    <row r="29" spans="2:36" s="11" customFormat="1">
      <c r="B29" s="21"/>
      <c r="C29" s="21"/>
      <c r="D29" s="36"/>
      <c r="E29" s="126"/>
      <c r="F29" s="492" t="str">
        <f ca="1">IFERROR(OFFSET('4.1(2)新規再エネ導入予定（設備情報）'!$F$1,MATCH(G29,'4.1(2)新規再エネ導入予定（設備情報）'!$G:$G,0)-1,0),"")</f>
        <v/>
      </c>
      <c r="G29" s="483"/>
      <c r="H29" s="494" t="str">
        <f ca="1">IFERROR(OFFSET('4.1(2)新規再エネ導入予定（設備情報）'!$H$1,MATCH(G29,'4.1(2)新規再エネ導入予定（設備情報）'!$G:$G,0)-1,0)&amp;"","")</f>
        <v/>
      </c>
      <c r="I29" s="495" t="str">
        <f ca="1">IFERROR(OFFSET('4.1(2)新規再エネ導入予定（設備情報）'!$L$1,MATCH(G29,'4.1(2)新規再エネ導入予定（設備情報）'!$G:$G,0)-1,0),"")</f>
        <v/>
      </c>
      <c r="J29" s="496" t="str">
        <f ca="1">IFERROR(OFFSET('4.1(2)新規再エネ導入予定（設備情報）'!$O$1,MATCH(G29,'4.1(2)新規再エネ導入予定（設備情報）'!$G:$G,0)-1,0),"")</f>
        <v/>
      </c>
      <c r="K29" s="497" t="str">
        <f ca="1">IFERROR(OFFSET('4.1(2)新規再エネ導入予定（設備情報）'!$P$1,MATCH(G29,'4.1(2)新規再エネ導入予定（設備情報）'!$G:$G,0)-1,0),"")</f>
        <v/>
      </c>
      <c r="L29" s="486"/>
      <c r="M29" s="489"/>
      <c r="N29" s="489"/>
      <c r="O29" s="489"/>
      <c r="P29" s="489"/>
      <c r="Q29" s="489"/>
      <c r="R29" s="24"/>
      <c r="S29" s="21"/>
      <c r="T29" s="489"/>
      <c r="V29" s="257">
        <f t="shared" si="5"/>
        <v>22</v>
      </c>
      <c r="W29" s="131">
        <f ca="1">IF(OFFSET('4.1(2)新規再エネ導入予定（設備情報）'!$O$1,MATCH(X29,'4.1(2)新規再エネ導入予定（設備情報）'!$Z:$Z,0)-1,0)="低圧",1,0)</f>
        <v>0</v>
      </c>
      <c r="X29" s="127" t="str">
        <f ca="1">IFERROR(IF(AND(G29="",L29&lt;&gt;""),MAX(OFFSET($X$8,0,0,ROW()-8,1)),OFFSET('4.1(2)新規再エネ導入予定（設備情報）'!$Z$1,MATCH($G29,'4.1(2)新規再エネ導入予定（設備情報）'!$G:$G,0)-1,0)),"")</f>
        <v/>
      </c>
      <c r="Y29" s="225">
        <f t="shared" si="12"/>
        <v>0</v>
      </c>
      <c r="Z29" s="226">
        <f t="shared" ca="1" si="1"/>
        <v>0</v>
      </c>
      <c r="AA29" s="225">
        <f t="shared" si="6"/>
        <v>0</v>
      </c>
      <c r="AB29" s="279">
        <f t="shared" ca="1" si="2"/>
        <v>1</v>
      </c>
      <c r="AC29" s="257" t="str">
        <f t="shared" si="22"/>
        <v/>
      </c>
      <c r="AD29" s="257" t="str">
        <f t="shared" si="8"/>
        <v/>
      </c>
      <c r="AE29" s="257" t="str">
        <f t="shared" si="9"/>
        <v/>
      </c>
      <c r="AF29" s="257" t="str">
        <f t="shared" si="10"/>
        <v/>
      </c>
      <c r="AG29" s="257" t="str">
        <f t="shared" si="14"/>
        <v>E</v>
      </c>
      <c r="AH29" s="257" cm="1">
        <f t="array" ref="AH29">_xlfn.IFS(COUNTIF($N29:$P29,"合意済")=3,4,OR(COUNTIF($N29:$P29,"合意済")=2,COUNTIF($N29:$P29,"合意済")=1),3,COUNTIF($N29:$P29,"合意済")=0,2)</f>
        <v>2</v>
      </c>
      <c r="AI29" s="257" t="e">
        <f t="shared" ca="1" si="13"/>
        <v>#VALUE!</v>
      </c>
      <c r="AJ29" s="257" t="str">
        <f t="shared" ca="1" si="4"/>
        <v/>
      </c>
    </row>
    <row r="30" spans="2:36" s="11" customFormat="1">
      <c r="B30" s="21"/>
      <c r="C30" s="21"/>
      <c r="D30" s="36"/>
      <c r="E30" s="126"/>
      <c r="F30" s="492" t="str">
        <f ca="1">IFERROR(OFFSET('4.1(2)新規再エネ導入予定（設備情報）'!$F$1,MATCH(G30,'4.1(2)新規再エネ導入予定（設備情報）'!$G:$G,0)-1,0),"")</f>
        <v/>
      </c>
      <c r="G30" s="483"/>
      <c r="H30" s="494" t="str">
        <f ca="1">IFERROR(OFFSET('4.1(2)新規再エネ導入予定（設備情報）'!$H$1,MATCH(G30,'4.1(2)新規再エネ導入予定（設備情報）'!$G:$G,0)-1,0)&amp;"","")</f>
        <v/>
      </c>
      <c r="I30" s="495" t="str">
        <f ca="1">IFERROR(OFFSET('4.1(2)新規再エネ導入予定（設備情報）'!$L$1,MATCH(G30,'4.1(2)新規再エネ導入予定（設備情報）'!$G:$G,0)-1,0),"")</f>
        <v/>
      </c>
      <c r="J30" s="496" t="str">
        <f ca="1">IFERROR(OFFSET('4.1(2)新規再エネ導入予定（設備情報）'!$O$1,MATCH(G30,'4.1(2)新規再エネ導入予定（設備情報）'!$G:$G,0)-1,0),"")</f>
        <v/>
      </c>
      <c r="K30" s="497" t="str">
        <f ca="1">IFERROR(OFFSET('4.1(2)新規再エネ導入予定（設備情報）'!$P$1,MATCH(G30,'4.1(2)新規再エネ導入予定（設備情報）'!$G:$G,0)-1,0),"")</f>
        <v/>
      </c>
      <c r="L30" s="486"/>
      <c r="M30" s="489"/>
      <c r="N30" s="489"/>
      <c r="O30" s="489"/>
      <c r="P30" s="489"/>
      <c r="Q30" s="489"/>
      <c r="R30" s="24"/>
      <c r="S30" s="21"/>
      <c r="T30" s="489"/>
      <c r="V30" s="257">
        <f t="shared" si="5"/>
        <v>23</v>
      </c>
      <c r="W30" s="131">
        <f ca="1">IF(OFFSET('4.1(2)新規再エネ導入予定（設備情報）'!$O$1,MATCH(X30,'4.1(2)新規再エネ導入予定（設備情報）'!$Z:$Z,0)-1,0)="低圧",1,0)</f>
        <v>0</v>
      </c>
      <c r="X30" s="127" t="str">
        <f ca="1">IFERROR(IF(AND(G30="",L30&lt;&gt;""),MAX(OFFSET($X$8,0,0,ROW()-8,1)),OFFSET('4.1(2)新規再エネ導入予定（設備情報）'!$Z$1,MATCH($G30,'4.1(2)新規再エネ導入予定（設備情報）'!$G:$G,0)-1,0)),"")</f>
        <v/>
      </c>
      <c r="Y30" s="225">
        <f t="shared" si="12"/>
        <v>0</v>
      </c>
      <c r="Z30" s="226">
        <f t="shared" ca="1" si="1"/>
        <v>0</v>
      </c>
      <c r="AA30" s="225">
        <f t="shared" si="6"/>
        <v>0</v>
      </c>
      <c r="AB30" s="279">
        <f t="shared" ca="1" si="2"/>
        <v>1</v>
      </c>
      <c r="AC30" s="257" t="str">
        <f t="shared" si="22"/>
        <v/>
      </c>
      <c r="AD30" s="257" t="str">
        <f t="shared" si="8"/>
        <v/>
      </c>
      <c r="AE30" s="257" t="str">
        <f t="shared" si="9"/>
        <v/>
      </c>
      <c r="AF30" s="257" t="str">
        <f t="shared" si="10"/>
        <v/>
      </c>
      <c r="AG30" s="257" t="str">
        <f t="shared" si="14"/>
        <v>E</v>
      </c>
      <c r="AH30" s="257" cm="1">
        <f t="array" ref="AH30">_xlfn.IFS(COUNTIF($N30:$P30,"合意済")=3,4,OR(COUNTIF($N30:$P30,"合意済")=2,COUNTIF($N30:$P30,"合意済")=1),3,COUNTIF($N30:$P30,"合意済")=0,2)</f>
        <v>2</v>
      </c>
      <c r="AI30" s="257" t="e">
        <f t="shared" ca="1" si="13"/>
        <v>#VALUE!</v>
      </c>
      <c r="AJ30" s="257" t="str">
        <f t="shared" ca="1" si="4"/>
        <v/>
      </c>
    </row>
    <row r="31" spans="2:36" s="11" customFormat="1">
      <c r="B31" s="21"/>
      <c r="C31" s="21"/>
      <c r="D31" s="36"/>
      <c r="E31" s="126"/>
      <c r="F31" s="492" t="str">
        <f ca="1">IFERROR(OFFSET('4.1(2)新規再エネ導入予定（設備情報）'!$F$1,MATCH(G31,'4.1(2)新規再エネ導入予定（設備情報）'!$G:$G,0)-1,0),"")</f>
        <v/>
      </c>
      <c r="G31" s="483"/>
      <c r="H31" s="494" t="str">
        <f ca="1">IFERROR(OFFSET('4.1(2)新規再エネ導入予定（設備情報）'!$H$1,MATCH(G31,'4.1(2)新規再エネ導入予定（設備情報）'!$G:$G,0)-1,0)&amp;"","")</f>
        <v/>
      </c>
      <c r="I31" s="495" t="str">
        <f ca="1">IFERROR(OFFSET('4.1(2)新規再エネ導入予定（設備情報）'!$L$1,MATCH(G31,'4.1(2)新規再エネ導入予定（設備情報）'!$G:$G,0)-1,0),"")</f>
        <v/>
      </c>
      <c r="J31" s="496" t="str">
        <f ca="1">IFERROR(OFFSET('4.1(2)新規再エネ導入予定（設備情報）'!$O$1,MATCH(G31,'4.1(2)新規再エネ導入予定（設備情報）'!$G:$G,0)-1,0),"")</f>
        <v/>
      </c>
      <c r="K31" s="497" t="str">
        <f ca="1">IFERROR(OFFSET('4.1(2)新規再エネ導入予定（設備情報）'!$P$1,MATCH(G31,'4.1(2)新規再エネ導入予定（設備情報）'!$G:$G,0)-1,0),"")</f>
        <v/>
      </c>
      <c r="L31" s="486"/>
      <c r="M31" s="489"/>
      <c r="N31" s="489"/>
      <c r="O31" s="489"/>
      <c r="P31" s="489"/>
      <c r="Q31" s="489"/>
      <c r="R31" s="24"/>
      <c r="S31" s="21"/>
      <c r="T31" s="489"/>
      <c r="V31" s="257">
        <f t="shared" si="5"/>
        <v>24</v>
      </c>
      <c r="W31" s="131">
        <f ca="1">IF(OFFSET('4.1(2)新規再エネ導入予定（設備情報）'!$O$1,MATCH(X31,'4.1(2)新規再エネ導入予定（設備情報）'!$Z:$Z,0)-1,0)="低圧",1,0)</f>
        <v>0</v>
      </c>
      <c r="X31" s="127" t="str">
        <f ca="1">IFERROR(IF(AND(G31="",L31&lt;&gt;""),MAX(OFFSET($X$8,0,0,ROW()-8,1)),OFFSET('4.1(2)新規再エネ導入予定（設備情報）'!$Z$1,MATCH($G31,'4.1(2)新規再エネ導入予定（設備情報）'!$G:$G,0)-1,0)),"")</f>
        <v/>
      </c>
      <c r="Y31" s="225">
        <f t="shared" si="12"/>
        <v>0</v>
      </c>
      <c r="Z31" s="226">
        <f t="shared" ca="1" si="1"/>
        <v>0</v>
      </c>
      <c r="AA31" s="225">
        <f t="shared" si="6"/>
        <v>0</v>
      </c>
      <c r="AB31" s="279">
        <f t="shared" ca="1" si="2"/>
        <v>1</v>
      </c>
      <c r="AC31" s="257" t="str">
        <f t="shared" si="22"/>
        <v/>
      </c>
      <c r="AD31" s="257" t="str">
        <f t="shared" si="8"/>
        <v/>
      </c>
      <c r="AE31" s="257" t="str">
        <f t="shared" si="9"/>
        <v/>
      </c>
      <c r="AF31" s="257" t="str">
        <f t="shared" si="10"/>
        <v/>
      </c>
      <c r="AG31" s="257" t="str">
        <f t="shared" si="14"/>
        <v>E</v>
      </c>
      <c r="AH31" s="257" cm="1">
        <f t="array" ref="AH31">_xlfn.IFS(COUNTIF($N31:$P31,"合意済")=3,4,OR(COUNTIF($N31:$P31,"合意済")=2,COUNTIF($N31:$P31,"合意済")=1),3,COUNTIF($N31:$P31,"合意済")=0,2)</f>
        <v>2</v>
      </c>
      <c r="AI31" s="257" t="e">
        <f t="shared" ca="1" si="13"/>
        <v>#VALUE!</v>
      </c>
      <c r="AJ31" s="257" t="str">
        <f t="shared" ca="1" si="4"/>
        <v/>
      </c>
    </row>
    <row r="32" spans="2:36" ht="20">
      <c r="D32" s="190"/>
      <c r="E32" s="192" t="s">
        <v>19</v>
      </c>
      <c r="F32" s="193"/>
      <c r="G32" s="477"/>
      <c r="H32" s="478"/>
      <c r="I32" s="479"/>
      <c r="J32" s="480"/>
      <c r="K32" s="481"/>
      <c r="L32" s="481"/>
      <c r="M32" s="480"/>
      <c r="N32" s="480"/>
      <c r="O32" s="480"/>
      <c r="P32" s="480"/>
      <c r="Q32" s="503"/>
      <c r="R32" s="19"/>
      <c r="T32" s="490"/>
      <c r="V32" s="177">
        <f t="shared" si="5"/>
        <v>25</v>
      </c>
      <c r="W32" s="217">
        <f ca="1">IF(OFFSET('4.1(2)新規再エネ導入予定（設備情報）'!$O$1,MATCH(X32,'4.1(2)新規再エネ導入予定（設備情報）'!$Z:$Z,0)-1,0)="低圧",1,0)</f>
        <v>0</v>
      </c>
      <c r="X32" s="127" t="str">
        <f ca="1">IFERROR(IF(AND(G32="",L32&lt;&gt;""),MAX(OFFSET($X$8,0,0,ROW()-8,1)),OFFSET('4.1(2)新規再エネ導入予定（設備情報）'!$Z$1,MATCH($G32,'4.1(2)新規再エネ導入予定（設備情報）'!$G:$G,0)-1,0)),"")</f>
        <v/>
      </c>
      <c r="Y32" s="265">
        <f t="shared" si="12"/>
        <v>0</v>
      </c>
      <c r="Z32" s="263">
        <f t="shared" ca="1" si="1"/>
        <v>0</v>
      </c>
      <c r="AA32" s="265">
        <f t="shared" si="6"/>
        <v>0</v>
      </c>
      <c r="AB32" s="264">
        <f t="shared" ca="1" si="2"/>
        <v>1</v>
      </c>
      <c r="AC32" s="177" t="str">
        <f t="shared" si="22"/>
        <v/>
      </c>
      <c r="AD32" s="177" t="str">
        <f t="shared" si="8"/>
        <v/>
      </c>
      <c r="AE32" s="177" t="str">
        <f t="shared" si="9"/>
        <v/>
      </c>
      <c r="AF32" s="177" t="str">
        <f t="shared" si="10"/>
        <v/>
      </c>
      <c r="AG32" s="177" t="str">
        <f t="shared" si="14"/>
        <v>E</v>
      </c>
      <c r="AH32" s="177" cm="1">
        <f t="array" ref="AH32">_xlfn.IFS(COUNTIF($N32:$P32,"合意済")=3,4,OR(COUNTIF($N32:$P32,"合意済")=2,COUNTIF($N32:$P32,"合意済")=1),3,COUNTIF($N32:$P32,"合意済")=0,2)</f>
        <v>2</v>
      </c>
      <c r="AI32" s="177" t="e">
        <f t="shared" ca="1" si="13"/>
        <v>#VALUE!</v>
      </c>
      <c r="AJ32" s="177" t="str">
        <f t="shared" ca="1" si="4"/>
        <v/>
      </c>
    </row>
    <row r="33" spans="2:36" s="11" customFormat="1" hidden="1">
      <c r="B33" s="21"/>
      <c r="C33" s="21"/>
      <c r="D33" s="36"/>
      <c r="E33" s="126"/>
      <c r="F33" s="714"/>
      <c r="G33" s="482"/>
      <c r="H33" s="498"/>
      <c r="I33" s="499"/>
      <c r="J33" s="500"/>
      <c r="K33" s="501"/>
      <c r="L33" s="484"/>
      <c r="M33" s="487"/>
      <c r="N33" s="487"/>
      <c r="O33" s="487"/>
      <c r="P33" s="487"/>
      <c r="Q33" s="487"/>
      <c r="R33" s="24"/>
      <c r="S33" s="21"/>
      <c r="T33" s="487"/>
      <c r="V33" s="257">
        <f t="shared" si="5"/>
        <v>26</v>
      </c>
      <c r="W33" s="131">
        <f ca="1">IF(OFFSET('4.1(2)新規再エネ導入予定（設備情報）'!$O$1,MATCH(X33,'4.1(2)新規再エネ導入予定（設備情報）'!$Z:$Z,0)-1,0)="低圧",1,0)</f>
        <v>0</v>
      </c>
      <c r="X33" s="127" t="str">
        <f ca="1">IFERROR(IF(AND(G33="",L33&lt;&gt;""),MAX(OFFSET($X$8,0,0,ROW()-8,1)),OFFSET('4.1(2)新規再エネ導入予定（設備情報）'!$Z$1,MATCH($G33,'4.1(2)新規再エネ導入予定（設備情報）'!$G:$G,0)-1,0)),"")</f>
        <v/>
      </c>
      <c r="Y33" s="226">
        <f t="shared" si="12"/>
        <v>0</v>
      </c>
      <c r="Z33" s="226">
        <f t="shared" ca="1" si="1"/>
        <v>0</v>
      </c>
      <c r="AA33" s="226">
        <f t="shared" si="6"/>
        <v>0</v>
      </c>
      <c r="AB33" s="279">
        <f t="shared" ca="1" si="2"/>
        <v>1</v>
      </c>
      <c r="AC33" s="257" t="str">
        <f t="shared" si="22"/>
        <v/>
      </c>
      <c r="AD33" s="257" t="str">
        <f t="shared" si="8"/>
        <v/>
      </c>
      <c r="AE33" s="257" t="str">
        <f t="shared" si="9"/>
        <v/>
      </c>
      <c r="AF33" s="257" t="str">
        <f t="shared" si="10"/>
        <v/>
      </c>
      <c r="AG33" s="257" t="str">
        <f t="shared" si="14"/>
        <v>E</v>
      </c>
      <c r="AH33" s="257" cm="1">
        <f t="array" ref="AH33">_xlfn.IFS(COUNTIF($N33:$P33,"合意済")=3,4,OR(COUNTIF($N33:$P33,"合意済")=2,COUNTIF($N33:$P33,"合意済")=1),3,COUNTIF($N33:$P33,"合意済")=0,2)</f>
        <v>2</v>
      </c>
      <c r="AI33" s="257" t="e">
        <f t="shared" ca="1" si="13"/>
        <v>#VALUE!</v>
      </c>
      <c r="AJ33" s="257" t="str">
        <f t="shared" ca="1" si="4"/>
        <v/>
      </c>
    </row>
    <row r="34" spans="2:36" s="11" customFormat="1">
      <c r="B34" s="21"/>
      <c r="C34" s="21"/>
      <c r="D34" s="36"/>
      <c r="E34" s="126"/>
      <c r="F34" s="492" t="str">
        <f ca="1">IFERROR(OFFSET('4.1(2)新規再エネ導入予定（設備情報）'!$F$1,MATCH(G34,'4.1(2)新規再エネ導入予定（設備情報）'!$G:$G,0)-1,0),"")</f>
        <v/>
      </c>
      <c r="G34" s="483"/>
      <c r="H34" s="494" t="str">
        <f ca="1">IFERROR(OFFSET('4.1(2)新規再エネ導入予定（設備情報）'!$H$1,MATCH(G34,'4.1(2)新規再エネ導入予定（設備情報）'!$G:$G,0)-1,0)&amp;"","")</f>
        <v/>
      </c>
      <c r="I34" s="495" t="str">
        <f ca="1">IFERROR(OFFSET('4.1(2)新規再エネ導入予定（設備情報）'!$L$1,MATCH(G34,'4.1(2)新規再エネ導入予定（設備情報）'!$G:$G,0)-1,0),"")</f>
        <v/>
      </c>
      <c r="J34" s="496" t="str">
        <f ca="1">IFERROR(OFFSET('4.1(2)新規再エネ導入予定（設備情報）'!$O$1,MATCH(G34,'4.1(2)新規再エネ導入予定（設備情報）'!$G:$G,0)-1,0),"")</f>
        <v/>
      </c>
      <c r="K34" s="497" t="str">
        <f ca="1">IFERROR(OFFSET('4.1(2)新規再エネ導入予定（設備情報）'!$P$1,MATCH(G34,'4.1(2)新規再エネ導入予定（設備情報）'!$G:$G,0)-1,0),"")</f>
        <v/>
      </c>
      <c r="L34" s="486"/>
      <c r="M34" s="489"/>
      <c r="N34" s="489"/>
      <c r="O34" s="489"/>
      <c r="P34" s="489"/>
      <c r="Q34" s="489"/>
      <c r="R34" s="24"/>
      <c r="S34" s="21"/>
      <c r="T34" s="489"/>
      <c r="V34" s="257">
        <f t="shared" si="5"/>
        <v>27</v>
      </c>
      <c r="W34" s="131">
        <f ca="1">IF(OFFSET('4.1(2)新規再エネ導入予定（設備情報）'!$O$1,MATCH(X34,'4.1(2)新規再エネ導入予定（設備情報）'!$Z:$Z,0)-1,0)="低圧",1,0)</f>
        <v>0</v>
      </c>
      <c r="X34" s="127" t="str">
        <f ca="1">IFERROR(IF(AND(G34="",L34&lt;&gt;""),MAX(OFFSET($X$8,0,0,ROW()-8,1)),OFFSET('4.1(2)新規再エネ導入予定（設備情報）'!$Z$1,MATCH($G34,'4.1(2)新規再エネ導入予定（設備情報）'!$G:$G,0)-1,0)),"")</f>
        <v/>
      </c>
      <c r="Y34" s="225">
        <f t="shared" si="12"/>
        <v>0</v>
      </c>
      <c r="Z34" s="226">
        <f t="shared" ca="1" si="1"/>
        <v>0</v>
      </c>
      <c r="AA34" s="225">
        <f t="shared" si="6"/>
        <v>0</v>
      </c>
      <c r="AB34" s="279">
        <f t="shared" ca="1" si="2"/>
        <v>1</v>
      </c>
      <c r="AC34" s="257" t="str">
        <f t="shared" si="22"/>
        <v/>
      </c>
      <c r="AD34" s="257" t="str">
        <f t="shared" si="8"/>
        <v/>
      </c>
      <c r="AE34" s="257" t="str">
        <f t="shared" si="9"/>
        <v/>
      </c>
      <c r="AF34" s="257" t="str">
        <f t="shared" si="10"/>
        <v/>
      </c>
      <c r="AG34" s="257" t="str">
        <f t="shared" si="14"/>
        <v>E</v>
      </c>
      <c r="AH34" s="257" cm="1">
        <f t="array" ref="AH34">_xlfn.IFS(COUNTIF($N34:$P34,"合意済")=3,4,OR(COUNTIF($N34:$P34,"合意済")=2,COUNTIF($N34:$P34,"合意済")=1),3,COUNTIF($N34:$P34,"合意済")=0,2)</f>
        <v>2</v>
      </c>
      <c r="AI34" s="257" t="e">
        <f t="shared" ca="1" si="13"/>
        <v>#VALUE!</v>
      </c>
      <c r="AJ34" s="257" t="str">
        <f t="shared" ca="1" si="4"/>
        <v/>
      </c>
    </row>
    <row r="35" spans="2:36" s="11" customFormat="1">
      <c r="B35" s="21"/>
      <c r="C35" s="21"/>
      <c r="D35" s="36"/>
      <c r="E35" s="126"/>
      <c r="F35" s="492" t="str">
        <f ca="1">IFERROR(OFFSET('4.1(2)新規再エネ導入予定（設備情報）'!$F$1,MATCH(G35,'4.1(2)新規再エネ導入予定（設備情報）'!$G:$G,0)-1,0),"")</f>
        <v/>
      </c>
      <c r="G35" s="483"/>
      <c r="H35" s="494" t="str">
        <f ca="1">IFERROR(OFFSET('4.1(2)新規再エネ導入予定（設備情報）'!$H$1,MATCH(G35,'4.1(2)新規再エネ導入予定（設備情報）'!$G:$G,0)-1,0)&amp;"","")</f>
        <v/>
      </c>
      <c r="I35" s="495" t="str">
        <f ca="1">IFERROR(OFFSET('4.1(2)新規再エネ導入予定（設備情報）'!$L$1,MATCH(G35,'4.1(2)新規再エネ導入予定（設備情報）'!$G:$G,0)-1,0),"")</f>
        <v/>
      </c>
      <c r="J35" s="496" t="str">
        <f ca="1">IFERROR(OFFSET('4.1(2)新規再エネ導入予定（設備情報）'!$O$1,MATCH(G35,'4.1(2)新規再エネ導入予定（設備情報）'!$G:$G,0)-1,0),"")</f>
        <v/>
      </c>
      <c r="K35" s="497" t="str">
        <f ca="1">IFERROR(OFFSET('4.1(2)新規再エネ導入予定（設備情報）'!$P$1,MATCH(G35,'4.1(2)新規再エネ導入予定（設備情報）'!$G:$G,0)-1,0),"")</f>
        <v/>
      </c>
      <c r="L35" s="486"/>
      <c r="M35" s="489"/>
      <c r="N35" s="489"/>
      <c r="O35" s="489"/>
      <c r="P35" s="489"/>
      <c r="Q35" s="489"/>
      <c r="R35" s="24"/>
      <c r="S35" s="21"/>
      <c r="T35" s="489"/>
      <c r="V35" s="257">
        <f t="shared" si="5"/>
        <v>28</v>
      </c>
      <c r="W35" s="131">
        <f ca="1">IF(OFFSET('4.1(2)新規再エネ導入予定（設備情報）'!$O$1,MATCH(X35,'4.1(2)新規再エネ導入予定（設備情報）'!$Z:$Z,0)-1,0)="低圧",1,0)</f>
        <v>0</v>
      </c>
      <c r="X35" s="127" t="str">
        <f ca="1">IFERROR(IF(AND(G35="",L35&lt;&gt;""),MAX(OFFSET($X$8,0,0,ROW()-8,1)),OFFSET('4.1(2)新規再エネ導入予定（設備情報）'!$Z$1,MATCH($G35,'4.1(2)新規再エネ導入予定（設備情報）'!$G:$G,0)-1,0)),"")</f>
        <v/>
      </c>
      <c r="Y35" s="225">
        <f t="shared" si="12"/>
        <v>0</v>
      </c>
      <c r="Z35" s="226">
        <f t="shared" ca="1" si="1"/>
        <v>0</v>
      </c>
      <c r="AA35" s="225">
        <f t="shared" si="6"/>
        <v>0</v>
      </c>
      <c r="AB35" s="279">
        <f t="shared" ca="1" si="2"/>
        <v>1</v>
      </c>
      <c r="AC35" s="257" t="str">
        <f t="shared" si="22"/>
        <v/>
      </c>
      <c r="AD35" s="257" t="str">
        <f t="shared" si="8"/>
        <v/>
      </c>
      <c r="AE35" s="257" t="str">
        <f t="shared" si="9"/>
        <v/>
      </c>
      <c r="AF35" s="257" t="str">
        <f t="shared" si="10"/>
        <v/>
      </c>
      <c r="AG35" s="257" t="str">
        <f t="shared" si="14"/>
        <v>E</v>
      </c>
      <c r="AH35" s="257" cm="1">
        <f t="array" ref="AH35">_xlfn.IFS(COUNTIF($N35:$P35,"合意済")=3,4,OR(COUNTIF($N35:$P35,"合意済")=2,COUNTIF($N35:$P35,"合意済")=1),3,COUNTIF($N35:$P35,"合意済")=0,2)</f>
        <v>2</v>
      </c>
      <c r="AI35" s="257" t="e">
        <f t="shared" ca="1" si="13"/>
        <v>#VALUE!</v>
      </c>
      <c r="AJ35" s="257" t="str">
        <f t="shared" ca="1" si="4"/>
        <v/>
      </c>
    </row>
    <row r="36" spans="2:36" s="11" customFormat="1">
      <c r="B36" s="21"/>
      <c r="C36" s="21"/>
      <c r="D36" s="36"/>
      <c r="E36" s="126"/>
      <c r="F36" s="492" t="str">
        <f ca="1">IFERROR(OFFSET('4.1(2)新規再エネ導入予定（設備情報）'!$F$1,MATCH(G36,'4.1(2)新規再エネ導入予定（設備情報）'!$G:$G,0)-1,0),"")</f>
        <v/>
      </c>
      <c r="G36" s="483" t="s">
        <v>195</v>
      </c>
      <c r="H36" s="494" t="str">
        <f ca="1">IFERROR(OFFSET('4.1(2)新規再エネ導入予定（設備情報）'!$H$1,MATCH(G36,'4.1(2)新規再エネ導入予定（設備情報）'!$G:$G,0)-1,0)&amp;"","")</f>
        <v/>
      </c>
      <c r="I36" s="495" t="str">
        <f ca="1">IFERROR(OFFSET('4.1(2)新規再エネ導入予定（設備情報）'!$L$1,MATCH(G36,'4.1(2)新規再エネ導入予定（設備情報）'!$G:$G,0)-1,0),"")</f>
        <v/>
      </c>
      <c r="J36" s="496" t="str">
        <f ca="1">IFERROR(OFFSET('4.1(2)新規再エネ導入予定（設備情報）'!$O$1,MATCH(G36,'4.1(2)新規再エネ導入予定（設備情報）'!$G:$G,0)-1,0),"")</f>
        <v/>
      </c>
      <c r="K36" s="497" t="str">
        <f ca="1">IFERROR(OFFSET('4.1(2)新規再エネ導入予定（設備情報）'!$P$1,MATCH(G36,'4.1(2)新規再エネ導入予定（設備情報）'!$G:$G,0)-1,0),"")</f>
        <v/>
      </c>
      <c r="L36" s="486"/>
      <c r="M36" s="489"/>
      <c r="N36" s="489"/>
      <c r="O36" s="489"/>
      <c r="P36" s="489"/>
      <c r="Q36" s="489"/>
      <c r="R36" s="24"/>
      <c r="S36" s="21"/>
      <c r="T36" s="489"/>
      <c r="V36" s="257">
        <f t="shared" si="5"/>
        <v>29</v>
      </c>
      <c r="W36" s="131">
        <f ca="1">IF(OFFSET('4.1(2)新規再エネ導入予定（設備情報）'!$O$1,MATCH(X36,'4.1(2)新規再エネ導入予定（設備情報）'!$Z:$Z,0)-1,0)="低圧",1,0)</f>
        <v>0</v>
      </c>
      <c r="X36" s="127" t="str">
        <f ca="1">IFERROR(IF(AND(G36="",L36&lt;&gt;""),MAX(OFFSET($X$8,0,0,ROW()-8,1)),OFFSET('4.1(2)新規再エネ導入予定（設備情報）'!$Z$1,MATCH($G36,'4.1(2)新規再エネ導入予定（設備情報）'!$G:$G,0)-1,0)),"")</f>
        <v/>
      </c>
      <c r="Y36" s="225">
        <f t="shared" si="12"/>
        <v>0</v>
      </c>
      <c r="Z36" s="226">
        <f t="shared" ca="1" si="1"/>
        <v>0</v>
      </c>
      <c r="AA36" s="225">
        <f t="shared" si="6"/>
        <v>0</v>
      </c>
      <c r="AB36" s="279">
        <f t="shared" ca="1" si="2"/>
        <v>1</v>
      </c>
      <c r="AC36" s="257" t="str">
        <f t="shared" si="22"/>
        <v/>
      </c>
      <c r="AD36" s="257" t="str">
        <f t="shared" si="8"/>
        <v/>
      </c>
      <c r="AE36" s="257" t="str">
        <f t="shared" si="9"/>
        <v/>
      </c>
      <c r="AF36" s="257" t="str">
        <f t="shared" si="10"/>
        <v/>
      </c>
      <c r="AG36" s="257" t="str">
        <f t="shared" si="14"/>
        <v>E</v>
      </c>
      <c r="AH36" s="257" cm="1">
        <f t="array" ref="AH36">_xlfn.IFS(COUNTIF($N36:$P36,"合意済")=3,4,OR(COUNTIF($N36:$P36,"合意済")=2,COUNTIF($N36:$P36,"合意済")=1),3,COUNTIF($N36:$P36,"合意済")=0,2)</f>
        <v>2</v>
      </c>
      <c r="AI36" s="257" t="e">
        <f t="shared" ca="1" si="13"/>
        <v>#VALUE!</v>
      </c>
      <c r="AJ36" s="257" t="str">
        <f t="shared" ca="1" si="4"/>
        <v/>
      </c>
    </row>
    <row r="37" spans="2:36" s="11" customFormat="1">
      <c r="B37" s="21"/>
      <c r="C37" s="21"/>
      <c r="D37" s="36"/>
      <c r="E37" s="126"/>
      <c r="F37" s="492" t="str">
        <f ca="1">IFERROR(OFFSET('4.1(2)新規再エネ導入予定（設備情報）'!$F$1,MATCH(G37,'4.1(2)新規再エネ導入予定（設備情報）'!$G:$G,0)-1,0),"")</f>
        <v/>
      </c>
      <c r="G37" s="483"/>
      <c r="H37" s="494" t="str">
        <f ca="1">IFERROR(OFFSET('4.1(2)新規再エネ導入予定（設備情報）'!$H$1,MATCH(G37,'4.1(2)新規再エネ導入予定（設備情報）'!$G:$G,0)-1,0)&amp;"","")</f>
        <v/>
      </c>
      <c r="I37" s="495" t="str">
        <f ca="1">IFERROR(OFFSET('4.1(2)新規再エネ導入予定（設備情報）'!$L$1,MATCH(G37,'4.1(2)新規再エネ導入予定（設備情報）'!$G:$G,0)-1,0),"")</f>
        <v/>
      </c>
      <c r="J37" s="496" t="str">
        <f ca="1">IFERROR(OFFSET('4.1(2)新規再エネ導入予定（設備情報）'!$O$1,MATCH(G37,'4.1(2)新規再エネ導入予定（設備情報）'!$G:$G,0)-1,0),"")</f>
        <v/>
      </c>
      <c r="K37" s="497" t="str">
        <f ca="1">IFERROR(OFFSET('4.1(2)新規再エネ導入予定（設備情報）'!$P$1,MATCH(G37,'4.1(2)新規再エネ導入予定（設備情報）'!$G:$G,0)-1,0),"")</f>
        <v/>
      </c>
      <c r="L37" s="486"/>
      <c r="M37" s="489"/>
      <c r="N37" s="489"/>
      <c r="O37" s="489"/>
      <c r="P37" s="489"/>
      <c r="Q37" s="489"/>
      <c r="R37" s="24"/>
      <c r="S37" s="21"/>
      <c r="T37" s="489"/>
      <c r="V37" s="257">
        <f t="shared" si="5"/>
        <v>30</v>
      </c>
      <c r="W37" s="131">
        <f ca="1">IF(OFFSET('4.1(2)新規再エネ導入予定（設備情報）'!$O$1,MATCH(X37,'4.1(2)新規再エネ導入予定（設備情報）'!$Z:$Z,0)-1,0)="低圧",1,0)</f>
        <v>0</v>
      </c>
      <c r="X37" s="127" t="str">
        <f ca="1">IFERROR(IF(AND(G37="",L37&lt;&gt;""),MAX(OFFSET($X$8,0,0,ROW()-8,1)),OFFSET('4.1(2)新規再エネ導入予定（設備情報）'!$Z$1,MATCH($G37,'4.1(2)新規再エネ導入予定（設備情報）'!$G:$G,0)-1,0)),"")</f>
        <v/>
      </c>
      <c r="Y37" s="225">
        <f t="shared" si="12"/>
        <v>0</v>
      </c>
      <c r="Z37" s="226">
        <f t="shared" ca="1" si="1"/>
        <v>0</v>
      </c>
      <c r="AA37" s="225">
        <f t="shared" si="6"/>
        <v>0</v>
      </c>
      <c r="AB37" s="279">
        <f t="shared" ca="1" si="2"/>
        <v>1</v>
      </c>
      <c r="AC37" s="257" t="str">
        <f t="shared" si="22"/>
        <v/>
      </c>
      <c r="AD37" s="257" t="str">
        <f t="shared" si="8"/>
        <v/>
      </c>
      <c r="AE37" s="257" t="str">
        <f t="shared" si="9"/>
        <v/>
      </c>
      <c r="AF37" s="257" t="str">
        <f t="shared" si="10"/>
        <v/>
      </c>
      <c r="AG37" s="257" t="str">
        <f t="shared" si="14"/>
        <v>E</v>
      </c>
      <c r="AH37" s="257" cm="1">
        <f t="array" ref="AH37">_xlfn.IFS(COUNTIF($N37:$P37,"合意済")=3,4,OR(COUNTIF($N37:$P37,"合意済")=2,COUNTIF($N37:$P37,"合意済")=1),3,COUNTIF($N37:$P37,"合意済")=0,2)</f>
        <v>2</v>
      </c>
      <c r="AI37" s="257" t="e">
        <f t="shared" ca="1" si="13"/>
        <v>#VALUE!</v>
      </c>
      <c r="AJ37" s="257" t="str">
        <f t="shared" ca="1" si="4"/>
        <v/>
      </c>
    </row>
    <row r="38" spans="2:36" ht="20">
      <c r="D38" s="190"/>
      <c r="E38" s="192" t="s">
        <v>198</v>
      </c>
      <c r="F38" s="193"/>
      <c r="G38" s="477"/>
      <c r="H38" s="478"/>
      <c r="I38" s="479"/>
      <c r="J38" s="480"/>
      <c r="K38" s="481"/>
      <c r="L38" s="481"/>
      <c r="M38" s="480"/>
      <c r="N38" s="480"/>
      <c r="O38" s="480"/>
      <c r="P38" s="480"/>
      <c r="Q38" s="503"/>
      <c r="R38" s="19"/>
      <c r="T38" s="490"/>
      <c r="V38" s="177">
        <f t="shared" si="5"/>
        <v>31</v>
      </c>
      <c r="W38" s="217">
        <f ca="1">IF(OFFSET('4.1(2)新規再エネ導入予定（設備情報）'!$O$1,MATCH(X38,'4.1(2)新規再エネ導入予定（設備情報）'!$Z:$Z,0)-1,0)="低圧",1,0)</f>
        <v>0</v>
      </c>
      <c r="X38" s="127" t="str">
        <f ca="1">IFERROR(IF(AND(G38="",L38&lt;&gt;""),MAX(OFFSET($X$8,0,0,ROW()-8,1)),OFFSET('4.1(2)新規再エネ導入予定（設備情報）'!$Z$1,MATCH($G38,'4.1(2)新規再エネ導入予定（設備情報）'!$G:$G,0)-1,0)),"")</f>
        <v/>
      </c>
      <c r="Y38" s="265">
        <f t="shared" si="12"/>
        <v>0</v>
      </c>
      <c r="Z38" s="263">
        <f t="shared" ca="1" si="1"/>
        <v>0</v>
      </c>
      <c r="AA38" s="265">
        <f t="shared" si="6"/>
        <v>0</v>
      </c>
      <c r="AB38" s="264">
        <f t="shared" ca="1" si="2"/>
        <v>1</v>
      </c>
      <c r="AC38" s="177" t="str">
        <f t="shared" si="22"/>
        <v/>
      </c>
      <c r="AD38" s="177" t="str">
        <f t="shared" si="8"/>
        <v/>
      </c>
      <c r="AE38" s="177" t="str">
        <f t="shared" si="9"/>
        <v/>
      </c>
      <c r="AF38" s="177" t="str">
        <f t="shared" si="10"/>
        <v/>
      </c>
      <c r="AG38" s="177" t="str">
        <f t="shared" si="14"/>
        <v>E</v>
      </c>
      <c r="AH38" s="177" cm="1">
        <f t="array" ref="AH38">_xlfn.IFS(COUNTIF($N38:$P38,"合意済")=3,4,OR(COUNTIF($N38:$P38,"合意済")=2,COUNTIF($N38:$P38,"合意済")=1),3,COUNTIF($N38:$P38,"合意済")=0,2)</f>
        <v>2</v>
      </c>
      <c r="AI38" s="177" t="e">
        <f t="shared" ca="1" si="13"/>
        <v>#VALUE!</v>
      </c>
      <c r="AJ38" s="177" t="str">
        <f t="shared" ca="1" si="4"/>
        <v/>
      </c>
    </row>
    <row r="39" spans="2:36" s="11" customFormat="1" hidden="1">
      <c r="B39" s="21"/>
      <c r="C39" s="21"/>
      <c r="D39" s="36"/>
      <c r="E39" s="126"/>
      <c r="F39" s="714"/>
      <c r="G39" s="482"/>
      <c r="H39" s="498"/>
      <c r="I39" s="499"/>
      <c r="J39" s="500"/>
      <c r="K39" s="501"/>
      <c r="L39" s="484"/>
      <c r="M39" s="487"/>
      <c r="N39" s="487"/>
      <c r="O39" s="487"/>
      <c r="P39" s="487"/>
      <c r="Q39" s="487"/>
      <c r="R39" s="24"/>
      <c r="S39" s="21"/>
      <c r="T39" s="487"/>
      <c r="V39" s="257">
        <f t="shared" si="5"/>
        <v>32</v>
      </c>
      <c r="W39" s="131">
        <f ca="1">IF(OFFSET('4.1(2)新規再エネ導入予定（設備情報）'!$O$1,MATCH(X39,'4.1(2)新規再エネ導入予定（設備情報）'!$Z:$Z,0)-1,0)="低圧",1,0)</f>
        <v>0</v>
      </c>
      <c r="X39" s="127" t="str">
        <f ca="1">IFERROR(IF(AND(G39="",L39&lt;&gt;""),MAX(OFFSET($X$8,0,0,ROW()-8,1)),OFFSET('4.1(2)新規再エネ導入予定（設備情報）'!$Z$1,MATCH($G39,'4.1(2)新規再エネ導入予定（設備情報）'!$G:$G,0)-1,0)),"")</f>
        <v/>
      </c>
      <c r="Y39" s="226">
        <f t="shared" si="12"/>
        <v>0</v>
      </c>
      <c r="Z39" s="226">
        <f t="shared" ca="1" si="1"/>
        <v>0</v>
      </c>
      <c r="AA39" s="226">
        <f t="shared" si="6"/>
        <v>0</v>
      </c>
      <c r="AB39" s="279">
        <f t="shared" ca="1" si="2"/>
        <v>1</v>
      </c>
      <c r="AC39" s="257" t="str">
        <f t="shared" si="22"/>
        <v/>
      </c>
      <c r="AD39" s="257" t="str">
        <f t="shared" si="8"/>
        <v/>
      </c>
      <c r="AE39" s="257" t="str">
        <f t="shared" si="9"/>
        <v/>
      </c>
      <c r="AF39" s="257" t="str">
        <f t="shared" si="10"/>
        <v/>
      </c>
      <c r="AG39" s="257" t="str">
        <f t="shared" si="14"/>
        <v>E</v>
      </c>
      <c r="AH39" s="257" cm="1">
        <f t="array" ref="AH39">_xlfn.IFS(COUNTIF($N39:$P39,"合意済")=3,4,OR(COUNTIF($N39:$P39,"合意済")=2,COUNTIF($N39:$P39,"合意済")=1),3,COUNTIF($N39:$P39,"合意済")=0,2)</f>
        <v>2</v>
      </c>
      <c r="AI39" s="257" t="e">
        <f t="shared" ca="1" si="13"/>
        <v>#VALUE!</v>
      </c>
      <c r="AJ39" s="257" t="str">
        <f t="shared" ca="1" si="4"/>
        <v/>
      </c>
    </row>
    <row r="40" spans="2:36" s="11" customFormat="1">
      <c r="B40" s="21"/>
      <c r="C40" s="21"/>
      <c r="D40" s="36"/>
      <c r="E40" s="126"/>
      <c r="F40" s="492" t="str">
        <f ca="1">IFERROR(OFFSET('4.1(2)新規再エネ導入予定（設備情報）'!$F$1,MATCH(G40,'4.1(2)新規再エネ導入予定（設備情報）'!$G:$G,0)-1,0),"")</f>
        <v/>
      </c>
      <c r="G40" s="483"/>
      <c r="H40" s="494" t="str">
        <f ca="1">IFERROR(OFFSET('4.1(2)新規再エネ導入予定（設備情報）'!$H$1,MATCH(G40,'4.1(2)新規再エネ導入予定（設備情報）'!$G:$G,0)-1,0)&amp;"","")</f>
        <v/>
      </c>
      <c r="I40" s="495" t="str">
        <f ca="1">IFERROR(OFFSET('4.1(2)新規再エネ導入予定（設備情報）'!$L$1,MATCH(G40,'4.1(2)新規再エネ導入予定（設備情報）'!$G:$G,0)-1,0),"")</f>
        <v/>
      </c>
      <c r="J40" s="496" t="str">
        <f ca="1">IFERROR(OFFSET('4.1(2)新規再エネ導入予定（設備情報）'!$O$1,MATCH(G40,'4.1(2)新規再エネ導入予定（設備情報）'!$G:$G,0)-1,0),"")</f>
        <v/>
      </c>
      <c r="K40" s="497" t="str">
        <f ca="1">IFERROR(OFFSET('4.1(2)新規再エネ導入予定（設備情報）'!$P$1,MATCH(G40,'4.1(2)新規再エネ導入予定（設備情報）'!$G:$G,0)-1,0),"")</f>
        <v/>
      </c>
      <c r="L40" s="486"/>
      <c r="M40" s="489"/>
      <c r="N40" s="489"/>
      <c r="O40" s="489"/>
      <c r="P40" s="489"/>
      <c r="Q40" s="489"/>
      <c r="R40" s="24"/>
      <c r="S40" s="21"/>
      <c r="T40" s="489"/>
      <c r="V40" s="257">
        <f t="shared" si="5"/>
        <v>33</v>
      </c>
      <c r="W40" s="131">
        <f ca="1">IF(OFFSET('4.1(2)新規再エネ導入予定（設備情報）'!$O$1,MATCH(X40,'4.1(2)新規再エネ導入予定（設備情報）'!$Z:$Z,0)-1,0)="低圧",1,0)</f>
        <v>0</v>
      </c>
      <c r="X40" s="127" t="str">
        <f ca="1">IFERROR(IF(AND(G40="",L40&lt;&gt;""),MAX(OFFSET($X$8,0,0,ROW()-8,1)),OFFSET('4.1(2)新規再エネ導入予定（設備情報）'!$Z$1,MATCH($G40,'4.1(2)新規再エネ導入予定（設備情報）'!$G:$G,0)-1,0)),"")</f>
        <v/>
      </c>
      <c r="Y40" s="225">
        <f t="shared" si="12"/>
        <v>0</v>
      </c>
      <c r="Z40" s="226">
        <f t="shared" ref="Z40:Z71" ca="1" si="23">SUMIF($X$8:$X$171,X40,$Y$8:$Y$171)</f>
        <v>0</v>
      </c>
      <c r="AA40" s="225">
        <f t="shared" si="6"/>
        <v>0</v>
      </c>
      <c r="AB40" s="279">
        <f t="shared" ref="AB40:AB71" ca="1" si="24">IF(COUNTIFS($X$8:$X$171,X40,$Y$8:$Y$171,1)=0,1,COUNTIFS($X$8:$X$171,X40,$Y$8:$Y$171,1,$AA$8:$AA$171,1))</f>
        <v>1</v>
      </c>
      <c r="AC40" s="257" t="str">
        <f t="shared" si="22"/>
        <v/>
      </c>
      <c r="AD40" s="257" t="str">
        <f t="shared" si="8"/>
        <v/>
      </c>
      <c r="AE40" s="257" t="str">
        <f t="shared" si="9"/>
        <v/>
      </c>
      <c r="AF40" s="257" t="str">
        <f t="shared" si="10"/>
        <v/>
      </c>
      <c r="AG40" s="257" t="str">
        <f t="shared" si="14"/>
        <v>E</v>
      </c>
      <c r="AH40" s="257" cm="1">
        <f t="array" ref="AH40">_xlfn.IFS(COUNTIF($N40:$P40,"合意済")=3,4,OR(COUNTIF($N40:$P40,"合意済")=2,COUNTIF($N40:$P40,"合意済")=1),3,COUNTIF($N40:$P40,"合意済")=0,2)</f>
        <v>2</v>
      </c>
      <c r="AI40" s="257" t="e">
        <f t="shared" ca="1" si="13"/>
        <v>#VALUE!</v>
      </c>
      <c r="AJ40" s="257" t="str">
        <f t="shared" ref="AJ40:AJ71" ca="1" si="25">IFERROR(_xlfn.MINIFS($AI$8:$AI$171,$X$8:$X$171,X40),"")</f>
        <v/>
      </c>
    </row>
    <row r="41" spans="2:36" s="11" customFormat="1">
      <c r="B41" s="21"/>
      <c r="C41" s="21"/>
      <c r="D41" s="36"/>
      <c r="E41" s="126"/>
      <c r="F41" s="492" t="str">
        <f ca="1">IFERROR(OFFSET('4.1(2)新規再エネ導入予定（設備情報）'!$F$1,MATCH(G41,'4.1(2)新規再エネ導入予定（設備情報）'!$G:$G,0)-1,0),"")</f>
        <v/>
      </c>
      <c r="G41" s="483"/>
      <c r="H41" s="494" t="str">
        <f ca="1">IFERROR(OFFSET('4.1(2)新規再エネ導入予定（設備情報）'!$H$1,MATCH(G41,'4.1(2)新規再エネ導入予定（設備情報）'!$G:$G,0)-1,0)&amp;"","")</f>
        <v/>
      </c>
      <c r="I41" s="495" t="str">
        <f ca="1">IFERROR(OFFSET('4.1(2)新規再エネ導入予定（設備情報）'!$L$1,MATCH(G41,'4.1(2)新規再エネ導入予定（設備情報）'!$G:$G,0)-1,0),"")</f>
        <v/>
      </c>
      <c r="J41" s="496" t="str">
        <f ca="1">IFERROR(OFFSET('4.1(2)新規再エネ導入予定（設備情報）'!$O$1,MATCH(G41,'4.1(2)新規再エネ導入予定（設備情報）'!$G:$G,0)-1,0),"")</f>
        <v/>
      </c>
      <c r="K41" s="497" t="str">
        <f ca="1">IFERROR(OFFSET('4.1(2)新規再エネ導入予定（設備情報）'!$P$1,MATCH(G41,'4.1(2)新規再エネ導入予定（設備情報）'!$G:$G,0)-1,0),"")</f>
        <v/>
      </c>
      <c r="L41" s="486"/>
      <c r="M41" s="489"/>
      <c r="N41" s="489"/>
      <c r="O41" s="489"/>
      <c r="P41" s="489"/>
      <c r="Q41" s="489"/>
      <c r="R41" s="24"/>
      <c r="S41" s="21"/>
      <c r="T41" s="489"/>
      <c r="V41" s="257">
        <f t="shared" si="5"/>
        <v>34</v>
      </c>
      <c r="W41" s="131">
        <f ca="1">IF(OFFSET('4.1(2)新規再エネ導入予定（設備情報）'!$O$1,MATCH(X41,'4.1(2)新規再エネ導入予定（設備情報）'!$Z:$Z,0)-1,0)="低圧",1,0)</f>
        <v>0</v>
      </c>
      <c r="X41" s="127" t="str">
        <f ca="1">IFERROR(IF(AND(G41="",L41&lt;&gt;""),MAX(OFFSET($X$8,0,0,ROW()-8,1)),OFFSET('4.1(2)新規再エネ導入予定（設備情報）'!$Z$1,MATCH($G41,'4.1(2)新規再エネ導入予定（設備情報）'!$G:$G,0)-1,0)),"")</f>
        <v/>
      </c>
      <c r="Y41" s="225">
        <f t="shared" si="12"/>
        <v>0</v>
      </c>
      <c r="Z41" s="226">
        <f t="shared" ca="1" si="23"/>
        <v>0</v>
      </c>
      <c r="AA41" s="225">
        <f t="shared" si="6"/>
        <v>0</v>
      </c>
      <c r="AB41" s="279">
        <f t="shared" ca="1" si="24"/>
        <v>1</v>
      </c>
      <c r="AC41" s="257" t="str">
        <f t="shared" si="22"/>
        <v/>
      </c>
      <c r="AD41" s="257" t="str">
        <f t="shared" si="8"/>
        <v/>
      </c>
      <c r="AE41" s="257" t="str">
        <f t="shared" ref="AE41:AE72" si="26">IF(O41="","",IF(OR(O41="説明済",O41="協議中",O41="合意済"),1,0))</f>
        <v/>
      </c>
      <c r="AF41" s="257" t="str">
        <f t="shared" ref="AF41:AF72" si="27">IF(P41="","",IF(OR(P41="説明済",P41="協議中",P41="合意済"),1,0))</f>
        <v/>
      </c>
      <c r="AG41" s="257" t="str">
        <f t="shared" si="14"/>
        <v>E</v>
      </c>
      <c r="AH41" s="257" cm="1">
        <f t="array" ref="AH41">_xlfn.IFS(COUNTIF($N41:$P41,"合意済")=3,4,OR(COUNTIF($N41:$P41,"合意済")=2,COUNTIF($N41:$P41,"合意済")=1),3,COUNTIF($N41:$P41,"合意済")=0,2)</f>
        <v>2</v>
      </c>
      <c r="AI41" s="257" t="e">
        <f t="shared" ca="1" si="13"/>
        <v>#VALUE!</v>
      </c>
      <c r="AJ41" s="257" t="str">
        <f t="shared" ca="1" si="25"/>
        <v/>
      </c>
    </row>
    <row r="42" spans="2:36" s="11" customFormat="1">
      <c r="B42" s="21"/>
      <c r="C42" s="21"/>
      <c r="D42" s="36"/>
      <c r="E42" s="126"/>
      <c r="F42" s="492" t="str">
        <f ca="1">IFERROR(OFFSET('4.1(2)新規再エネ導入予定（設備情報）'!$F$1,MATCH(G42,'4.1(2)新規再エネ導入予定（設備情報）'!$G:$G,0)-1,0),"")</f>
        <v/>
      </c>
      <c r="G42" s="483"/>
      <c r="H42" s="494" t="str">
        <f ca="1">IFERROR(OFFSET('4.1(2)新規再エネ導入予定（設備情報）'!$H$1,MATCH(G42,'4.1(2)新規再エネ導入予定（設備情報）'!$G:$G,0)-1,0)&amp;"","")</f>
        <v/>
      </c>
      <c r="I42" s="495" t="str">
        <f ca="1">IFERROR(OFFSET('4.1(2)新規再エネ導入予定（設備情報）'!$L$1,MATCH(G42,'4.1(2)新規再エネ導入予定（設備情報）'!$G:$G,0)-1,0),"")</f>
        <v/>
      </c>
      <c r="J42" s="496" t="str">
        <f ca="1">IFERROR(OFFSET('4.1(2)新規再エネ導入予定（設備情報）'!$O$1,MATCH(G42,'4.1(2)新規再エネ導入予定（設備情報）'!$G:$G,0)-1,0),"")</f>
        <v/>
      </c>
      <c r="K42" s="497" t="str">
        <f ca="1">IFERROR(OFFSET('4.1(2)新規再エネ導入予定（設備情報）'!$P$1,MATCH(G42,'4.1(2)新規再エネ導入予定（設備情報）'!$G:$G,0)-1,0),"")</f>
        <v/>
      </c>
      <c r="L42" s="486"/>
      <c r="M42" s="489"/>
      <c r="N42" s="489"/>
      <c r="O42" s="489"/>
      <c r="P42" s="489"/>
      <c r="Q42" s="489"/>
      <c r="R42" s="24"/>
      <c r="S42" s="21"/>
      <c r="T42" s="489"/>
      <c r="V42" s="257">
        <f t="shared" si="5"/>
        <v>35</v>
      </c>
      <c r="W42" s="131">
        <f ca="1">IF(OFFSET('4.1(2)新規再エネ導入予定（設備情報）'!$O$1,MATCH(X42,'4.1(2)新規再エネ導入予定（設備情報）'!$Z:$Z,0)-1,0)="低圧",1,0)</f>
        <v>0</v>
      </c>
      <c r="X42" s="127" t="str">
        <f ca="1">IFERROR(IF(AND(G42="",L42&lt;&gt;""),MAX(OFFSET($X$8,0,0,ROW()-8,1)),OFFSET('4.1(2)新規再エネ導入予定（設備情報）'!$Z$1,MATCH($G42,'4.1(2)新規再エネ導入予定（設備情報）'!$G:$G,0)-1,0)),"")</f>
        <v/>
      </c>
      <c r="Y42" s="225">
        <f t="shared" si="12"/>
        <v>0</v>
      </c>
      <c r="Z42" s="226">
        <f t="shared" ca="1" si="23"/>
        <v>0</v>
      </c>
      <c r="AA42" s="225">
        <f t="shared" si="6"/>
        <v>0</v>
      </c>
      <c r="AB42" s="279">
        <f t="shared" ca="1" si="24"/>
        <v>1</v>
      </c>
      <c r="AC42" s="257" t="str">
        <f t="shared" si="22"/>
        <v/>
      </c>
      <c r="AD42" s="257" t="str">
        <f t="shared" si="8"/>
        <v/>
      </c>
      <c r="AE42" s="257" t="str">
        <f t="shared" si="26"/>
        <v/>
      </c>
      <c r="AF42" s="257" t="str">
        <f t="shared" si="27"/>
        <v/>
      </c>
      <c r="AG42" s="257" t="str">
        <f t="shared" si="14"/>
        <v>E</v>
      </c>
      <c r="AH42" s="257" cm="1">
        <f t="array" ref="AH42">_xlfn.IFS(COUNTIF($N42:$P42,"合意済")=3,4,OR(COUNTIF($N42:$P42,"合意済")=2,COUNTIF($N42:$P42,"合意済")=1),3,COUNTIF($N42:$P42,"合意済")=0,2)</f>
        <v>2</v>
      </c>
      <c r="AI42" s="257" t="e">
        <f t="shared" ca="1" si="13"/>
        <v>#VALUE!</v>
      </c>
      <c r="AJ42" s="257" t="str">
        <f t="shared" ca="1" si="25"/>
        <v/>
      </c>
    </row>
    <row r="43" spans="2:36" s="11" customFormat="1">
      <c r="B43" s="21"/>
      <c r="C43" s="21"/>
      <c r="D43" s="36"/>
      <c r="E43" s="126"/>
      <c r="F43" s="492" t="str">
        <f ca="1">IFERROR(OFFSET('4.1(2)新規再エネ導入予定（設備情報）'!$F$1,MATCH(G43,'4.1(2)新規再エネ導入予定（設備情報）'!$G:$G,0)-1,0),"")</f>
        <v/>
      </c>
      <c r="G43" s="483"/>
      <c r="H43" s="494" t="str">
        <f ca="1">IFERROR(OFFSET('4.1(2)新規再エネ導入予定（設備情報）'!$H$1,MATCH(G43,'4.1(2)新規再エネ導入予定（設備情報）'!$G:$G,0)-1,0)&amp;"","")</f>
        <v/>
      </c>
      <c r="I43" s="495" t="str">
        <f ca="1">IFERROR(OFFSET('4.1(2)新規再エネ導入予定（設備情報）'!$L$1,MATCH(G43,'4.1(2)新規再エネ導入予定（設備情報）'!$G:$G,0)-1,0),"")</f>
        <v/>
      </c>
      <c r="J43" s="496" t="str">
        <f ca="1">IFERROR(OFFSET('4.1(2)新規再エネ導入予定（設備情報）'!$O$1,MATCH(G43,'4.1(2)新規再エネ導入予定（設備情報）'!$G:$G,0)-1,0),"")</f>
        <v/>
      </c>
      <c r="K43" s="497" t="str">
        <f ca="1">IFERROR(OFFSET('4.1(2)新規再エネ導入予定（設備情報）'!$P$1,MATCH(G43,'4.1(2)新規再エネ導入予定（設備情報）'!$G:$G,0)-1,0),"")</f>
        <v/>
      </c>
      <c r="L43" s="486"/>
      <c r="M43" s="489"/>
      <c r="N43" s="489"/>
      <c r="O43" s="489"/>
      <c r="P43" s="489"/>
      <c r="Q43" s="489"/>
      <c r="R43" s="24"/>
      <c r="S43" s="21"/>
      <c r="T43" s="489"/>
      <c r="V43" s="257">
        <f t="shared" si="5"/>
        <v>36</v>
      </c>
      <c r="W43" s="131">
        <f ca="1">IF(OFFSET('4.1(2)新規再エネ導入予定（設備情報）'!$O$1,MATCH(X43,'4.1(2)新規再エネ導入予定（設備情報）'!$Z:$Z,0)-1,0)="低圧",1,0)</f>
        <v>0</v>
      </c>
      <c r="X43" s="127" t="str">
        <f ca="1">IFERROR(IF(AND(G43="",L43&lt;&gt;""),MAX(OFFSET($X$8,0,0,ROW()-8,1)),OFFSET('4.1(2)新規再エネ導入予定（設備情報）'!$Z$1,MATCH($G43,'4.1(2)新規再エネ導入予定（設備情報）'!$G:$G,0)-1,0)),"")</f>
        <v/>
      </c>
      <c r="Y43" s="225">
        <f t="shared" si="12"/>
        <v>0</v>
      </c>
      <c r="Z43" s="226">
        <f t="shared" ca="1" si="23"/>
        <v>0</v>
      </c>
      <c r="AA43" s="225">
        <f t="shared" si="6"/>
        <v>0</v>
      </c>
      <c r="AB43" s="279">
        <f t="shared" ca="1" si="24"/>
        <v>1</v>
      </c>
      <c r="AC43" s="257" t="str">
        <f t="shared" si="22"/>
        <v/>
      </c>
      <c r="AD43" s="257" t="str">
        <f t="shared" si="8"/>
        <v/>
      </c>
      <c r="AE43" s="257" t="str">
        <f t="shared" si="26"/>
        <v/>
      </c>
      <c r="AF43" s="257" t="str">
        <f t="shared" si="27"/>
        <v/>
      </c>
      <c r="AG43" s="257" t="str">
        <f t="shared" si="14"/>
        <v>E</v>
      </c>
      <c r="AH43" s="257" cm="1">
        <f t="array" ref="AH43">_xlfn.IFS(COUNTIF($N43:$P43,"合意済")=3,4,OR(COUNTIF($N43:$P43,"合意済")=2,COUNTIF($N43:$P43,"合意済")=1),3,COUNTIF($N43:$P43,"合意済")=0,2)</f>
        <v>2</v>
      </c>
      <c r="AI43" s="257" t="e">
        <f t="shared" ca="1" si="13"/>
        <v>#VALUE!</v>
      </c>
      <c r="AJ43" s="257" t="str">
        <f t="shared" ca="1" si="25"/>
        <v/>
      </c>
    </row>
    <row r="44" spans="2:36" ht="17.25" customHeight="1">
      <c r="D44" s="190"/>
      <c r="E44" s="192" t="s">
        <v>20</v>
      </c>
      <c r="F44" s="193"/>
      <c r="G44" s="477"/>
      <c r="H44" s="478"/>
      <c r="I44" s="479"/>
      <c r="J44" s="480"/>
      <c r="K44" s="481"/>
      <c r="L44" s="481"/>
      <c r="M44" s="480"/>
      <c r="N44" s="480"/>
      <c r="O44" s="480"/>
      <c r="P44" s="480"/>
      <c r="Q44" s="503"/>
      <c r="R44" s="19"/>
      <c r="T44" s="490"/>
      <c r="V44" s="177">
        <f t="shared" si="5"/>
        <v>37</v>
      </c>
      <c r="W44" s="217">
        <f ca="1">IF(OFFSET('4.1(2)新規再エネ導入予定（設備情報）'!$O$1,MATCH(X44,'4.1(2)新規再エネ導入予定（設備情報）'!$Z:$Z,0)-1,0)="低圧",1,0)</f>
        <v>0</v>
      </c>
      <c r="X44" s="127" t="str">
        <f ca="1">IFERROR(IF(AND(G44="",L44&lt;&gt;""),MAX(OFFSET($X$8,0,0,ROW()-8,1)),OFFSET('4.1(2)新規再エネ導入予定（設備情報）'!$Z$1,MATCH($G44,'4.1(2)新規再エネ導入予定（設備情報）'!$G:$G,0)-1,0)),"")</f>
        <v/>
      </c>
      <c r="Y44" s="265">
        <f t="shared" si="12"/>
        <v>0</v>
      </c>
      <c r="Z44" s="263">
        <f t="shared" ca="1" si="23"/>
        <v>0</v>
      </c>
      <c r="AA44" s="265">
        <f t="shared" si="6"/>
        <v>0</v>
      </c>
      <c r="AB44" s="264">
        <f t="shared" ca="1" si="24"/>
        <v>1</v>
      </c>
      <c r="AC44" s="177" t="str">
        <f t="shared" si="22"/>
        <v/>
      </c>
      <c r="AD44" s="177" t="str">
        <f t="shared" si="8"/>
        <v/>
      </c>
      <c r="AE44" s="177" t="str">
        <f t="shared" si="26"/>
        <v/>
      </c>
      <c r="AF44" s="177" t="str">
        <f t="shared" si="27"/>
        <v/>
      </c>
      <c r="AG44" s="177" t="str">
        <f t="shared" si="14"/>
        <v>E</v>
      </c>
      <c r="AH44" s="177" cm="1">
        <f t="array" ref="AH44">_xlfn.IFS(COUNTIF($N44:$P44,"合意済")=3,4,OR(COUNTIF($N44:$P44,"合意済")=2,COUNTIF($N44:$P44,"合意済")=1),3,COUNTIF($N44:$P44,"合意済")=0,2)</f>
        <v>2</v>
      </c>
      <c r="AI44" s="177" t="e">
        <f t="shared" ca="1" si="13"/>
        <v>#VALUE!</v>
      </c>
      <c r="AJ44" s="177" t="str">
        <f t="shared" ca="1" si="25"/>
        <v/>
      </c>
    </row>
    <row r="45" spans="2:36" s="11" customFormat="1" hidden="1">
      <c r="B45" s="21"/>
      <c r="C45" s="21"/>
      <c r="D45" s="36"/>
      <c r="E45" s="126"/>
      <c r="F45" s="714"/>
      <c r="G45" s="482"/>
      <c r="H45" s="498"/>
      <c r="I45" s="499"/>
      <c r="J45" s="500"/>
      <c r="K45" s="501"/>
      <c r="L45" s="484"/>
      <c r="M45" s="487"/>
      <c r="N45" s="487"/>
      <c r="O45" s="487"/>
      <c r="P45" s="487"/>
      <c r="Q45" s="487"/>
      <c r="R45" s="24"/>
      <c r="S45" s="21"/>
      <c r="T45" s="487"/>
      <c r="V45" s="257">
        <f t="shared" si="5"/>
        <v>38</v>
      </c>
      <c r="W45" s="131">
        <f ca="1">IF(OFFSET('4.1(2)新規再エネ導入予定（設備情報）'!$O$1,MATCH(X45,'4.1(2)新規再エネ導入予定（設備情報）'!$Z:$Z,0)-1,0)="低圧",1,0)</f>
        <v>0</v>
      </c>
      <c r="X45" s="127" t="str">
        <f ca="1">IFERROR(IF(AND(G45="",L45&lt;&gt;""),MAX(OFFSET($X$8,0,0,ROW()-8,1)),OFFSET('4.1(2)新規再エネ導入予定（設備情報）'!$Z$1,MATCH($G45,'4.1(2)新規再エネ導入予定（設備情報）'!$G:$G,0)-1,0)),"")</f>
        <v/>
      </c>
      <c r="Y45" s="226">
        <f t="shared" si="12"/>
        <v>0</v>
      </c>
      <c r="Z45" s="226">
        <f t="shared" ca="1" si="23"/>
        <v>0</v>
      </c>
      <c r="AA45" s="226">
        <f t="shared" si="6"/>
        <v>0</v>
      </c>
      <c r="AB45" s="279">
        <f t="shared" ca="1" si="24"/>
        <v>1</v>
      </c>
      <c r="AC45" s="257" t="str">
        <f t="shared" si="22"/>
        <v/>
      </c>
      <c r="AD45" s="257" t="str">
        <f t="shared" si="8"/>
        <v/>
      </c>
      <c r="AE45" s="257" t="str">
        <f t="shared" si="26"/>
        <v/>
      </c>
      <c r="AF45" s="257" t="str">
        <f t="shared" si="27"/>
        <v/>
      </c>
      <c r="AG45" s="257" t="str">
        <f t="shared" si="14"/>
        <v>E</v>
      </c>
      <c r="AH45" s="257" cm="1">
        <f t="array" ref="AH45">_xlfn.IFS(COUNTIF($N45:$P45,"合意済")=3,4,OR(COUNTIF($N45:$P45,"合意済")=2,COUNTIF($N45:$P45,"合意済")=1),3,COUNTIF($N45:$P45,"合意済")=0,2)</f>
        <v>2</v>
      </c>
      <c r="AI45" s="257" t="e">
        <f t="shared" ca="1" si="13"/>
        <v>#VALUE!</v>
      </c>
      <c r="AJ45" s="257" t="str">
        <f t="shared" ca="1" si="25"/>
        <v/>
      </c>
    </row>
    <row r="46" spans="2:36" s="11" customFormat="1">
      <c r="B46" s="21"/>
      <c r="C46" s="21"/>
      <c r="D46" s="36"/>
      <c r="E46" s="126"/>
      <c r="F46" s="492" t="str">
        <f ca="1">IFERROR(OFFSET('4.1(2)新規再エネ導入予定（設備情報）'!$F$1,MATCH(G46,'4.1(2)新規再エネ導入予定（設備情報）'!$G:$G,0)-1,0),"")</f>
        <v/>
      </c>
      <c r="G46" s="483"/>
      <c r="H46" s="494" t="str">
        <f ca="1">IFERROR(OFFSET('4.1(2)新規再エネ導入予定（設備情報）'!$H$1,MATCH(G46,'4.1(2)新規再エネ導入予定（設備情報）'!$G:$G,0)-1,0)&amp;"","")</f>
        <v/>
      </c>
      <c r="I46" s="495" t="str">
        <f ca="1">IFERROR(OFFSET('4.1(2)新規再エネ導入予定（設備情報）'!$L$1,MATCH(G46,'4.1(2)新規再エネ導入予定（設備情報）'!$G:$G,0)-1,0),"")</f>
        <v/>
      </c>
      <c r="J46" s="496" t="str">
        <f ca="1">IFERROR(OFFSET('4.1(2)新規再エネ導入予定（設備情報）'!$O$1,MATCH(G46,'4.1(2)新規再エネ導入予定（設備情報）'!$G:$G,0)-1,0),"")</f>
        <v/>
      </c>
      <c r="K46" s="497" t="str">
        <f ca="1">IFERROR(OFFSET('4.1(2)新規再エネ導入予定（設備情報）'!$P$1,MATCH(G46,'4.1(2)新規再エネ導入予定（設備情報）'!$G:$G,0)-1,0),"")</f>
        <v/>
      </c>
      <c r="L46" s="486"/>
      <c r="M46" s="489"/>
      <c r="N46" s="489"/>
      <c r="O46" s="489"/>
      <c r="P46" s="489"/>
      <c r="Q46" s="489"/>
      <c r="R46" s="24"/>
      <c r="S46" s="21"/>
      <c r="T46" s="489"/>
      <c r="V46" s="257">
        <f t="shared" si="5"/>
        <v>39</v>
      </c>
      <c r="W46" s="131">
        <f ca="1">IF(OFFSET('4.1(2)新規再エネ導入予定（設備情報）'!$O$1,MATCH(X46,'4.1(2)新規再エネ導入予定（設備情報）'!$Z:$Z,0)-1,0)="低圧",1,0)</f>
        <v>0</v>
      </c>
      <c r="X46" s="127" t="str">
        <f ca="1">IFERROR(IF(AND(G46="",L46&lt;&gt;""),MAX(OFFSET($X$8,0,0,ROW()-8,1)),OFFSET('4.1(2)新規再エネ導入予定（設備情報）'!$Z$1,MATCH($G46,'4.1(2)新規再エネ導入予定（設備情報）'!$G:$G,0)-1,0)),"")</f>
        <v/>
      </c>
      <c r="Y46" s="225">
        <f t="shared" si="12"/>
        <v>0</v>
      </c>
      <c r="Z46" s="226">
        <f t="shared" ca="1" si="23"/>
        <v>0</v>
      </c>
      <c r="AA46" s="225">
        <f t="shared" si="6"/>
        <v>0</v>
      </c>
      <c r="AB46" s="279">
        <f t="shared" ca="1" si="24"/>
        <v>1</v>
      </c>
      <c r="AC46" s="257" t="str">
        <f t="shared" si="22"/>
        <v/>
      </c>
      <c r="AD46" s="257" t="str">
        <f t="shared" si="8"/>
        <v/>
      </c>
      <c r="AE46" s="257" t="str">
        <f t="shared" si="26"/>
        <v/>
      </c>
      <c r="AF46" s="257" t="str">
        <f t="shared" si="27"/>
        <v/>
      </c>
      <c r="AG46" s="257" t="str">
        <f t="shared" si="14"/>
        <v>E</v>
      </c>
      <c r="AH46" s="257" cm="1">
        <f t="array" ref="AH46">_xlfn.IFS(COUNTIF($N46:$P46,"合意済")=3,4,OR(COUNTIF($N46:$P46,"合意済")=2,COUNTIF($N46:$P46,"合意済")=1),3,COUNTIF($N46:$P46,"合意済")=0,2)</f>
        <v>2</v>
      </c>
      <c r="AI46" s="257" t="e">
        <f t="shared" ca="1" si="13"/>
        <v>#VALUE!</v>
      </c>
      <c r="AJ46" s="257" t="str">
        <f t="shared" ca="1" si="25"/>
        <v/>
      </c>
    </row>
    <row r="47" spans="2:36" s="11" customFormat="1">
      <c r="B47" s="21"/>
      <c r="C47" s="21"/>
      <c r="D47" s="36"/>
      <c r="E47" s="126"/>
      <c r="F47" s="492" t="str">
        <f ca="1">IFERROR(OFFSET('4.1(2)新規再エネ導入予定（設備情報）'!$F$1,MATCH(G47,'4.1(2)新規再エネ導入予定（設備情報）'!$G:$G,0)-1,0),"")</f>
        <v/>
      </c>
      <c r="G47" s="483"/>
      <c r="H47" s="494" t="str">
        <f ca="1">IFERROR(OFFSET('4.1(2)新規再エネ導入予定（設備情報）'!$H$1,MATCH(G47,'4.1(2)新規再エネ導入予定（設備情報）'!$G:$G,0)-1,0)&amp;"","")</f>
        <v/>
      </c>
      <c r="I47" s="495" t="str">
        <f ca="1">IFERROR(OFFSET('4.1(2)新規再エネ導入予定（設備情報）'!$L$1,MATCH(G47,'4.1(2)新規再エネ導入予定（設備情報）'!$G:$G,0)-1,0),"")</f>
        <v/>
      </c>
      <c r="J47" s="496" t="str">
        <f ca="1">IFERROR(OFFSET('4.1(2)新規再エネ導入予定（設備情報）'!$O$1,MATCH(G47,'4.1(2)新規再エネ導入予定（設備情報）'!$G:$G,0)-1,0),"")</f>
        <v/>
      </c>
      <c r="K47" s="497" t="str">
        <f ca="1">IFERROR(OFFSET('4.1(2)新規再エネ導入予定（設備情報）'!$P$1,MATCH(G47,'4.1(2)新規再エネ導入予定（設備情報）'!$G:$G,0)-1,0),"")</f>
        <v/>
      </c>
      <c r="L47" s="486"/>
      <c r="M47" s="489"/>
      <c r="N47" s="489"/>
      <c r="O47" s="489"/>
      <c r="P47" s="489"/>
      <c r="Q47" s="489"/>
      <c r="R47" s="24"/>
      <c r="S47" s="21"/>
      <c r="T47" s="489"/>
      <c r="V47" s="257">
        <f t="shared" si="5"/>
        <v>40</v>
      </c>
      <c r="W47" s="131">
        <f ca="1">IF(OFFSET('4.1(2)新規再エネ導入予定（設備情報）'!$O$1,MATCH(X47,'4.1(2)新規再エネ導入予定（設備情報）'!$Z:$Z,0)-1,0)="低圧",1,0)</f>
        <v>0</v>
      </c>
      <c r="X47" s="127" t="str">
        <f ca="1">IFERROR(IF(AND(G47="",L47&lt;&gt;""),MAX(OFFSET($X$8,0,0,ROW()-8,1)),OFFSET('4.1(2)新規再エネ導入予定（設備情報）'!$Z$1,MATCH($G47,'4.1(2)新規再エネ導入予定（設備情報）'!$G:$G,0)-1,0)),"")</f>
        <v/>
      </c>
      <c r="Y47" s="225">
        <f t="shared" si="12"/>
        <v>0</v>
      </c>
      <c r="Z47" s="226">
        <f t="shared" ca="1" si="23"/>
        <v>0</v>
      </c>
      <c r="AA47" s="225">
        <f t="shared" si="6"/>
        <v>0</v>
      </c>
      <c r="AB47" s="279">
        <f t="shared" ca="1" si="24"/>
        <v>1</v>
      </c>
      <c r="AC47" s="257" t="str">
        <f t="shared" si="22"/>
        <v/>
      </c>
      <c r="AD47" s="257" t="str">
        <f t="shared" si="8"/>
        <v/>
      </c>
      <c r="AE47" s="257" t="str">
        <f t="shared" si="26"/>
        <v/>
      </c>
      <c r="AF47" s="257" t="str">
        <f t="shared" si="27"/>
        <v/>
      </c>
      <c r="AG47" s="257" t="str">
        <f t="shared" si="14"/>
        <v>E</v>
      </c>
      <c r="AH47" s="257" cm="1">
        <f t="array" ref="AH47">_xlfn.IFS(COUNTIF($N47:$P47,"合意済")=3,4,OR(COUNTIF($N47:$P47,"合意済")=2,COUNTIF($N47:$P47,"合意済")=1),3,COUNTIF($N47:$P47,"合意済")=0,2)</f>
        <v>2</v>
      </c>
      <c r="AI47" s="257" t="e">
        <f t="shared" ca="1" si="13"/>
        <v>#VALUE!</v>
      </c>
      <c r="AJ47" s="257" t="str">
        <f t="shared" ca="1" si="25"/>
        <v/>
      </c>
    </row>
    <row r="48" spans="2:36" s="11" customFormat="1">
      <c r="B48" s="21"/>
      <c r="C48" s="21"/>
      <c r="D48" s="36"/>
      <c r="E48" s="126"/>
      <c r="F48" s="492" t="str">
        <f ca="1">IFERROR(OFFSET('4.1(2)新規再エネ導入予定（設備情報）'!$F$1,MATCH(G48,'4.1(2)新規再エネ導入予定（設備情報）'!$G:$G,0)-1,0),"")</f>
        <v/>
      </c>
      <c r="G48" s="483"/>
      <c r="H48" s="494" t="str">
        <f ca="1">IFERROR(OFFSET('4.1(2)新規再エネ導入予定（設備情報）'!$H$1,MATCH(G48,'4.1(2)新規再エネ導入予定（設備情報）'!$G:$G,0)-1,0)&amp;"","")</f>
        <v/>
      </c>
      <c r="I48" s="495" t="str">
        <f ca="1">IFERROR(OFFSET('4.1(2)新規再エネ導入予定（設備情報）'!$L$1,MATCH(G48,'4.1(2)新規再エネ導入予定（設備情報）'!$G:$G,0)-1,0),"")</f>
        <v/>
      </c>
      <c r="J48" s="496" t="str">
        <f ca="1">IFERROR(OFFSET('4.1(2)新規再エネ導入予定（設備情報）'!$O$1,MATCH(G48,'4.1(2)新規再エネ導入予定（設備情報）'!$G:$G,0)-1,0),"")</f>
        <v/>
      </c>
      <c r="K48" s="497" t="str">
        <f ca="1">IFERROR(OFFSET('4.1(2)新規再エネ導入予定（設備情報）'!$P$1,MATCH(G48,'4.1(2)新規再エネ導入予定（設備情報）'!$G:$G,0)-1,0),"")</f>
        <v/>
      </c>
      <c r="L48" s="486"/>
      <c r="M48" s="489"/>
      <c r="N48" s="489"/>
      <c r="O48" s="489"/>
      <c r="P48" s="489"/>
      <c r="Q48" s="489"/>
      <c r="R48" s="24"/>
      <c r="S48" s="21"/>
      <c r="T48" s="489"/>
      <c r="V48" s="257">
        <f t="shared" si="5"/>
        <v>41</v>
      </c>
      <c r="W48" s="131">
        <f ca="1">IF(OFFSET('4.1(2)新規再エネ導入予定（設備情報）'!$O$1,MATCH(X48,'4.1(2)新規再エネ導入予定（設備情報）'!$Z:$Z,0)-1,0)="低圧",1,0)</f>
        <v>0</v>
      </c>
      <c r="X48" s="127" t="str">
        <f ca="1">IFERROR(IF(AND(G48="",L48&lt;&gt;""),MAX(OFFSET($X$8,0,0,ROW()-8,1)),OFFSET('4.1(2)新規再エネ導入予定（設備情報）'!$Z$1,MATCH($G48,'4.1(2)新規再エネ導入予定（設備情報）'!$G:$G,0)-1,0)),"")</f>
        <v/>
      </c>
      <c r="Y48" s="225">
        <f t="shared" si="12"/>
        <v>0</v>
      </c>
      <c r="Z48" s="226">
        <f t="shared" ca="1" si="23"/>
        <v>0</v>
      </c>
      <c r="AA48" s="225">
        <f t="shared" si="6"/>
        <v>0</v>
      </c>
      <c r="AB48" s="279">
        <f t="shared" ca="1" si="24"/>
        <v>1</v>
      </c>
      <c r="AC48" s="257" t="str">
        <f t="shared" si="22"/>
        <v/>
      </c>
      <c r="AD48" s="257" t="str">
        <f t="shared" si="8"/>
        <v/>
      </c>
      <c r="AE48" s="257" t="str">
        <f t="shared" si="26"/>
        <v/>
      </c>
      <c r="AF48" s="257" t="str">
        <f t="shared" si="27"/>
        <v/>
      </c>
      <c r="AG48" s="257" t="str">
        <f t="shared" si="14"/>
        <v>E</v>
      </c>
      <c r="AH48" s="257" cm="1">
        <f t="array" ref="AH48">_xlfn.IFS(COUNTIF($N48:$P48,"合意済")=3,4,OR(COUNTIF($N48:$P48,"合意済")=2,COUNTIF($N48:$P48,"合意済")=1),3,COUNTIF($N48:$P48,"合意済")=0,2)</f>
        <v>2</v>
      </c>
      <c r="AI48" s="257" t="e">
        <f t="shared" ca="1" si="13"/>
        <v>#VALUE!</v>
      </c>
      <c r="AJ48" s="257" t="str">
        <f t="shared" ca="1" si="25"/>
        <v/>
      </c>
    </row>
    <row r="49" spans="2:36" s="11" customFormat="1">
      <c r="B49" s="21"/>
      <c r="C49" s="21"/>
      <c r="D49" s="36"/>
      <c r="E49" s="126"/>
      <c r="F49" s="492" t="str">
        <f ca="1">IFERROR(OFFSET('4.1(2)新規再エネ導入予定（設備情報）'!$F$1,MATCH(G49,'4.1(2)新規再エネ導入予定（設備情報）'!$G:$G,0)-1,0),"")</f>
        <v/>
      </c>
      <c r="G49" s="483"/>
      <c r="H49" s="494" t="str">
        <f ca="1">IFERROR(OFFSET('4.1(2)新規再エネ導入予定（設備情報）'!$H$1,MATCH(G49,'4.1(2)新規再エネ導入予定（設備情報）'!$G:$G,0)-1,0)&amp;"","")</f>
        <v/>
      </c>
      <c r="I49" s="495" t="str">
        <f ca="1">IFERROR(OFFSET('4.1(2)新規再エネ導入予定（設備情報）'!$L$1,MATCH(G49,'4.1(2)新規再エネ導入予定（設備情報）'!$G:$G,0)-1,0),"")</f>
        <v/>
      </c>
      <c r="J49" s="496" t="str">
        <f ca="1">IFERROR(OFFSET('4.1(2)新規再エネ導入予定（設備情報）'!$O$1,MATCH(G49,'4.1(2)新規再エネ導入予定（設備情報）'!$G:$G,0)-1,0),"")</f>
        <v/>
      </c>
      <c r="K49" s="497" t="str">
        <f ca="1">IFERROR(OFFSET('4.1(2)新規再エネ導入予定（設備情報）'!$P$1,MATCH(G49,'4.1(2)新規再エネ導入予定（設備情報）'!$G:$G,0)-1,0),"")</f>
        <v/>
      </c>
      <c r="L49" s="486"/>
      <c r="M49" s="489"/>
      <c r="N49" s="489"/>
      <c r="O49" s="489"/>
      <c r="P49" s="489"/>
      <c r="Q49" s="489"/>
      <c r="R49" s="24"/>
      <c r="S49" s="21"/>
      <c r="T49" s="489"/>
      <c r="V49" s="257">
        <f t="shared" si="5"/>
        <v>42</v>
      </c>
      <c r="W49" s="131">
        <f ca="1">IF(OFFSET('4.1(2)新規再エネ導入予定（設備情報）'!$O$1,MATCH(X49,'4.1(2)新規再エネ導入予定（設備情報）'!$Z:$Z,0)-1,0)="低圧",1,0)</f>
        <v>0</v>
      </c>
      <c r="X49" s="127" t="str">
        <f ca="1">IFERROR(IF(AND(G49="",L49&lt;&gt;""),MAX(OFFSET($X$8,0,0,ROW()-8,1)),OFFSET('4.1(2)新規再エネ導入予定（設備情報）'!$Z$1,MATCH($G49,'4.1(2)新規再エネ導入予定（設備情報）'!$G:$G,0)-1,0)),"")</f>
        <v/>
      </c>
      <c r="Y49" s="225">
        <f t="shared" si="12"/>
        <v>0</v>
      </c>
      <c r="Z49" s="226">
        <f t="shared" ca="1" si="23"/>
        <v>0</v>
      </c>
      <c r="AA49" s="225">
        <f t="shared" si="6"/>
        <v>0</v>
      </c>
      <c r="AB49" s="279">
        <f t="shared" ca="1" si="24"/>
        <v>1</v>
      </c>
      <c r="AC49" s="257" t="str">
        <f t="shared" si="22"/>
        <v/>
      </c>
      <c r="AD49" s="257" t="str">
        <f t="shared" si="8"/>
        <v/>
      </c>
      <c r="AE49" s="257" t="str">
        <f t="shared" si="26"/>
        <v/>
      </c>
      <c r="AF49" s="257" t="str">
        <f t="shared" si="27"/>
        <v/>
      </c>
      <c r="AG49" s="257" t="str">
        <f t="shared" si="14"/>
        <v>E</v>
      </c>
      <c r="AH49" s="257" cm="1">
        <f t="array" ref="AH49">_xlfn.IFS(COUNTIF($N49:$P49,"合意済")=3,4,OR(COUNTIF($N49:$P49,"合意済")=2,COUNTIF($N49:$P49,"合意済")=1),3,COUNTIF($N49:$P49,"合意済")=0,2)</f>
        <v>2</v>
      </c>
      <c r="AI49" s="257" t="e">
        <f t="shared" ca="1" si="13"/>
        <v>#VALUE!</v>
      </c>
      <c r="AJ49" s="257" t="str">
        <f t="shared" ca="1" si="25"/>
        <v/>
      </c>
    </row>
    <row r="50" spans="2:36" ht="20">
      <c r="D50" s="190"/>
      <c r="E50" s="192" t="s">
        <v>21</v>
      </c>
      <c r="F50" s="193"/>
      <c r="G50" s="477"/>
      <c r="H50" s="478"/>
      <c r="I50" s="479"/>
      <c r="J50" s="480"/>
      <c r="K50" s="481"/>
      <c r="L50" s="481"/>
      <c r="M50" s="480"/>
      <c r="N50" s="480"/>
      <c r="O50" s="480"/>
      <c r="P50" s="480"/>
      <c r="Q50" s="503"/>
      <c r="R50" s="19"/>
      <c r="T50" s="490"/>
      <c r="V50" s="177">
        <f t="shared" si="5"/>
        <v>43</v>
      </c>
      <c r="W50" s="217">
        <f ca="1">IF(OFFSET('4.1(2)新規再エネ導入予定（設備情報）'!$O$1,MATCH(X50,'4.1(2)新規再エネ導入予定（設備情報）'!$Z:$Z,0)-1,0)="低圧",1,0)</f>
        <v>0</v>
      </c>
      <c r="X50" s="127" t="str">
        <f ca="1">IFERROR(IF(AND(G50="",L50&lt;&gt;""),MAX(OFFSET($X$8,0,0,ROW()-8,1)),OFFSET('4.1(2)新規再エネ導入予定（設備情報）'!$Z$1,MATCH($G50,'4.1(2)新規再エネ導入予定（設備情報）'!$G:$G,0)-1,0)),"")</f>
        <v/>
      </c>
      <c r="Y50" s="265">
        <f t="shared" si="12"/>
        <v>0</v>
      </c>
      <c r="Z50" s="263">
        <f t="shared" ca="1" si="23"/>
        <v>0</v>
      </c>
      <c r="AA50" s="265">
        <f t="shared" si="6"/>
        <v>0</v>
      </c>
      <c r="AB50" s="264">
        <f t="shared" ca="1" si="24"/>
        <v>1</v>
      </c>
      <c r="AC50" s="177" t="str">
        <f t="shared" si="22"/>
        <v/>
      </c>
      <c r="AD50" s="177" t="str">
        <f t="shared" si="8"/>
        <v/>
      </c>
      <c r="AE50" s="177" t="str">
        <f t="shared" si="26"/>
        <v/>
      </c>
      <c r="AF50" s="177" t="str">
        <f t="shared" si="27"/>
        <v/>
      </c>
      <c r="AG50" s="177" t="str">
        <f t="shared" si="14"/>
        <v>E</v>
      </c>
      <c r="AH50" s="177" cm="1">
        <f t="array" ref="AH50">_xlfn.IFS(COUNTIF($N50:$P50,"合意済")=3,4,OR(COUNTIF($N50:$P50,"合意済")=2,COUNTIF($N50:$P50,"合意済")=1),3,COUNTIF($N50:$P50,"合意済")=0,2)</f>
        <v>2</v>
      </c>
      <c r="AI50" s="177" t="e">
        <f t="shared" ca="1" si="13"/>
        <v>#VALUE!</v>
      </c>
      <c r="AJ50" s="177" t="str">
        <f t="shared" ca="1" si="25"/>
        <v/>
      </c>
    </row>
    <row r="51" spans="2:36" s="11" customFormat="1" hidden="1">
      <c r="B51" s="21"/>
      <c r="C51" s="21"/>
      <c r="D51" s="36"/>
      <c r="E51" s="126"/>
      <c r="F51" s="714"/>
      <c r="G51" s="482"/>
      <c r="H51" s="498"/>
      <c r="I51" s="499"/>
      <c r="J51" s="500"/>
      <c r="K51" s="501"/>
      <c r="L51" s="484"/>
      <c r="M51" s="487"/>
      <c r="N51" s="487"/>
      <c r="O51" s="487"/>
      <c r="P51" s="487"/>
      <c r="Q51" s="487"/>
      <c r="R51" s="24"/>
      <c r="S51" s="21"/>
      <c r="T51" s="487"/>
      <c r="V51" s="257">
        <f t="shared" si="5"/>
        <v>44</v>
      </c>
      <c r="W51" s="131">
        <f ca="1">IF(OFFSET('4.1(2)新規再エネ導入予定（設備情報）'!$O$1,MATCH(X51,'4.1(2)新規再エネ導入予定（設備情報）'!$Z:$Z,0)-1,0)="低圧",1,0)</f>
        <v>0</v>
      </c>
      <c r="X51" s="127" t="str">
        <f ca="1">IFERROR(IF(AND(G51="",L51&lt;&gt;""),MAX(OFFSET($X$8,0,0,ROW()-8,1)),OFFSET('4.1(2)新規再エネ導入予定（設備情報）'!$Z$1,MATCH($G51,'4.1(2)新規再エネ導入予定（設備情報）'!$G:$G,0)-1,0)),"")</f>
        <v/>
      </c>
      <c r="Y51" s="226">
        <f t="shared" si="12"/>
        <v>0</v>
      </c>
      <c r="Z51" s="226">
        <f t="shared" ca="1" si="23"/>
        <v>0</v>
      </c>
      <c r="AA51" s="226">
        <f t="shared" si="6"/>
        <v>0</v>
      </c>
      <c r="AB51" s="279">
        <f t="shared" ca="1" si="24"/>
        <v>1</v>
      </c>
      <c r="AC51" s="257" t="str">
        <f t="shared" si="22"/>
        <v/>
      </c>
      <c r="AD51" s="257" t="str">
        <f t="shared" si="8"/>
        <v/>
      </c>
      <c r="AE51" s="257" t="str">
        <f t="shared" si="26"/>
        <v/>
      </c>
      <c r="AF51" s="257" t="str">
        <f t="shared" si="27"/>
        <v/>
      </c>
      <c r="AG51" s="257" t="str">
        <f t="shared" si="14"/>
        <v>E</v>
      </c>
      <c r="AH51" s="257" cm="1">
        <f t="array" ref="AH51">_xlfn.IFS(COUNTIF($N51:$P51,"合意済")=3,4,OR(COUNTIF($N51:$P51,"合意済")=2,COUNTIF($N51:$P51,"合意済")=1),3,COUNTIF($N51:$P51,"合意済")=0,2)</f>
        <v>2</v>
      </c>
      <c r="AI51" s="257" t="e">
        <f t="shared" ca="1" si="13"/>
        <v>#VALUE!</v>
      </c>
      <c r="AJ51" s="257" t="str">
        <f t="shared" ca="1" si="25"/>
        <v/>
      </c>
    </row>
    <row r="52" spans="2:36" s="11" customFormat="1">
      <c r="B52" s="21"/>
      <c r="C52" s="21"/>
      <c r="D52" s="36"/>
      <c r="E52" s="126"/>
      <c r="F52" s="492" t="str">
        <f ca="1">IFERROR(OFFSET('4.1(2)新規再エネ導入予定（設備情報）'!$F$1,MATCH(G52,'4.1(2)新規再エネ導入予定（設備情報）'!$G:$G,0)-1,0),"")</f>
        <v/>
      </c>
      <c r="G52" s="483"/>
      <c r="H52" s="494" t="str">
        <f ca="1">IFERROR(OFFSET('4.1(2)新規再エネ導入予定（設備情報）'!$H$1,MATCH(G52,'4.1(2)新規再エネ導入予定（設備情報）'!$G:$G,0)-1,0)&amp;"","")</f>
        <v/>
      </c>
      <c r="I52" s="495" t="str">
        <f ca="1">IFERROR(OFFSET('4.1(2)新規再エネ導入予定（設備情報）'!$L$1,MATCH(G52,'4.1(2)新規再エネ導入予定（設備情報）'!$G:$G,0)-1,0),"")</f>
        <v/>
      </c>
      <c r="J52" s="496" t="str">
        <f ca="1">IFERROR(OFFSET('4.1(2)新規再エネ導入予定（設備情報）'!$O$1,MATCH(G52,'4.1(2)新規再エネ導入予定（設備情報）'!$G:$G,0)-1,0),"")</f>
        <v/>
      </c>
      <c r="K52" s="497" t="str">
        <f ca="1">IFERROR(OFFSET('4.1(2)新規再エネ導入予定（設備情報）'!$P$1,MATCH(G52,'4.1(2)新規再エネ導入予定（設備情報）'!$G:$G,0)-1,0),"")</f>
        <v/>
      </c>
      <c r="L52" s="486"/>
      <c r="M52" s="489"/>
      <c r="N52" s="489"/>
      <c r="O52" s="489"/>
      <c r="P52" s="489"/>
      <c r="Q52" s="489"/>
      <c r="R52" s="24"/>
      <c r="S52" s="21"/>
      <c r="T52" s="489"/>
      <c r="V52" s="257">
        <f t="shared" si="5"/>
        <v>45</v>
      </c>
      <c r="W52" s="131">
        <f ca="1">IF(OFFSET('4.1(2)新規再エネ導入予定（設備情報）'!$O$1,MATCH(X52,'4.1(2)新規再エネ導入予定（設備情報）'!$Z:$Z,0)-1,0)="低圧",1,0)</f>
        <v>0</v>
      </c>
      <c r="X52" s="127" t="str">
        <f ca="1">IFERROR(IF(AND(G52="",L52&lt;&gt;""),MAX(OFFSET($X$8,0,0,ROW()-8,1)),OFFSET('4.1(2)新規再エネ導入予定（設備情報）'!$Z$1,MATCH($G52,'4.1(2)新規再エネ導入予定（設備情報）'!$G:$G,0)-1,0)),"")</f>
        <v/>
      </c>
      <c r="Y52" s="225">
        <f t="shared" si="12"/>
        <v>0</v>
      </c>
      <c r="Z52" s="226">
        <f t="shared" ca="1" si="23"/>
        <v>0</v>
      </c>
      <c r="AA52" s="225">
        <f t="shared" si="6"/>
        <v>0</v>
      </c>
      <c r="AB52" s="279">
        <f t="shared" ca="1" si="24"/>
        <v>1</v>
      </c>
      <c r="AC52" s="257" t="str">
        <f t="shared" si="22"/>
        <v/>
      </c>
      <c r="AD52" s="257" t="str">
        <f t="shared" si="8"/>
        <v/>
      </c>
      <c r="AE52" s="257" t="str">
        <f t="shared" si="26"/>
        <v/>
      </c>
      <c r="AF52" s="257" t="str">
        <f t="shared" si="27"/>
        <v/>
      </c>
      <c r="AG52" s="257" t="str">
        <f t="shared" si="14"/>
        <v>E</v>
      </c>
      <c r="AH52" s="257" cm="1">
        <f t="array" ref="AH52">_xlfn.IFS(COUNTIF($N52:$P52,"合意済")=3,4,OR(COUNTIF($N52:$P52,"合意済")=2,COUNTIF($N52:$P52,"合意済")=1),3,COUNTIF($N52:$P52,"合意済")=0,2)</f>
        <v>2</v>
      </c>
      <c r="AI52" s="257" t="e">
        <f t="shared" ca="1" si="13"/>
        <v>#VALUE!</v>
      </c>
      <c r="AJ52" s="257" t="str">
        <f t="shared" ca="1" si="25"/>
        <v/>
      </c>
    </row>
    <row r="53" spans="2:36" s="11" customFormat="1">
      <c r="B53" s="21"/>
      <c r="C53" s="21"/>
      <c r="D53" s="36"/>
      <c r="E53" s="126"/>
      <c r="F53" s="492" t="str">
        <f ca="1">IFERROR(OFFSET('4.1(2)新規再エネ導入予定（設備情報）'!$F$1,MATCH(G53,'4.1(2)新規再エネ導入予定（設備情報）'!$G:$G,0)-1,0),"")</f>
        <v/>
      </c>
      <c r="G53" s="483"/>
      <c r="H53" s="494" t="str">
        <f ca="1">IFERROR(OFFSET('4.1(2)新規再エネ導入予定（設備情報）'!$H$1,MATCH(G53,'4.1(2)新規再エネ導入予定（設備情報）'!$G:$G,0)-1,0)&amp;"","")</f>
        <v/>
      </c>
      <c r="I53" s="495" t="str">
        <f ca="1">IFERROR(OFFSET('4.1(2)新規再エネ導入予定（設備情報）'!$L$1,MATCH(G53,'4.1(2)新規再エネ導入予定（設備情報）'!$G:$G,0)-1,0),"")</f>
        <v/>
      </c>
      <c r="J53" s="496" t="str">
        <f ca="1">IFERROR(OFFSET('4.1(2)新規再エネ導入予定（設備情報）'!$O$1,MATCH(G53,'4.1(2)新規再エネ導入予定（設備情報）'!$G:$G,0)-1,0),"")</f>
        <v/>
      </c>
      <c r="K53" s="497" t="str">
        <f ca="1">IFERROR(OFFSET('4.1(2)新規再エネ導入予定（設備情報）'!$P$1,MATCH(G53,'4.1(2)新規再エネ導入予定（設備情報）'!$G:$G,0)-1,0),"")</f>
        <v/>
      </c>
      <c r="L53" s="486"/>
      <c r="M53" s="489"/>
      <c r="N53" s="489"/>
      <c r="O53" s="489"/>
      <c r="P53" s="489"/>
      <c r="Q53" s="489"/>
      <c r="R53" s="24"/>
      <c r="S53" s="21"/>
      <c r="T53" s="489"/>
      <c r="V53" s="257">
        <f t="shared" si="5"/>
        <v>46</v>
      </c>
      <c r="W53" s="131">
        <f ca="1">IF(OFFSET('4.1(2)新規再エネ導入予定（設備情報）'!$O$1,MATCH(X53,'4.1(2)新規再エネ導入予定（設備情報）'!$Z:$Z,0)-1,0)="低圧",1,0)</f>
        <v>0</v>
      </c>
      <c r="X53" s="127" t="str">
        <f ca="1">IFERROR(IF(AND(G53="",L53&lt;&gt;""),MAX(OFFSET($X$8,0,0,ROW()-8,1)),OFFSET('4.1(2)新規再エネ導入予定（設備情報）'!$Z$1,MATCH($G53,'4.1(2)新規再エネ導入予定（設備情報）'!$G:$G,0)-1,0)),"")</f>
        <v/>
      </c>
      <c r="Y53" s="225">
        <f t="shared" si="12"/>
        <v>0</v>
      </c>
      <c r="Z53" s="226">
        <f t="shared" ca="1" si="23"/>
        <v>0</v>
      </c>
      <c r="AA53" s="225">
        <f t="shared" si="6"/>
        <v>0</v>
      </c>
      <c r="AB53" s="279">
        <f t="shared" ca="1" si="24"/>
        <v>1</v>
      </c>
      <c r="AC53" s="257" t="str">
        <f t="shared" si="22"/>
        <v/>
      </c>
      <c r="AD53" s="257" t="str">
        <f t="shared" si="8"/>
        <v/>
      </c>
      <c r="AE53" s="257" t="str">
        <f t="shared" si="26"/>
        <v/>
      </c>
      <c r="AF53" s="257" t="str">
        <f t="shared" si="27"/>
        <v/>
      </c>
      <c r="AG53" s="257" t="str">
        <f t="shared" si="14"/>
        <v>E</v>
      </c>
      <c r="AH53" s="257" cm="1">
        <f t="array" ref="AH53">_xlfn.IFS(COUNTIF($N53:$P53,"合意済")=3,4,OR(COUNTIF($N53:$P53,"合意済")=2,COUNTIF($N53:$P53,"合意済")=1),3,COUNTIF($N53:$P53,"合意済")=0,2)</f>
        <v>2</v>
      </c>
      <c r="AI53" s="257" t="e">
        <f t="shared" ca="1" si="13"/>
        <v>#VALUE!</v>
      </c>
      <c r="AJ53" s="257" t="str">
        <f t="shared" ca="1" si="25"/>
        <v/>
      </c>
    </row>
    <row r="54" spans="2:36" s="11" customFormat="1">
      <c r="B54" s="21"/>
      <c r="C54" s="21"/>
      <c r="D54" s="36"/>
      <c r="E54" s="126"/>
      <c r="F54" s="492" t="str">
        <f ca="1">IFERROR(OFFSET('4.1(2)新規再エネ導入予定（設備情報）'!$F$1,MATCH(G54,'4.1(2)新規再エネ導入予定（設備情報）'!$G:$G,0)-1,0),"")</f>
        <v/>
      </c>
      <c r="G54" s="483"/>
      <c r="H54" s="494" t="str">
        <f ca="1">IFERROR(OFFSET('4.1(2)新規再エネ導入予定（設備情報）'!$H$1,MATCH(G54,'4.1(2)新規再エネ導入予定（設備情報）'!$G:$G,0)-1,0)&amp;"","")</f>
        <v/>
      </c>
      <c r="I54" s="495" t="str">
        <f ca="1">IFERROR(OFFSET('4.1(2)新規再エネ導入予定（設備情報）'!$L$1,MATCH(G54,'4.1(2)新規再エネ導入予定（設備情報）'!$G:$G,0)-1,0),"")</f>
        <v/>
      </c>
      <c r="J54" s="496" t="str">
        <f ca="1">IFERROR(OFFSET('4.1(2)新規再エネ導入予定（設備情報）'!$O$1,MATCH(G54,'4.1(2)新規再エネ導入予定（設備情報）'!$G:$G,0)-1,0),"")</f>
        <v/>
      </c>
      <c r="K54" s="497" t="str">
        <f ca="1">IFERROR(OFFSET('4.1(2)新規再エネ導入予定（設備情報）'!$P$1,MATCH(G54,'4.1(2)新規再エネ導入予定（設備情報）'!$G:$G,0)-1,0),"")</f>
        <v/>
      </c>
      <c r="L54" s="486"/>
      <c r="M54" s="489"/>
      <c r="N54" s="489"/>
      <c r="O54" s="489"/>
      <c r="P54" s="489"/>
      <c r="Q54" s="489"/>
      <c r="R54" s="24"/>
      <c r="S54" s="21"/>
      <c r="T54" s="489"/>
      <c r="V54" s="257">
        <f t="shared" si="5"/>
        <v>47</v>
      </c>
      <c r="W54" s="131">
        <f ca="1">IF(OFFSET('4.1(2)新規再エネ導入予定（設備情報）'!$O$1,MATCH(X54,'4.1(2)新規再エネ導入予定（設備情報）'!$Z:$Z,0)-1,0)="低圧",1,0)</f>
        <v>0</v>
      </c>
      <c r="X54" s="127" t="str">
        <f ca="1">IFERROR(IF(AND(G54="",L54&lt;&gt;""),MAX(OFFSET($X$8,0,0,ROW()-8,1)),OFFSET('4.1(2)新規再エネ導入予定（設備情報）'!$Z$1,MATCH($G54,'4.1(2)新規再エネ導入予定（設備情報）'!$G:$G,0)-1,0)),"")</f>
        <v/>
      </c>
      <c r="Y54" s="225">
        <f t="shared" si="12"/>
        <v>0</v>
      </c>
      <c r="Z54" s="226">
        <f t="shared" ca="1" si="23"/>
        <v>0</v>
      </c>
      <c r="AA54" s="225">
        <f t="shared" si="6"/>
        <v>0</v>
      </c>
      <c r="AB54" s="279">
        <f t="shared" ca="1" si="24"/>
        <v>1</v>
      </c>
      <c r="AC54" s="257" t="str">
        <f t="shared" si="22"/>
        <v/>
      </c>
      <c r="AD54" s="257" t="str">
        <f t="shared" si="8"/>
        <v/>
      </c>
      <c r="AE54" s="257" t="str">
        <f t="shared" si="26"/>
        <v/>
      </c>
      <c r="AF54" s="257" t="str">
        <f t="shared" si="27"/>
        <v/>
      </c>
      <c r="AG54" s="257" t="str">
        <f t="shared" si="14"/>
        <v>E</v>
      </c>
      <c r="AH54" s="257" cm="1">
        <f t="array" ref="AH54">_xlfn.IFS(COUNTIF($N54:$P54,"合意済")=3,4,OR(COUNTIF($N54:$P54,"合意済")=2,COUNTIF($N54:$P54,"合意済")=1),3,COUNTIF($N54:$P54,"合意済")=0,2)</f>
        <v>2</v>
      </c>
      <c r="AI54" s="257" t="e">
        <f t="shared" ca="1" si="13"/>
        <v>#VALUE!</v>
      </c>
      <c r="AJ54" s="257" t="str">
        <f t="shared" ca="1" si="25"/>
        <v/>
      </c>
    </row>
    <row r="55" spans="2:36" s="11" customFormat="1">
      <c r="B55" s="21"/>
      <c r="C55" s="21"/>
      <c r="D55" s="36"/>
      <c r="E55" s="126"/>
      <c r="F55" s="492" t="str">
        <f ca="1">IFERROR(OFFSET('4.1(2)新規再エネ導入予定（設備情報）'!$F$1,MATCH(G55,'4.1(2)新規再エネ導入予定（設備情報）'!$G:$G,0)-1,0),"")</f>
        <v/>
      </c>
      <c r="G55" s="483"/>
      <c r="H55" s="494" t="str">
        <f ca="1">IFERROR(OFFSET('4.1(2)新規再エネ導入予定（設備情報）'!$H$1,MATCH(G55,'4.1(2)新規再エネ導入予定（設備情報）'!$G:$G,0)-1,0)&amp;"","")</f>
        <v/>
      </c>
      <c r="I55" s="495" t="str">
        <f ca="1">IFERROR(OFFSET('4.1(2)新規再エネ導入予定（設備情報）'!$L$1,MATCH(G55,'4.1(2)新規再エネ導入予定（設備情報）'!$G:$G,0)-1,0),"")</f>
        <v/>
      </c>
      <c r="J55" s="496" t="str">
        <f ca="1">IFERROR(OFFSET('4.1(2)新規再エネ導入予定（設備情報）'!$O$1,MATCH(G55,'4.1(2)新規再エネ導入予定（設備情報）'!$G:$G,0)-1,0),"")</f>
        <v/>
      </c>
      <c r="K55" s="497" t="str">
        <f ca="1">IFERROR(OFFSET('4.1(2)新規再エネ導入予定（設備情報）'!$P$1,MATCH(G55,'4.1(2)新規再エネ導入予定（設備情報）'!$G:$G,0)-1,0),"")</f>
        <v/>
      </c>
      <c r="L55" s="486"/>
      <c r="M55" s="489"/>
      <c r="N55" s="489"/>
      <c r="O55" s="489"/>
      <c r="P55" s="489"/>
      <c r="Q55" s="489"/>
      <c r="R55" s="24"/>
      <c r="S55" s="21"/>
      <c r="T55" s="489"/>
      <c r="V55" s="257">
        <f t="shared" si="5"/>
        <v>48</v>
      </c>
      <c r="W55" s="131">
        <f ca="1">IF(OFFSET('4.1(2)新規再エネ導入予定（設備情報）'!$O$1,MATCH(X55,'4.1(2)新規再エネ導入予定（設備情報）'!$Z:$Z,0)-1,0)="低圧",1,0)</f>
        <v>0</v>
      </c>
      <c r="X55" s="127" t="str">
        <f ca="1">IFERROR(IF(AND(G55="",L55&lt;&gt;""),MAX(OFFSET($X$8,0,0,ROW()-8,1)),OFFSET('4.1(2)新規再エネ導入予定（設備情報）'!$Z$1,MATCH($G55,'4.1(2)新規再エネ導入予定（設備情報）'!$G:$G,0)-1,0)),"")</f>
        <v/>
      </c>
      <c r="Y55" s="225">
        <f t="shared" si="12"/>
        <v>0</v>
      </c>
      <c r="Z55" s="226">
        <f t="shared" ca="1" si="23"/>
        <v>0</v>
      </c>
      <c r="AA55" s="225">
        <f t="shared" si="6"/>
        <v>0</v>
      </c>
      <c r="AB55" s="279">
        <f t="shared" ca="1" si="24"/>
        <v>1</v>
      </c>
      <c r="AC55" s="257" t="str">
        <f t="shared" si="22"/>
        <v/>
      </c>
      <c r="AD55" s="257" t="str">
        <f t="shared" si="8"/>
        <v/>
      </c>
      <c r="AE55" s="257" t="str">
        <f t="shared" si="26"/>
        <v/>
      </c>
      <c r="AF55" s="257" t="str">
        <f t="shared" si="27"/>
        <v/>
      </c>
      <c r="AG55" s="257" t="str">
        <f t="shared" si="14"/>
        <v>E</v>
      </c>
      <c r="AH55" s="257" cm="1">
        <f t="array" ref="AH55">_xlfn.IFS(COUNTIF($N55:$P55,"合意済")=3,4,OR(COUNTIF($N55:$P55,"合意済")=2,COUNTIF($N55:$P55,"合意済")=1),3,COUNTIF($N55:$P55,"合意済")=0,2)</f>
        <v>2</v>
      </c>
      <c r="AI55" s="257" t="e">
        <f t="shared" ca="1" si="13"/>
        <v>#VALUE!</v>
      </c>
      <c r="AJ55" s="257" t="str">
        <f t="shared" ca="1" si="25"/>
        <v/>
      </c>
    </row>
    <row r="56" spans="2:36" ht="18" customHeight="1">
      <c r="D56" s="190"/>
      <c r="E56" s="192" t="s">
        <v>22</v>
      </c>
      <c r="F56" s="193"/>
      <c r="G56" s="477"/>
      <c r="H56" s="478"/>
      <c r="I56" s="479"/>
      <c r="J56" s="480"/>
      <c r="K56" s="481"/>
      <c r="L56" s="481"/>
      <c r="M56" s="480"/>
      <c r="N56" s="480"/>
      <c r="O56" s="480"/>
      <c r="P56" s="480"/>
      <c r="Q56" s="503"/>
      <c r="R56" s="19"/>
      <c r="T56" s="490"/>
      <c r="V56" s="177">
        <f t="shared" si="5"/>
        <v>49</v>
      </c>
      <c r="W56" s="217">
        <f ca="1">IF(OFFSET('4.1(2)新規再エネ導入予定（設備情報）'!$O$1,MATCH(X56,'4.1(2)新規再エネ導入予定（設備情報）'!$Z:$Z,0)-1,0)="低圧",1,0)</f>
        <v>0</v>
      </c>
      <c r="X56" s="127" t="str">
        <f ca="1">IFERROR(IF(AND(G56="",L56&lt;&gt;""),MAX(OFFSET($X$8,0,0,ROW()-8,1)),OFFSET('4.1(2)新規再エネ導入予定（設備情報）'!$Z$1,MATCH($G56,'4.1(2)新規再エネ導入予定（設備情報）'!$G:$G,0)-1,0)),"")</f>
        <v/>
      </c>
      <c r="Y56" s="265">
        <f t="shared" si="12"/>
        <v>0</v>
      </c>
      <c r="Z56" s="263">
        <f t="shared" ca="1" si="23"/>
        <v>0</v>
      </c>
      <c r="AA56" s="265">
        <f t="shared" si="6"/>
        <v>0</v>
      </c>
      <c r="AB56" s="264">
        <f t="shared" ca="1" si="24"/>
        <v>1</v>
      </c>
      <c r="AC56" s="177" t="str">
        <f t="shared" si="22"/>
        <v/>
      </c>
      <c r="AD56" s="177" t="str">
        <f t="shared" si="8"/>
        <v/>
      </c>
      <c r="AE56" s="177" t="str">
        <f t="shared" si="26"/>
        <v/>
      </c>
      <c r="AF56" s="177" t="str">
        <f t="shared" si="27"/>
        <v/>
      </c>
      <c r="AG56" s="177" t="str">
        <f t="shared" si="14"/>
        <v>E</v>
      </c>
      <c r="AH56" s="177" cm="1">
        <f t="array" ref="AH56">_xlfn.IFS(COUNTIF($N56:$P56,"合意済")=3,4,OR(COUNTIF($N56:$P56,"合意済")=2,COUNTIF($N56:$P56,"合意済")=1),3,COUNTIF($N56:$P56,"合意済")=0,2)</f>
        <v>2</v>
      </c>
      <c r="AI56" s="177" t="e">
        <f t="shared" ca="1" si="13"/>
        <v>#VALUE!</v>
      </c>
      <c r="AJ56" s="177" t="str">
        <f t="shared" ca="1" si="25"/>
        <v/>
      </c>
    </row>
    <row r="57" spans="2:36" s="11" customFormat="1" hidden="1">
      <c r="B57" s="21"/>
      <c r="C57" s="21"/>
      <c r="D57" s="36"/>
      <c r="E57" s="126"/>
      <c r="F57" s="714"/>
      <c r="G57" s="482"/>
      <c r="H57" s="498"/>
      <c r="I57" s="499"/>
      <c r="J57" s="500"/>
      <c r="K57" s="501"/>
      <c r="L57" s="484"/>
      <c r="M57" s="487"/>
      <c r="N57" s="487"/>
      <c r="O57" s="487"/>
      <c r="P57" s="487"/>
      <c r="Q57" s="487"/>
      <c r="R57" s="24"/>
      <c r="S57" s="21"/>
      <c r="T57" s="487"/>
      <c r="V57" s="257">
        <f t="shared" si="5"/>
        <v>50</v>
      </c>
      <c r="W57" s="131">
        <f ca="1">IF(OFFSET('4.1(2)新規再エネ導入予定（設備情報）'!$O$1,MATCH(X57,'4.1(2)新規再エネ導入予定（設備情報）'!$Z:$Z,0)-1,0)="低圧",1,0)</f>
        <v>0</v>
      </c>
      <c r="X57" s="127" t="str">
        <f ca="1">IFERROR(IF(AND(G57="",L57&lt;&gt;""),MAX(OFFSET($X$8,0,0,ROW()-8,1)),OFFSET('4.1(2)新規再エネ導入予定（設備情報）'!$Z$1,MATCH($G57,'4.1(2)新規再エネ導入予定（設備情報）'!$G:$G,0)-1,0)),"")</f>
        <v/>
      </c>
      <c r="Y57" s="226">
        <f t="shared" si="12"/>
        <v>0</v>
      </c>
      <c r="Z57" s="226">
        <f t="shared" ca="1" si="23"/>
        <v>0</v>
      </c>
      <c r="AA57" s="226">
        <f t="shared" si="6"/>
        <v>0</v>
      </c>
      <c r="AB57" s="279">
        <f t="shared" ca="1" si="24"/>
        <v>1</v>
      </c>
      <c r="AC57" s="257" t="str">
        <f t="shared" si="22"/>
        <v/>
      </c>
      <c r="AD57" s="257" t="str">
        <f t="shared" si="8"/>
        <v/>
      </c>
      <c r="AE57" s="257" t="str">
        <f t="shared" si="26"/>
        <v/>
      </c>
      <c r="AF57" s="257" t="str">
        <f t="shared" si="27"/>
        <v/>
      </c>
      <c r="AG57" s="257" t="str">
        <f t="shared" si="14"/>
        <v>E</v>
      </c>
      <c r="AH57" s="257" cm="1">
        <f t="array" ref="AH57">_xlfn.IFS(COUNTIF($N57:$P57,"合意済")=3,4,OR(COUNTIF($N57:$P57,"合意済")=2,COUNTIF($N57:$P57,"合意済")=1),3,COUNTIF($N57:$P57,"合意済")=0,2)</f>
        <v>2</v>
      </c>
      <c r="AI57" s="257" t="e">
        <f t="shared" ca="1" si="13"/>
        <v>#VALUE!</v>
      </c>
      <c r="AJ57" s="257" t="str">
        <f t="shared" ca="1" si="25"/>
        <v/>
      </c>
    </row>
    <row r="58" spans="2:36" s="11" customFormat="1">
      <c r="B58" s="21"/>
      <c r="C58" s="21"/>
      <c r="D58" s="36"/>
      <c r="E58" s="126"/>
      <c r="F58" s="492" t="str">
        <f ca="1">IFERROR(OFFSET('4.1(2)新規再エネ導入予定（設備情報）'!$F$1,MATCH(G58,'4.1(2)新規再エネ導入予定（設備情報）'!$G:$G,0)-1,0),"")</f>
        <v/>
      </c>
      <c r="G58" s="483"/>
      <c r="H58" s="494" t="str">
        <f ca="1">IFERROR(OFFSET('4.1(2)新規再エネ導入予定（設備情報）'!$H$1,MATCH(G58,'4.1(2)新規再エネ導入予定（設備情報）'!$G:$G,0)-1,0)&amp;"","")</f>
        <v/>
      </c>
      <c r="I58" s="495" t="str">
        <f ca="1">IFERROR(OFFSET('4.1(2)新規再エネ導入予定（設備情報）'!$L$1,MATCH(G58,'4.1(2)新規再エネ導入予定（設備情報）'!$G:$G,0)-1,0),"")</f>
        <v/>
      </c>
      <c r="J58" s="496" t="str">
        <f ca="1">IFERROR(OFFSET('4.1(2)新規再エネ導入予定（設備情報）'!$O$1,MATCH(G58,'4.1(2)新規再エネ導入予定（設備情報）'!$G:$G,0)-1,0),"")</f>
        <v/>
      </c>
      <c r="K58" s="497" t="str">
        <f ca="1">IFERROR(OFFSET('4.1(2)新規再エネ導入予定（設備情報）'!$P$1,MATCH(G58,'4.1(2)新規再エネ導入予定（設備情報）'!$G:$G,0)-1,0),"")</f>
        <v/>
      </c>
      <c r="L58" s="486"/>
      <c r="M58" s="489"/>
      <c r="N58" s="489"/>
      <c r="O58" s="489"/>
      <c r="P58" s="489"/>
      <c r="Q58" s="489"/>
      <c r="R58" s="24"/>
      <c r="S58" s="21"/>
      <c r="T58" s="489"/>
      <c r="V58" s="257">
        <f t="shared" si="5"/>
        <v>51</v>
      </c>
      <c r="W58" s="131">
        <f ca="1">IF(OFFSET('4.1(2)新規再エネ導入予定（設備情報）'!$O$1,MATCH(X58,'4.1(2)新規再エネ導入予定（設備情報）'!$Z:$Z,0)-1,0)="低圧",1,0)</f>
        <v>0</v>
      </c>
      <c r="X58" s="127" t="str">
        <f ca="1">IFERROR(IF(AND(G58="",L58&lt;&gt;""),MAX(OFFSET($X$8,0,0,ROW()-8,1)),OFFSET('4.1(2)新規再エネ導入予定（設備情報）'!$Z$1,MATCH($G58,'4.1(2)新規再エネ導入予定（設備情報）'!$G:$G,0)-1,0)),"")</f>
        <v/>
      </c>
      <c r="Y58" s="225">
        <f t="shared" si="12"/>
        <v>0</v>
      </c>
      <c r="Z58" s="226">
        <f t="shared" ca="1" si="23"/>
        <v>0</v>
      </c>
      <c r="AA58" s="225">
        <f t="shared" si="6"/>
        <v>0</v>
      </c>
      <c r="AB58" s="279">
        <f t="shared" ca="1" si="24"/>
        <v>1</v>
      </c>
      <c r="AC58" s="257" t="str">
        <f t="shared" si="22"/>
        <v/>
      </c>
      <c r="AD58" s="257" t="str">
        <f t="shared" si="8"/>
        <v/>
      </c>
      <c r="AE58" s="257" t="str">
        <f t="shared" si="26"/>
        <v/>
      </c>
      <c r="AF58" s="257" t="str">
        <f t="shared" si="27"/>
        <v/>
      </c>
      <c r="AG58" s="257" t="str">
        <f t="shared" si="14"/>
        <v>E</v>
      </c>
      <c r="AH58" s="257" cm="1">
        <f t="array" ref="AH58">_xlfn.IFS(COUNTIF($N58:$P58,"合意済")=3,4,OR(COUNTIF($N58:$P58,"合意済")=2,COUNTIF($N58:$P58,"合意済")=1),3,COUNTIF($N58:$P58,"合意済")=0,2)</f>
        <v>2</v>
      </c>
      <c r="AI58" s="257" t="e">
        <f t="shared" ca="1" si="13"/>
        <v>#VALUE!</v>
      </c>
      <c r="AJ58" s="257" t="str">
        <f t="shared" ca="1" si="25"/>
        <v/>
      </c>
    </row>
    <row r="59" spans="2:36" s="11" customFormat="1">
      <c r="B59" s="21"/>
      <c r="C59" s="21"/>
      <c r="D59" s="36"/>
      <c r="E59" s="126"/>
      <c r="F59" s="492" t="str">
        <f ca="1">IFERROR(OFFSET('4.1(2)新規再エネ導入予定（設備情報）'!$F$1,MATCH(G59,'4.1(2)新規再エネ導入予定（設備情報）'!$G:$G,0)-1,0),"")</f>
        <v/>
      </c>
      <c r="G59" s="483"/>
      <c r="H59" s="494" t="str">
        <f ca="1">IFERROR(OFFSET('4.1(2)新規再エネ導入予定（設備情報）'!$H$1,MATCH(G59,'4.1(2)新規再エネ導入予定（設備情報）'!$G:$G,0)-1,0)&amp;"","")</f>
        <v/>
      </c>
      <c r="I59" s="495" t="str">
        <f ca="1">IFERROR(OFFSET('4.1(2)新規再エネ導入予定（設備情報）'!$L$1,MATCH(G59,'4.1(2)新規再エネ導入予定（設備情報）'!$G:$G,0)-1,0),"")</f>
        <v/>
      </c>
      <c r="J59" s="496" t="str">
        <f ca="1">IFERROR(OFFSET('4.1(2)新規再エネ導入予定（設備情報）'!$O$1,MATCH(G59,'4.1(2)新規再エネ導入予定（設備情報）'!$G:$G,0)-1,0),"")</f>
        <v/>
      </c>
      <c r="K59" s="497" t="str">
        <f ca="1">IFERROR(OFFSET('4.1(2)新規再エネ導入予定（設備情報）'!$P$1,MATCH(G59,'4.1(2)新規再エネ導入予定（設備情報）'!$G:$G,0)-1,0),"")</f>
        <v/>
      </c>
      <c r="L59" s="486"/>
      <c r="M59" s="489"/>
      <c r="N59" s="489"/>
      <c r="O59" s="489"/>
      <c r="P59" s="489"/>
      <c r="Q59" s="489"/>
      <c r="R59" s="24"/>
      <c r="S59" s="21"/>
      <c r="T59" s="489"/>
      <c r="V59" s="257">
        <f t="shared" si="5"/>
        <v>52</v>
      </c>
      <c r="W59" s="131">
        <f ca="1">IF(OFFSET('4.1(2)新規再エネ導入予定（設備情報）'!$O$1,MATCH(X59,'4.1(2)新規再エネ導入予定（設備情報）'!$Z:$Z,0)-1,0)="低圧",1,0)</f>
        <v>0</v>
      </c>
      <c r="X59" s="127" t="str">
        <f ca="1">IFERROR(IF(AND(G59="",L59&lt;&gt;""),MAX(OFFSET($X$8,0,0,ROW()-8,1)),OFFSET('4.1(2)新規再エネ導入予定（設備情報）'!$Z$1,MATCH($G59,'4.1(2)新規再エネ導入予定（設備情報）'!$G:$G,0)-1,0)),"")</f>
        <v/>
      </c>
      <c r="Y59" s="225">
        <f t="shared" si="12"/>
        <v>0</v>
      </c>
      <c r="Z59" s="226">
        <f t="shared" ca="1" si="23"/>
        <v>0</v>
      </c>
      <c r="AA59" s="225">
        <f t="shared" si="6"/>
        <v>0</v>
      </c>
      <c r="AB59" s="279">
        <f t="shared" ca="1" si="24"/>
        <v>1</v>
      </c>
      <c r="AC59" s="257" t="str">
        <f t="shared" si="22"/>
        <v/>
      </c>
      <c r="AD59" s="257" t="str">
        <f t="shared" si="8"/>
        <v/>
      </c>
      <c r="AE59" s="257" t="str">
        <f t="shared" si="26"/>
        <v/>
      </c>
      <c r="AF59" s="257" t="str">
        <f t="shared" si="27"/>
        <v/>
      </c>
      <c r="AG59" s="257" t="str">
        <f t="shared" si="14"/>
        <v>E</v>
      </c>
      <c r="AH59" s="257" cm="1">
        <f t="array" ref="AH59">_xlfn.IFS(COUNTIF($N59:$P59,"合意済")=3,4,OR(COUNTIF($N59:$P59,"合意済")=2,COUNTIF($N59:$P59,"合意済")=1),3,COUNTIF($N59:$P59,"合意済")=0,2)</f>
        <v>2</v>
      </c>
      <c r="AI59" s="257" t="e">
        <f t="shared" ca="1" si="13"/>
        <v>#VALUE!</v>
      </c>
      <c r="AJ59" s="257" t="str">
        <f t="shared" ca="1" si="25"/>
        <v/>
      </c>
    </row>
    <row r="60" spans="2:36" s="11" customFormat="1">
      <c r="B60" s="21"/>
      <c r="C60" s="21"/>
      <c r="D60" s="36"/>
      <c r="E60" s="126"/>
      <c r="F60" s="492" t="str">
        <f ca="1">IFERROR(OFFSET('4.1(2)新規再エネ導入予定（設備情報）'!$F$1,MATCH(G60,'4.1(2)新規再エネ導入予定（設備情報）'!$G:$G,0)-1,0),"")</f>
        <v/>
      </c>
      <c r="G60" s="483"/>
      <c r="H60" s="494" t="str">
        <f ca="1">IFERROR(OFFSET('4.1(2)新規再エネ導入予定（設備情報）'!$H$1,MATCH(G60,'4.1(2)新規再エネ導入予定（設備情報）'!$G:$G,0)-1,0)&amp;"","")</f>
        <v/>
      </c>
      <c r="I60" s="495" t="str">
        <f ca="1">IFERROR(OFFSET('4.1(2)新規再エネ導入予定（設備情報）'!$L$1,MATCH(G60,'4.1(2)新規再エネ導入予定（設備情報）'!$G:$G,0)-1,0),"")</f>
        <v/>
      </c>
      <c r="J60" s="496" t="str">
        <f ca="1">IFERROR(OFFSET('4.1(2)新規再エネ導入予定（設備情報）'!$O$1,MATCH(G60,'4.1(2)新規再エネ導入予定（設備情報）'!$G:$G,0)-1,0),"")</f>
        <v/>
      </c>
      <c r="K60" s="497" t="str">
        <f ca="1">IFERROR(OFFSET('4.1(2)新規再エネ導入予定（設備情報）'!$P$1,MATCH(G60,'4.1(2)新規再エネ導入予定（設備情報）'!$G:$G,0)-1,0),"")</f>
        <v/>
      </c>
      <c r="L60" s="486"/>
      <c r="M60" s="489"/>
      <c r="N60" s="489"/>
      <c r="O60" s="489"/>
      <c r="P60" s="489"/>
      <c r="Q60" s="489"/>
      <c r="R60" s="24"/>
      <c r="S60" s="21"/>
      <c r="T60" s="489"/>
      <c r="V60" s="257">
        <f t="shared" si="5"/>
        <v>53</v>
      </c>
      <c r="W60" s="131">
        <f ca="1">IF(OFFSET('4.1(2)新規再エネ導入予定（設備情報）'!$O$1,MATCH(X60,'4.1(2)新規再エネ導入予定（設備情報）'!$Z:$Z,0)-1,0)="低圧",1,0)</f>
        <v>0</v>
      </c>
      <c r="X60" s="127" t="str">
        <f ca="1">IFERROR(IF(AND(G60="",L60&lt;&gt;""),MAX(OFFSET($X$8,0,0,ROW()-8,1)),OFFSET('4.1(2)新規再エネ導入予定（設備情報）'!$Z$1,MATCH($G60,'4.1(2)新規再エネ導入予定（設備情報）'!$G:$G,0)-1,0)),"")</f>
        <v/>
      </c>
      <c r="Y60" s="225">
        <f t="shared" si="12"/>
        <v>0</v>
      </c>
      <c r="Z60" s="226">
        <f t="shared" ca="1" si="23"/>
        <v>0</v>
      </c>
      <c r="AA60" s="225">
        <f t="shared" si="6"/>
        <v>0</v>
      </c>
      <c r="AB60" s="279">
        <f t="shared" ca="1" si="24"/>
        <v>1</v>
      </c>
      <c r="AC60" s="257" t="str">
        <f t="shared" si="22"/>
        <v/>
      </c>
      <c r="AD60" s="257" t="str">
        <f t="shared" si="8"/>
        <v/>
      </c>
      <c r="AE60" s="257" t="str">
        <f t="shared" si="26"/>
        <v/>
      </c>
      <c r="AF60" s="257" t="str">
        <f t="shared" si="27"/>
        <v/>
      </c>
      <c r="AG60" s="257" t="str">
        <f t="shared" si="14"/>
        <v>E</v>
      </c>
      <c r="AH60" s="257" cm="1">
        <f t="array" ref="AH60">_xlfn.IFS(COUNTIF($N60:$P60,"合意済")=3,4,OR(COUNTIF($N60:$P60,"合意済")=2,COUNTIF($N60:$P60,"合意済")=1),3,COUNTIF($N60:$P60,"合意済")=0,2)</f>
        <v>2</v>
      </c>
      <c r="AI60" s="257" t="e">
        <f t="shared" ca="1" si="13"/>
        <v>#VALUE!</v>
      </c>
      <c r="AJ60" s="257" t="str">
        <f t="shared" ca="1" si="25"/>
        <v/>
      </c>
    </row>
    <row r="61" spans="2:36" s="11" customFormat="1">
      <c r="B61" s="21"/>
      <c r="C61" s="21"/>
      <c r="D61" s="36"/>
      <c r="E61" s="126"/>
      <c r="F61" s="492" t="str">
        <f ca="1">IFERROR(OFFSET('4.1(2)新規再エネ導入予定（設備情報）'!$F$1,MATCH(G61,'4.1(2)新規再エネ導入予定（設備情報）'!$G:$G,0)-1,0),"")</f>
        <v/>
      </c>
      <c r="G61" s="483"/>
      <c r="H61" s="494" t="str">
        <f ca="1">IFERROR(OFFSET('4.1(2)新規再エネ導入予定（設備情報）'!$H$1,MATCH(G61,'4.1(2)新規再エネ導入予定（設備情報）'!$G:$G,0)-1,0)&amp;"","")</f>
        <v/>
      </c>
      <c r="I61" s="495" t="str">
        <f ca="1">IFERROR(OFFSET('4.1(2)新規再エネ導入予定（設備情報）'!$L$1,MATCH(G61,'4.1(2)新規再エネ導入予定（設備情報）'!$G:$G,0)-1,0),"")</f>
        <v/>
      </c>
      <c r="J61" s="496" t="str">
        <f ca="1">IFERROR(OFFSET('4.1(2)新規再エネ導入予定（設備情報）'!$O$1,MATCH(G61,'4.1(2)新規再エネ導入予定（設備情報）'!$G:$G,0)-1,0),"")</f>
        <v/>
      </c>
      <c r="K61" s="497" t="str">
        <f ca="1">IFERROR(OFFSET('4.1(2)新規再エネ導入予定（設備情報）'!$P$1,MATCH(G61,'4.1(2)新規再エネ導入予定（設備情報）'!$G:$G,0)-1,0),"")</f>
        <v/>
      </c>
      <c r="L61" s="486"/>
      <c r="M61" s="489"/>
      <c r="N61" s="489"/>
      <c r="O61" s="489"/>
      <c r="P61" s="489"/>
      <c r="Q61" s="489"/>
      <c r="R61" s="24"/>
      <c r="S61" s="21"/>
      <c r="T61" s="489"/>
      <c r="V61" s="257">
        <f t="shared" si="5"/>
        <v>54</v>
      </c>
      <c r="W61" s="131">
        <f ca="1">IF(OFFSET('4.1(2)新規再エネ導入予定（設備情報）'!$O$1,MATCH(X61,'4.1(2)新規再エネ導入予定（設備情報）'!$Z:$Z,0)-1,0)="低圧",1,0)</f>
        <v>0</v>
      </c>
      <c r="X61" s="127" t="str">
        <f ca="1">IFERROR(IF(AND(G61="",L61&lt;&gt;""),MAX(OFFSET($X$8,0,0,ROW()-8,1)),OFFSET('4.1(2)新規再エネ導入予定（設備情報）'!$Z$1,MATCH($G61,'4.1(2)新規再エネ導入予定（設備情報）'!$G:$G,0)-1,0)),"")</f>
        <v/>
      </c>
      <c r="Y61" s="225">
        <f t="shared" si="12"/>
        <v>0</v>
      </c>
      <c r="Z61" s="226">
        <f t="shared" ca="1" si="23"/>
        <v>0</v>
      </c>
      <c r="AA61" s="225">
        <f t="shared" si="6"/>
        <v>0</v>
      </c>
      <c r="AB61" s="279">
        <f t="shared" ca="1" si="24"/>
        <v>1</v>
      </c>
      <c r="AC61" s="257" t="str">
        <f t="shared" si="22"/>
        <v/>
      </c>
      <c r="AD61" s="257" t="str">
        <f t="shared" si="8"/>
        <v/>
      </c>
      <c r="AE61" s="257" t="str">
        <f t="shared" si="26"/>
        <v/>
      </c>
      <c r="AF61" s="257" t="str">
        <f t="shared" si="27"/>
        <v/>
      </c>
      <c r="AG61" s="257" t="str">
        <f t="shared" si="14"/>
        <v>E</v>
      </c>
      <c r="AH61" s="257" cm="1">
        <f t="array" ref="AH61">_xlfn.IFS(COUNTIF($N61:$P61,"合意済")=3,4,OR(COUNTIF($N61:$P61,"合意済")=2,COUNTIF($N61:$P61,"合意済")=1),3,COUNTIF($N61:$P61,"合意済")=0,2)</f>
        <v>2</v>
      </c>
      <c r="AI61" s="257" t="e">
        <f t="shared" ca="1" si="13"/>
        <v>#VALUE!</v>
      </c>
      <c r="AJ61" s="257" t="str">
        <f t="shared" ca="1" si="25"/>
        <v/>
      </c>
    </row>
    <row r="62" spans="2:36" ht="20">
      <c r="D62" s="190"/>
      <c r="E62" s="192" t="s">
        <v>438</v>
      </c>
      <c r="F62" s="193"/>
      <c r="G62" s="477"/>
      <c r="H62" s="478"/>
      <c r="I62" s="479"/>
      <c r="J62" s="480"/>
      <c r="K62" s="481"/>
      <c r="L62" s="481"/>
      <c r="M62" s="480"/>
      <c r="N62" s="480"/>
      <c r="O62" s="480"/>
      <c r="P62" s="480"/>
      <c r="Q62" s="503"/>
      <c r="R62" s="19"/>
      <c r="T62" s="490"/>
      <c r="V62" s="177">
        <f t="shared" si="5"/>
        <v>55</v>
      </c>
      <c r="W62" s="217">
        <f ca="1">IF(OFFSET('4.1(2)新規再エネ導入予定（設備情報）'!$O$1,MATCH(X62,'4.1(2)新規再エネ導入予定（設備情報）'!$Z:$Z,0)-1,0)="低圧",1,0)</f>
        <v>0</v>
      </c>
      <c r="X62" s="127" t="str">
        <f ca="1">IFERROR(IF(AND(G62="",L62&lt;&gt;""),MAX(OFFSET($X$8,0,0,ROW()-8,1)),OFFSET('4.1(2)新規再エネ導入予定（設備情報）'!$Z$1,MATCH($G62,'4.1(2)新規再エネ導入予定（設備情報）'!$G:$G,0)-1,0)),"")</f>
        <v/>
      </c>
      <c r="Y62" s="265">
        <f t="shared" si="12"/>
        <v>0</v>
      </c>
      <c r="Z62" s="263">
        <f t="shared" ca="1" si="23"/>
        <v>0</v>
      </c>
      <c r="AA62" s="265">
        <f t="shared" si="6"/>
        <v>0</v>
      </c>
      <c r="AB62" s="264">
        <f t="shared" ca="1" si="24"/>
        <v>1</v>
      </c>
      <c r="AC62" s="177" t="str">
        <f t="shared" si="22"/>
        <v/>
      </c>
      <c r="AD62" s="177" t="str">
        <f t="shared" si="8"/>
        <v/>
      </c>
      <c r="AE62" s="177" t="str">
        <f t="shared" si="26"/>
        <v/>
      </c>
      <c r="AF62" s="177" t="str">
        <f t="shared" si="27"/>
        <v/>
      </c>
      <c r="AG62" s="177" t="str">
        <f t="shared" si="14"/>
        <v>E</v>
      </c>
      <c r="AH62" s="177" cm="1">
        <f t="array" ref="AH62">_xlfn.IFS(COUNTIF($N62:$P62,"合意済")=3,4,OR(COUNTIF($N62:$P62,"合意済")=2,COUNTIF($N62:$P62,"合意済")=1),3,COUNTIF($N62:$P62,"合意済")=0,2)</f>
        <v>2</v>
      </c>
      <c r="AI62" s="177" t="e">
        <f t="shared" ca="1" si="13"/>
        <v>#VALUE!</v>
      </c>
      <c r="AJ62" s="177" t="str">
        <f t="shared" ca="1" si="25"/>
        <v/>
      </c>
    </row>
    <row r="63" spans="2:36" s="11" customFormat="1" hidden="1">
      <c r="B63" s="21"/>
      <c r="C63" s="21"/>
      <c r="D63" s="36"/>
      <c r="E63" s="126"/>
      <c r="F63" s="714"/>
      <c r="G63" s="482"/>
      <c r="H63" s="498"/>
      <c r="I63" s="499"/>
      <c r="J63" s="500"/>
      <c r="K63" s="501"/>
      <c r="L63" s="484"/>
      <c r="M63" s="487"/>
      <c r="N63" s="487"/>
      <c r="O63" s="487"/>
      <c r="P63" s="487"/>
      <c r="Q63" s="487"/>
      <c r="R63" s="24"/>
      <c r="S63" s="21"/>
      <c r="T63" s="487"/>
      <c r="V63" s="257">
        <f t="shared" si="5"/>
        <v>56</v>
      </c>
      <c r="W63" s="131">
        <f ca="1">IF(OFFSET('4.1(2)新規再エネ導入予定（設備情報）'!$O$1,MATCH(X63,'4.1(2)新規再エネ導入予定（設備情報）'!$Z:$Z,0)-1,0)="低圧",1,0)</f>
        <v>0</v>
      </c>
      <c r="X63" s="127" t="str">
        <f ca="1">IFERROR(IF(AND(G63="",L63&lt;&gt;""),MAX(OFFSET($X$8,0,0,ROW()-8,1)),OFFSET('4.1(2)新規再エネ導入予定（設備情報）'!$Z$1,MATCH($G63,'4.1(2)新規再エネ導入予定（設備情報）'!$G:$G,0)-1,0)),"")</f>
        <v/>
      </c>
      <c r="Y63" s="226">
        <f t="shared" si="12"/>
        <v>0</v>
      </c>
      <c r="Z63" s="226">
        <f t="shared" ca="1" si="23"/>
        <v>0</v>
      </c>
      <c r="AA63" s="226">
        <f t="shared" si="6"/>
        <v>0</v>
      </c>
      <c r="AB63" s="279">
        <f t="shared" ca="1" si="24"/>
        <v>1</v>
      </c>
      <c r="AC63" s="257" t="str">
        <f t="shared" si="22"/>
        <v/>
      </c>
      <c r="AD63" s="257" t="str">
        <f t="shared" si="8"/>
        <v/>
      </c>
      <c r="AE63" s="257" t="str">
        <f t="shared" si="26"/>
        <v/>
      </c>
      <c r="AF63" s="257" t="str">
        <f t="shared" si="27"/>
        <v/>
      </c>
      <c r="AG63" s="257" t="str">
        <f t="shared" si="14"/>
        <v>E</v>
      </c>
      <c r="AH63" s="257" cm="1">
        <f t="array" ref="AH63">_xlfn.IFS(COUNTIF($N63:$P63,"合意済")=3,4,OR(COUNTIF($N63:$P63,"合意済")=2,COUNTIF($N63:$P63,"合意済")=1),3,COUNTIF($N63:$P63,"合意済")=0,2)</f>
        <v>2</v>
      </c>
      <c r="AI63" s="257" t="e">
        <f t="shared" ca="1" si="13"/>
        <v>#VALUE!</v>
      </c>
      <c r="AJ63" s="257" t="str">
        <f t="shared" ca="1" si="25"/>
        <v/>
      </c>
    </row>
    <row r="64" spans="2:36" s="11" customFormat="1">
      <c r="B64" s="21"/>
      <c r="C64" s="21"/>
      <c r="D64" s="36"/>
      <c r="E64" s="126"/>
      <c r="F64" s="492" t="str">
        <f ca="1">IFERROR(OFFSET('4.1(2)新規再エネ導入予定（設備情報）'!$F$1,MATCH(G64,'4.1(2)新規再エネ導入予定（設備情報）'!$G:$G,0)-1,0),"")</f>
        <v/>
      </c>
      <c r="G64" s="483"/>
      <c r="H64" s="494" t="str">
        <f ca="1">IFERROR(OFFSET('4.1(2)新規再エネ導入予定（設備情報）'!$H$1,MATCH(G64,'4.1(2)新規再エネ導入予定（設備情報）'!$G:$G,0)-1,0)&amp;"","")</f>
        <v/>
      </c>
      <c r="I64" s="495" t="str">
        <f ca="1">IFERROR(OFFSET('4.1(2)新規再エネ導入予定（設備情報）'!$L$1,MATCH(G64,'4.1(2)新規再エネ導入予定（設備情報）'!$G:$G,0)-1,0),"")</f>
        <v/>
      </c>
      <c r="J64" s="496" t="str">
        <f ca="1">IFERROR(OFFSET('4.1(2)新規再エネ導入予定（設備情報）'!$O$1,MATCH(G64,'4.1(2)新規再エネ導入予定（設備情報）'!$G:$G,0)-1,0),"")</f>
        <v/>
      </c>
      <c r="K64" s="497" t="str">
        <f ca="1">IFERROR(OFFSET('4.1(2)新規再エネ導入予定（設備情報）'!$P$1,MATCH(G64,'4.1(2)新規再エネ導入予定（設備情報）'!$G:$G,0)-1,0),"")</f>
        <v/>
      </c>
      <c r="L64" s="486"/>
      <c r="M64" s="489"/>
      <c r="N64" s="489"/>
      <c r="O64" s="489"/>
      <c r="P64" s="489"/>
      <c r="Q64" s="489"/>
      <c r="R64" s="24"/>
      <c r="S64" s="21"/>
      <c r="T64" s="489"/>
      <c r="V64" s="257">
        <f t="shared" si="5"/>
        <v>57</v>
      </c>
      <c r="W64" s="131">
        <f ca="1">IF(OFFSET('4.1(2)新規再エネ導入予定（設備情報）'!$O$1,MATCH(X64,'4.1(2)新規再エネ導入予定（設備情報）'!$Z:$Z,0)-1,0)="低圧",1,0)</f>
        <v>0</v>
      </c>
      <c r="X64" s="127" t="str">
        <f ca="1">IFERROR(IF(AND(G64="",L64&lt;&gt;""),MAX(OFFSET($X$8,0,0,ROW()-8,1)),OFFSET('4.1(2)新規再エネ導入予定（設備情報）'!$Z$1,MATCH($G64,'4.1(2)新規再エネ導入予定（設備情報）'!$G:$G,0)-1,0)),"")</f>
        <v/>
      </c>
      <c r="Y64" s="225">
        <f t="shared" si="12"/>
        <v>0</v>
      </c>
      <c r="Z64" s="226">
        <f t="shared" ca="1" si="23"/>
        <v>0</v>
      </c>
      <c r="AA64" s="225">
        <f t="shared" si="6"/>
        <v>0</v>
      </c>
      <c r="AB64" s="279">
        <f t="shared" ca="1" si="24"/>
        <v>1</v>
      </c>
      <c r="AC64" s="257" t="str">
        <f t="shared" si="22"/>
        <v/>
      </c>
      <c r="AD64" s="257" t="str">
        <f t="shared" si="8"/>
        <v/>
      </c>
      <c r="AE64" s="257" t="str">
        <f t="shared" si="26"/>
        <v/>
      </c>
      <c r="AF64" s="257" t="str">
        <f t="shared" si="27"/>
        <v/>
      </c>
      <c r="AG64" s="257" t="str">
        <f t="shared" si="14"/>
        <v>E</v>
      </c>
      <c r="AH64" s="257" cm="1">
        <f t="array" ref="AH64">_xlfn.IFS(COUNTIF($N64:$P64,"合意済")=3,4,OR(COUNTIF($N64:$P64,"合意済")=2,COUNTIF($N64:$P64,"合意済")=1),3,COUNTIF($N64:$P64,"合意済")=0,2)</f>
        <v>2</v>
      </c>
      <c r="AI64" s="257" t="e">
        <f t="shared" ca="1" si="13"/>
        <v>#VALUE!</v>
      </c>
      <c r="AJ64" s="257" t="str">
        <f t="shared" ca="1" si="25"/>
        <v/>
      </c>
    </row>
    <row r="65" spans="2:36" s="11" customFormat="1">
      <c r="B65" s="21"/>
      <c r="C65" s="21"/>
      <c r="D65" s="36"/>
      <c r="E65" s="126"/>
      <c r="F65" s="492" t="str">
        <f ca="1">IFERROR(OFFSET('4.1(2)新規再エネ導入予定（設備情報）'!$F$1,MATCH(G65,'4.1(2)新規再エネ導入予定（設備情報）'!$G:$G,0)-1,0),"")</f>
        <v/>
      </c>
      <c r="G65" s="483"/>
      <c r="H65" s="494" t="str">
        <f ca="1">IFERROR(OFFSET('4.1(2)新規再エネ導入予定（設備情報）'!$H$1,MATCH(G65,'4.1(2)新規再エネ導入予定（設備情報）'!$G:$G,0)-1,0)&amp;"","")</f>
        <v/>
      </c>
      <c r="I65" s="495" t="str">
        <f ca="1">IFERROR(OFFSET('4.1(2)新規再エネ導入予定（設備情報）'!$L$1,MATCH(G65,'4.1(2)新規再エネ導入予定（設備情報）'!$G:$G,0)-1,0),"")</f>
        <v/>
      </c>
      <c r="J65" s="496" t="str">
        <f ca="1">IFERROR(OFFSET('4.1(2)新規再エネ導入予定（設備情報）'!$O$1,MATCH(G65,'4.1(2)新規再エネ導入予定（設備情報）'!$G:$G,0)-1,0),"")</f>
        <v/>
      </c>
      <c r="K65" s="497" t="str">
        <f ca="1">IFERROR(OFFSET('4.1(2)新規再エネ導入予定（設備情報）'!$P$1,MATCH(G65,'4.1(2)新規再エネ導入予定（設備情報）'!$G:$G,0)-1,0),"")</f>
        <v/>
      </c>
      <c r="L65" s="486"/>
      <c r="M65" s="489"/>
      <c r="N65" s="489"/>
      <c r="O65" s="489"/>
      <c r="P65" s="489"/>
      <c r="Q65" s="489"/>
      <c r="R65" s="24"/>
      <c r="S65" s="21"/>
      <c r="T65" s="489"/>
      <c r="V65" s="257">
        <f t="shared" si="5"/>
        <v>58</v>
      </c>
      <c r="W65" s="131">
        <f ca="1">IF(OFFSET('4.1(2)新規再エネ導入予定（設備情報）'!$O$1,MATCH(X65,'4.1(2)新規再エネ導入予定（設備情報）'!$Z:$Z,0)-1,0)="低圧",1,0)</f>
        <v>0</v>
      </c>
      <c r="X65" s="127" t="str">
        <f ca="1">IFERROR(IF(AND(G65="",L65&lt;&gt;""),MAX(OFFSET($X$8,0,0,ROW()-8,1)),OFFSET('4.1(2)新規再エネ導入予定（設備情報）'!$Z$1,MATCH($G65,'4.1(2)新規再エネ導入予定（設備情報）'!$G:$G,0)-1,0)),"")</f>
        <v/>
      </c>
      <c r="Y65" s="225">
        <f t="shared" si="12"/>
        <v>0</v>
      </c>
      <c r="Z65" s="226">
        <f t="shared" ca="1" si="23"/>
        <v>0</v>
      </c>
      <c r="AA65" s="225">
        <f t="shared" ref="AA65:AA121" si="28">IF($M65="合意済",1,0)</f>
        <v>0</v>
      </c>
      <c r="AB65" s="279">
        <f t="shared" ca="1" si="24"/>
        <v>1</v>
      </c>
      <c r="AC65" s="257" t="str">
        <f t="shared" si="22"/>
        <v/>
      </c>
      <c r="AD65" s="257" t="str">
        <f t="shared" si="8"/>
        <v/>
      </c>
      <c r="AE65" s="257" t="str">
        <f t="shared" si="26"/>
        <v/>
      </c>
      <c r="AF65" s="257" t="str">
        <f t="shared" si="27"/>
        <v/>
      </c>
      <c r="AG65" s="257" t="str">
        <f t="shared" si="14"/>
        <v>E</v>
      </c>
      <c r="AH65" s="257" cm="1">
        <f t="array" ref="AH65">_xlfn.IFS(COUNTIF($N65:$P65,"合意済")=3,4,OR(COUNTIF($N65:$P65,"合意済")=2,COUNTIF($N65:$P65,"合意済")=1),3,COUNTIF($N65:$P65,"合意済")=0,2)</f>
        <v>2</v>
      </c>
      <c r="AI65" s="257" t="e">
        <f t="shared" ca="1" si="13"/>
        <v>#VALUE!</v>
      </c>
      <c r="AJ65" s="257" t="str">
        <f t="shared" ca="1" si="25"/>
        <v/>
      </c>
    </row>
    <row r="66" spans="2:36" s="11" customFormat="1">
      <c r="B66" s="21"/>
      <c r="C66" s="21"/>
      <c r="D66" s="36"/>
      <c r="E66" s="126"/>
      <c r="F66" s="492" t="str">
        <f ca="1">IFERROR(OFFSET('4.1(2)新規再エネ導入予定（設備情報）'!$F$1,MATCH(G66,'4.1(2)新規再エネ導入予定（設備情報）'!$G:$G,0)-1,0),"")</f>
        <v/>
      </c>
      <c r="G66" s="483"/>
      <c r="H66" s="494" t="str">
        <f ca="1">IFERROR(OFFSET('4.1(2)新規再エネ導入予定（設備情報）'!$H$1,MATCH(G66,'4.1(2)新規再エネ導入予定（設備情報）'!$G:$G,0)-1,0)&amp;"","")</f>
        <v/>
      </c>
      <c r="I66" s="495" t="str">
        <f ca="1">IFERROR(OFFSET('4.1(2)新規再エネ導入予定（設備情報）'!$L$1,MATCH(G66,'4.1(2)新規再エネ導入予定（設備情報）'!$G:$G,0)-1,0),"")</f>
        <v/>
      </c>
      <c r="J66" s="496" t="str">
        <f ca="1">IFERROR(OFFSET('4.1(2)新規再エネ導入予定（設備情報）'!$O$1,MATCH(G66,'4.1(2)新規再エネ導入予定（設備情報）'!$G:$G,0)-1,0),"")</f>
        <v/>
      </c>
      <c r="K66" s="497" t="str">
        <f ca="1">IFERROR(OFFSET('4.1(2)新規再エネ導入予定（設備情報）'!$P$1,MATCH(G66,'4.1(2)新規再エネ導入予定（設備情報）'!$G:$G,0)-1,0),"")</f>
        <v/>
      </c>
      <c r="L66" s="486"/>
      <c r="M66" s="489"/>
      <c r="N66" s="489"/>
      <c r="O66" s="489"/>
      <c r="P66" s="489"/>
      <c r="Q66" s="489"/>
      <c r="R66" s="24"/>
      <c r="S66" s="21"/>
      <c r="T66" s="489"/>
      <c r="V66" s="257">
        <f t="shared" si="5"/>
        <v>59</v>
      </c>
      <c r="W66" s="131">
        <f ca="1">IF(OFFSET('4.1(2)新規再エネ導入予定（設備情報）'!$O$1,MATCH(X66,'4.1(2)新規再エネ導入予定（設備情報）'!$Z:$Z,0)-1,0)="低圧",1,0)</f>
        <v>0</v>
      </c>
      <c r="X66" s="127" t="str">
        <f ca="1">IFERROR(IF(AND(G66="",L66&lt;&gt;""),MAX(OFFSET($X$8,0,0,ROW()-8,1)),OFFSET('4.1(2)新規再エネ導入予定（設備情報）'!$Z$1,MATCH($G66,'4.1(2)新規再エネ導入予定（設備情報）'!$G:$G,0)-1,0)),"")</f>
        <v/>
      </c>
      <c r="Y66" s="225">
        <f t="shared" ref="Y66" si="29">IF(T66="○",1,0)</f>
        <v>0</v>
      </c>
      <c r="Z66" s="226">
        <f t="shared" ca="1" si="23"/>
        <v>0</v>
      </c>
      <c r="AA66" s="225">
        <f t="shared" si="28"/>
        <v>0</v>
      </c>
      <c r="AB66" s="279">
        <f t="shared" ca="1" si="24"/>
        <v>1</v>
      </c>
      <c r="AC66" s="257" t="str">
        <f t="shared" ref="AC66" si="30">IF(M66="","",IF(OR(M66="説明済",M66="協議中",M66="合意済"),1,0))</f>
        <v/>
      </c>
      <c r="AD66" s="257" t="str">
        <f t="shared" ref="AD66" si="31">IF(N66="","",IF(OR(N66="説明済",N66="協議中",N66="合意済"),1,0))</f>
        <v/>
      </c>
      <c r="AE66" s="257" t="str">
        <f t="shared" si="26"/>
        <v/>
      </c>
      <c r="AF66" s="257" t="str">
        <f t="shared" si="27"/>
        <v/>
      </c>
      <c r="AG66" s="257" t="str">
        <f t="shared" si="14"/>
        <v>E</v>
      </c>
      <c r="AH66" s="257" cm="1">
        <f t="array" ref="AH66">_xlfn.IFS(COUNTIF($N66:$P66,"合意済")=3,4,OR(COUNTIF($N66:$P66,"合意済")=2,COUNTIF($N66:$P66,"合意済")=1),3,COUNTIF($N66:$P66,"合意済")=0,2)</f>
        <v>2</v>
      </c>
      <c r="AI66" s="257" t="e">
        <f t="shared" ca="1" si="13"/>
        <v>#VALUE!</v>
      </c>
      <c r="AJ66" s="257" t="str">
        <f t="shared" ca="1" si="25"/>
        <v/>
      </c>
    </row>
    <row r="67" spans="2:36" s="11" customFormat="1">
      <c r="B67" s="21"/>
      <c r="C67" s="21"/>
      <c r="D67" s="36"/>
      <c r="E67" s="126"/>
      <c r="F67" s="492" t="str">
        <f ca="1">IFERROR(OFFSET('4.1(2)新規再エネ導入予定（設備情報）'!$F$1,MATCH(G67,'4.1(2)新規再エネ導入予定（設備情報）'!$G:$G,0)-1,0),"")</f>
        <v/>
      </c>
      <c r="G67" s="483"/>
      <c r="H67" s="494" t="str">
        <f ca="1">IFERROR(OFFSET('4.1(2)新規再エネ導入予定（設備情報）'!$H$1,MATCH(G67,'4.1(2)新規再エネ導入予定（設備情報）'!$G:$G,0)-1,0)&amp;"","")</f>
        <v/>
      </c>
      <c r="I67" s="495" t="str">
        <f ca="1">IFERROR(OFFSET('4.1(2)新規再エネ導入予定（設備情報）'!$L$1,MATCH(G67,'4.1(2)新規再エネ導入予定（設備情報）'!$G:$G,0)-1,0),"")</f>
        <v/>
      </c>
      <c r="J67" s="496" t="str">
        <f ca="1">IFERROR(OFFSET('4.1(2)新規再エネ導入予定（設備情報）'!$O$1,MATCH(G67,'4.1(2)新規再エネ導入予定（設備情報）'!$G:$G,0)-1,0),"")</f>
        <v/>
      </c>
      <c r="K67" s="497" t="str">
        <f ca="1">IFERROR(OFFSET('4.1(2)新規再エネ導入予定（設備情報）'!$P$1,MATCH(G67,'4.1(2)新規再エネ導入予定（設備情報）'!$G:$G,0)-1,0),"")</f>
        <v/>
      </c>
      <c r="L67" s="486"/>
      <c r="M67" s="489"/>
      <c r="N67" s="489"/>
      <c r="O67" s="489"/>
      <c r="P67" s="489"/>
      <c r="Q67" s="489"/>
      <c r="R67" s="24"/>
      <c r="S67" s="21"/>
      <c r="T67" s="489"/>
      <c r="V67" s="257">
        <f t="shared" si="5"/>
        <v>60</v>
      </c>
      <c r="W67" s="131">
        <f ca="1">IF(OFFSET('4.1(2)新規再エネ導入予定（設備情報）'!$O$1,MATCH(X67,'4.1(2)新規再エネ導入予定（設備情報）'!$Z:$Z,0)-1,0)="低圧",1,0)</f>
        <v>0</v>
      </c>
      <c r="X67" s="127" t="str">
        <f ca="1">IFERROR(IF(AND(G67="",L67&lt;&gt;""),MAX(OFFSET($X$8,0,0,ROW()-8,1)),OFFSET('4.1(2)新規再エネ導入予定（設備情報）'!$Z$1,MATCH($G67,'4.1(2)新規再エネ導入予定（設備情報）'!$G:$G,0)-1,0)),"")</f>
        <v/>
      </c>
      <c r="Y67" s="225">
        <f t="shared" si="12"/>
        <v>0</v>
      </c>
      <c r="Z67" s="226">
        <f t="shared" ca="1" si="23"/>
        <v>0</v>
      </c>
      <c r="AA67" s="225">
        <f t="shared" si="28"/>
        <v>0</v>
      </c>
      <c r="AB67" s="279">
        <f t="shared" ca="1" si="24"/>
        <v>1</v>
      </c>
      <c r="AC67" s="257" t="str">
        <f>IF(M67="","",IF(OR(M67="説明済",M67="協議中",M67="合意済"),1,0))</f>
        <v/>
      </c>
      <c r="AD67" s="257" t="str">
        <f t="shared" si="8"/>
        <v/>
      </c>
      <c r="AE67" s="257" t="str">
        <f t="shared" si="26"/>
        <v/>
      </c>
      <c r="AF67" s="257" t="str">
        <f t="shared" si="27"/>
        <v/>
      </c>
      <c r="AG67" s="257" t="str">
        <f t="shared" si="14"/>
        <v>E</v>
      </c>
      <c r="AH67" s="257" cm="1">
        <f t="array" ref="AH67">_xlfn.IFS(COUNTIF($N67:$P67,"合意済")=3,4,OR(COUNTIF($N67:$P67,"合意済")=2,COUNTIF($N67:$P67,"合意済")=1),3,COUNTIF($N67:$P67,"合意済")=0,2)</f>
        <v>2</v>
      </c>
      <c r="AI67" s="257" t="e">
        <f t="shared" ca="1" si="13"/>
        <v>#VALUE!</v>
      </c>
      <c r="AJ67" s="257" t="str">
        <f t="shared" ca="1" si="25"/>
        <v/>
      </c>
    </row>
    <row r="68" spans="2:36" ht="20">
      <c r="D68" s="190"/>
      <c r="E68" s="192" t="s">
        <v>439</v>
      </c>
      <c r="F68" s="193"/>
      <c r="G68" s="477"/>
      <c r="H68" s="478"/>
      <c r="I68" s="479"/>
      <c r="J68" s="480"/>
      <c r="K68" s="481"/>
      <c r="L68" s="481"/>
      <c r="M68" s="480"/>
      <c r="N68" s="480"/>
      <c r="O68" s="480"/>
      <c r="P68" s="480"/>
      <c r="Q68" s="503"/>
      <c r="R68" s="19"/>
      <c r="T68" s="490"/>
      <c r="V68" s="177">
        <f t="shared" si="5"/>
        <v>61</v>
      </c>
      <c r="W68" s="217">
        <f ca="1">IF(OFFSET('4.1(2)新規再エネ導入予定（設備情報）'!$O$1,MATCH(X68,'4.1(2)新規再エネ導入予定（設備情報）'!$Z:$Z,0)-1,0)="低圧",1,0)</f>
        <v>0</v>
      </c>
      <c r="X68" s="127" t="str">
        <f ca="1">IFERROR(IF(AND(G68="",L68&lt;&gt;""),MAX(OFFSET($X$8,0,0,ROW()-8,1)),OFFSET('4.1(2)新規再エネ導入予定（設備情報）'!$Z$1,MATCH($G68,'4.1(2)新規再エネ導入予定（設備情報）'!$G:$G,0)-1,0)),"")</f>
        <v/>
      </c>
      <c r="Y68" s="265">
        <f t="shared" si="12"/>
        <v>0</v>
      </c>
      <c r="Z68" s="263">
        <f t="shared" ca="1" si="23"/>
        <v>0</v>
      </c>
      <c r="AA68" s="265">
        <f t="shared" si="28"/>
        <v>0</v>
      </c>
      <c r="AB68" s="264">
        <f t="shared" ca="1" si="24"/>
        <v>1</v>
      </c>
      <c r="AC68" s="177" t="str">
        <f t="shared" ref="AC68:AC116" si="32">IF(M68="","",IF(OR(M68="説明済",M68="協議中",M68="合意済"),1,0))</f>
        <v/>
      </c>
      <c r="AD68" s="177" t="str">
        <f t="shared" ref="AD68:AD116" si="33">IF(N68="","",IF(OR(N68="説明済",N68="協議中",N68="合意済"),1,0))</f>
        <v/>
      </c>
      <c r="AE68" s="177" t="str">
        <f t="shared" si="26"/>
        <v/>
      </c>
      <c r="AF68" s="177" t="str">
        <f t="shared" si="27"/>
        <v/>
      </c>
      <c r="AG68" s="177" t="str">
        <f t="shared" si="14"/>
        <v>E</v>
      </c>
      <c r="AH68" s="177" cm="1">
        <f t="array" ref="AH68">_xlfn.IFS(COUNTIF($N68:$P68,"合意済")=3,4,OR(COUNTIF($N68:$P68,"合意済")=2,COUNTIF($N68:$P68,"合意済")=1),3,COUNTIF($N68:$P68,"合意済")=0,2)</f>
        <v>2</v>
      </c>
      <c r="AI68" s="177" t="e">
        <f t="shared" ca="1" si="13"/>
        <v>#VALUE!</v>
      </c>
      <c r="AJ68" s="177" t="str">
        <f t="shared" ca="1" si="25"/>
        <v/>
      </c>
    </row>
    <row r="69" spans="2:36" s="11" customFormat="1" hidden="1">
      <c r="B69" s="21"/>
      <c r="C69" s="21"/>
      <c r="D69" s="36"/>
      <c r="E69" s="126"/>
      <c r="F69" s="714"/>
      <c r="G69" s="482"/>
      <c r="H69" s="498"/>
      <c r="I69" s="499"/>
      <c r="J69" s="500"/>
      <c r="K69" s="501"/>
      <c r="L69" s="484"/>
      <c r="M69" s="487"/>
      <c r="N69" s="487"/>
      <c r="O69" s="487"/>
      <c r="P69" s="487"/>
      <c r="Q69" s="487"/>
      <c r="R69" s="24"/>
      <c r="S69" s="21"/>
      <c r="T69" s="487"/>
      <c r="V69" s="257">
        <f t="shared" si="5"/>
        <v>62</v>
      </c>
      <c r="W69" s="131">
        <f ca="1">IF(OFFSET('4.1(2)新規再エネ導入予定（設備情報）'!$O$1,MATCH(X69,'4.1(2)新規再エネ導入予定（設備情報）'!$Z:$Z,0)-1,0)="低圧",1,0)</f>
        <v>0</v>
      </c>
      <c r="X69" s="127" t="str">
        <f ca="1">IFERROR(IF(AND(G69="",L69&lt;&gt;""),MAX(OFFSET($X$8,0,0,ROW()-8,1)),OFFSET('4.1(2)新規再エネ導入予定（設備情報）'!$Z$1,MATCH($G69,'4.1(2)新規再エネ導入予定（設備情報）'!$G:$G,0)-1,0)),"")</f>
        <v/>
      </c>
      <c r="Y69" s="226">
        <f t="shared" si="12"/>
        <v>0</v>
      </c>
      <c r="Z69" s="226">
        <f t="shared" ca="1" si="23"/>
        <v>0</v>
      </c>
      <c r="AA69" s="226">
        <f t="shared" si="28"/>
        <v>0</v>
      </c>
      <c r="AB69" s="279">
        <f t="shared" ca="1" si="24"/>
        <v>1</v>
      </c>
      <c r="AC69" s="257" t="str">
        <f t="shared" si="32"/>
        <v/>
      </c>
      <c r="AD69" s="257" t="str">
        <f t="shared" si="33"/>
        <v/>
      </c>
      <c r="AE69" s="257" t="str">
        <f t="shared" si="26"/>
        <v/>
      </c>
      <c r="AF69" s="257" t="str">
        <f t="shared" si="27"/>
        <v/>
      </c>
      <c r="AG69" s="257" t="str">
        <f t="shared" si="14"/>
        <v>E</v>
      </c>
      <c r="AH69" s="257" cm="1">
        <f t="array" ref="AH69">_xlfn.IFS(COUNTIF($N69:$P69,"合意済")=3,4,OR(COUNTIF($N69:$P69,"合意済")=2,COUNTIF($N69:$P69,"合意済")=1),3,COUNTIF($N69:$P69,"合意済")=0,2)</f>
        <v>2</v>
      </c>
      <c r="AI69" s="257" t="e">
        <f t="shared" ca="1" si="13"/>
        <v>#VALUE!</v>
      </c>
      <c r="AJ69" s="257" t="str">
        <f t="shared" ca="1" si="25"/>
        <v/>
      </c>
    </row>
    <row r="70" spans="2:36" s="11" customFormat="1">
      <c r="B70" s="21"/>
      <c r="C70" s="21"/>
      <c r="D70" s="36"/>
      <c r="E70" s="126"/>
      <c r="F70" s="492" t="str">
        <f ca="1">IFERROR(OFFSET('4.1(2)新規再エネ導入予定（設備情報）'!$F$1,MATCH(G70,'4.1(2)新規再エネ導入予定（設備情報）'!$G:$G,0)-1,0),"")</f>
        <v/>
      </c>
      <c r="G70" s="483"/>
      <c r="H70" s="494" t="str">
        <f ca="1">IFERROR(OFFSET('4.1(2)新規再エネ導入予定（設備情報）'!$H$1,MATCH(G70,'4.1(2)新規再エネ導入予定（設備情報）'!$G:$G,0)-1,0)&amp;"","")</f>
        <v/>
      </c>
      <c r="I70" s="495" t="str">
        <f ca="1">IFERROR(OFFSET('4.1(2)新規再エネ導入予定（設備情報）'!$L$1,MATCH(G70,'4.1(2)新規再エネ導入予定（設備情報）'!$G:$G,0)-1,0),"")</f>
        <v/>
      </c>
      <c r="J70" s="496" t="str">
        <f ca="1">IFERROR(OFFSET('4.1(2)新規再エネ導入予定（設備情報）'!$O$1,MATCH(G70,'4.1(2)新規再エネ導入予定（設備情報）'!$G:$G,0)-1,0),"")</f>
        <v/>
      </c>
      <c r="K70" s="497" t="str">
        <f ca="1">IFERROR(OFFSET('4.1(2)新規再エネ導入予定（設備情報）'!$P$1,MATCH(G70,'4.1(2)新規再エネ導入予定（設備情報）'!$G:$G,0)-1,0),"")</f>
        <v/>
      </c>
      <c r="L70" s="486"/>
      <c r="M70" s="489"/>
      <c r="N70" s="489"/>
      <c r="O70" s="489"/>
      <c r="P70" s="489"/>
      <c r="Q70" s="489"/>
      <c r="R70" s="24"/>
      <c r="S70" s="21"/>
      <c r="T70" s="489"/>
      <c r="V70" s="257">
        <f t="shared" si="5"/>
        <v>63</v>
      </c>
      <c r="W70" s="131">
        <f ca="1">IF(OFFSET('4.1(2)新規再エネ導入予定（設備情報）'!$O$1,MATCH(X70,'4.1(2)新規再エネ導入予定（設備情報）'!$Z:$Z,0)-1,0)="低圧",1,0)</f>
        <v>0</v>
      </c>
      <c r="X70" s="127" t="str">
        <f ca="1">IFERROR(IF(AND(G70="",L70&lt;&gt;""),MAX(OFFSET($X$8,0,0,ROW()-8,1)),OFFSET('4.1(2)新規再エネ導入予定（設備情報）'!$Z$1,MATCH($G70,'4.1(2)新規再エネ導入予定（設備情報）'!$G:$G,0)-1,0)),"")</f>
        <v/>
      </c>
      <c r="Y70" s="225">
        <f t="shared" si="12"/>
        <v>0</v>
      </c>
      <c r="Z70" s="226">
        <f t="shared" ca="1" si="23"/>
        <v>0</v>
      </c>
      <c r="AA70" s="225">
        <f t="shared" si="28"/>
        <v>0</v>
      </c>
      <c r="AB70" s="279">
        <f t="shared" ca="1" si="24"/>
        <v>1</v>
      </c>
      <c r="AC70" s="257" t="str">
        <f t="shared" si="32"/>
        <v/>
      </c>
      <c r="AD70" s="257" t="str">
        <f t="shared" si="33"/>
        <v/>
      </c>
      <c r="AE70" s="257" t="str">
        <f t="shared" si="26"/>
        <v/>
      </c>
      <c r="AF70" s="257" t="str">
        <f t="shared" si="27"/>
        <v/>
      </c>
      <c r="AG70" s="257" t="str">
        <f t="shared" si="14"/>
        <v>E</v>
      </c>
      <c r="AH70" s="257" cm="1">
        <f t="array" ref="AH70">_xlfn.IFS(COUNTIF($N70:$P70,"合意済")=3,4,OR(COUNTIF($N70:$P70,"合意済")=2,COUNTIF($N70:$P70,"合意済")=1),3,COUNTIF($N70:$P70,"合意済")=0,2)</f>
        <v>2</v>
      </c>
      <c r="AI70" s="257" t="e">
        <f t="shared" ca="1" si="13"/>
        <v>#VALUE!</v>
      </c>
      <c r="AJ70" s="257" t="str">
        <f t="shared" ca="1" si="25"/>
        <v/>
      </c>
    </row>
    <row r="71" spans="2:36" s="11" customFormat="1">
      <c r="B71" s="21"/>
      <c r="C71" s="21"/>
      <c r="D71" s="36"/>
      <c r="E71" s="126"/>
      <c r="F71" s="492" t="str">
        <f ca="1">IFERROR(OFFSET('4.1(2)新規再エネ導入予定（設備情報）'!$F$1,MATCH(G71,'4.1(2)新規再エネ導入予定（設備情報）'!$G:$G,0)-1,0),"")</f>
        <v/>
      </c>
      <c r="G71" s="483"/>
      <c r="H71" s="494" t="str">
        <f ca="1">IFERROR(OFFSET('4.1(2)新規再エネ導入予定（設備情報）'!$H$1,MATCH(G71,'4.1(2)新規再エネ導入予定（設備情報）'!$G:$G,0)-1,0)&amp;"","")</f>
        <v/>
      </c>
      <c r="I71" s="495" t="str">
        <f ca="1">IFERROR(OFFSET('4.1(2)新規再エネ導入予定（設備情報）'!$L$1,MATCH(G71,'4.1(2)新規再エネ導入予定（設備情報）'!$G:$G,0)-1,0),"")</f>
        <v/>
      </c>
      <c r="J71" s="496" t="str">
        <f ca="1">IFERROR(OFFSET('4.1(2)新規再エネ導入予定（設備情報）'!$O$1,MATCH(G71,'4.1(2)新規再エネ導入予定（設備情報）'!$G:$G,0)-1,0),"")</f>
        <v/>
      </c>
      <c r="K71" s="497" t="str">
        <f ca="1">IFERROR(OFFSET('4.1(2)新規再エネ導入予定（設備情報）'!$P$1,MATCH(G71,'4.1(2)新規再エネ導入予定（設備情報）'!$G:$G,0)-1,0),"")</f>
        <v/>
      </c>
      <c r="L71" s="486"/>
      <c r="M71" s="489"/>
      <c r="N71" s="489"/>
      <c r="O71" s="489"/>
      <c r="P71" s="489"/>
      <c r="Q71" s="489"/>
      <c r="R71" s="24"/>
      <c r="S71" s="21"/>
      <c r="T71" s="489"/>
      <c r="V71" s="257">
        <f t="shared" si="5"/>
        <v>64</v>
      </c>
      <c r="W71" s="131">
        <f ca="1">IF(OFFSET('4.1(2)新規再エネ導入予定（設備情報）'!$O$1,MATCH(X71,'4.1(2)新規再エネ導入予定（設備情報）'!$Z:$Z,0)-1,0)="低圧",1,0)</f>
        <v>0</v>
      </c>
      <c r="X71" s="127" t="str">
        <f ca="1">IFERROR(IF(AND(G71="",L71&lt;&gt;""),MAX(OFFSET($X$8,0,0,ROW()-8,1)),OFFSET('4.1(2)新規再エネ導入予定（設備情報）'!$Z$1,MATCH($G71,'4.1(2)新規再エネ導入予定（設備情報）'!$G:$G,0)-1,0)),"")</f>
        <v/>
      </c>
      <c r="Y71" s="225">
        <f t="shared" ref="Y71" si="34">IF(T71="○",1,0)</f>
        <v>0</v>
      </c>
      <c r="Z71" s="226">
        <f t="shared" ca="1" si="23"/>
        <v>0</v>
      </c>
      <c r="AA71" s="225">
        <f t="shared" si="28"/>
        <v>0</v>
      </c>
      <c r="AB71" s="279">
        <f t="shared" ca="1" si="24"/>
        <v>1</v>
      </c>
      <c r="AC71" s="257" t="str">
        <f t="shared" ref="AC71" si="35">IF(M71="","",IF(OR(M71="説明済",M71="協議中",M71="合意済"),1,0))</f>
        <v/>
      </c>
      <c r="AD71" s="257" t="str">
        <f t="shared" ref="AD71" si="36">IF(N71="","",IF(OR(N71="説明済",N71="協議中",N71="合意済"),1,0))</f>
        <v/>
      </c>
      <c r="AE71" s="257" t="str">
        <f t="shared" si="26"/>
        <v/>
      </c>
      <c r="AF71" s="257" t="str">
        <f t="shared" si="27"/>
        <v/>
      </c>
      <c r="AG71" s="257" t="str">
        <f t="shared" si="14"/>
        <v>E</v>
      </c>
      <c r="AH71" s="257" cm="1">
        <f t="array" ref="AH71">_xlfn.IFS(COUNTIF($N71:$P71,"合意済")=3,4,OR(COUNTIF($N71:$P71,"合意済")=2,COUNTIF($N71:$P71,"合意済")=1),3,COUNTIF($N71:$P71,"合意済")=0,2)</f>
        <v>2</v>
      </c>
      <c r="AI71" s="257" t="e">
        <f t="shared" ca="1" si="13"/>
        <v>#VALUE!</v>
      </c>
      <c r="AJ71" s="257" t="str">
        <f t="shared" ca="1" si="25"/>
        <v/>
      </c>
    </row>
    <row r="72" spans="2:36" s="11" customFormat="1">
      <c r="B72" s="21"/>
      <c r="C72" s="21"/>
      <c r="D72" s="36"/>
      <c r="E72" s="126"/>
      <c r="F72" s="492" t="str">
        <f ca="1">IFERROR(OFFSET('4.1(2)新規再エネ導入予定（設備情報）'!$F$1,MATCH(G72,'4.1(2)新規再エネ導入予定（設備情報）'!$G:$G,0)-1,0),"")</f>
        <v/>
      </c>
      <c r="G72" s="483"/>
      <c r="H72" s="494" t="str">
        <f ca="1">IFERROR(OFFSET('4.1(2)新規再エネ導入予定（設備情報）'!$H$1,MATCH(G72,'4.1(2)新規再エネ導入予定（設備情報）'!$G:$G,0)-1,0)&amp;"","")</f>
        <v/>
      </c>
      <c r="I72" s="495" t="str">
        <f ca="1">IFERROR(OFFSET('4.1(2)新規再エネ導入予定（設備情報）'!$L$1,MATCH(G72,'4.1(2)新規再エネ導入予定（設備情報）'!$G:$G,0)-1,0),"")</f>
        <v/>
      </c>
      <c r="J72" s="496" t="str">
        <f ca="1">IFERROR(OFFSET('4.1(2)新規再エネ導入予定（設備情報）'!$O$1,MATCH(G72,'4.1(2)新規再エネ導入予定（設備情報）'!$G:$G,0)-1,0),"")</f>
        <v/>
      </c>
      <c r="K72" s="497" t="str">
        <f ca="1">IFERROR(OFFSET('4.1(2)新規再エネ導入予定（設備情報）'!$P$1,MATCH(G72,'4.1(2)新規再エネ導入予定（設備情報）'!$G:$G,0)-1,0),"")</f>
        <v/>
      </c>
      <c r="L72" s="486"/>
      <c r="M72" s="489"/>
      <c r="N72" s="489"/>
      <c r="O72" s="489"/>
      <c r="P72" s="489"/>
      <c r="Q72" s="489"/>
      <c r="R72" s="24"/>
      <c r="S72" s="21"/>
      <c r="T72" s="489"/>
      <c r="V72" s="257">
        <f t="shared" si="5"/>
        <v>65</v>
      </c>
      <c r="W72" s="131">
        <f ca="1">IF(OFFSET('4.1(2)新規再エネ導入予定（設備情報）'!$O$1,MATCH(X72,'4.1(2)新規再エネ導入予定（設備情報）'!$Z:$Z,0)-1,0)="低圧",1,0)</f>
        <v>0</v>
      </c>
      <c r="X72" s="127" t="str">
        <f ca="1">IFERROR(IF(AND(G72="",L72&lt;&gt;""),MAX(OFFSET($X$8,0,0,ROW()-8,1)),OFFSET('4.1(2)新規再エネ導入予定（設備情報）'!$Z$1,MATCH($G72,'4.1(2)新規再エネ導入予定（設備情報）'!$G:$G,0)-1,0)),"")</f>
        <v/>
      </c>
      <c r="Y72" s="225">
        <f t="shared" si="12"/>
        <v>0</v>
      </c>
      <c r="Z72" s="226">
        <f t="shared" ref="Z72:Z103" ca="1" si="37">SUMIF($X$8:$X$171,X72,$Y$8:$Y$171)</f>
        <v>0</v>
      </c>
      <c r="AA72" s="225">
        <f t="shared" si="28"/>
        <v>0</v>
      </c>
      <c r="AB72" s="279">
        <f t="shared" ref="AB72:AB103" ca="1" si="38">IF(COUNTIFS($X$8:$X$171,X72,$Y$8:$Y$171,1)=0,1,COUNTIFS($X$8:$X$171,X72,$Y$8:$Y$171,1,$AA$8:$AA$171,1))</f>
        <v>1</v>
      </c>
      <c r="AC72" s="257" t="str">
        <f t="shared" si="32"/>
        <v/>
      </c>
      <c r="AD72" s="257" t="str">
        <f t="shared" si="33"/>
        <v/>
      </c>
      <c r="AE72" s="257" t="str">
        <f t="shared" si="26"/>
        <v/>
      </c>
      <c r="AF72" s="257" t="str">
        <f t="shared" si="27"/>
        <v/>
      </c>
      <c r="AG72" s="257" t="str">
        <f t="shared" si="14"/>
        <v>E</v>
      </c>
      <c r="AH72" s="257" cm="1">
        <f t="array" ref="AH72">_xlfn.IFS(COUNTIF($N72:$P72,"合意済")=3,4,OR(COUNTIF($N72:$P72,"合意済")=2,COUNTIF($N72:$P72,"合意済")=1),3,COUNTIF($N72:$P72,"合意済")=0,2)</f>
        <v>2</v>
      </c>
      <c r="AI72" s="257" t="e">
        <f t="shared" ca="1" si="13"/>
        <v>#VALUE!</v>
      </c>
      <c r="AJ72" s="257" t="str">
        <f t="shared" ref="AJ72:AJ103" ca="1" si="39">IFERROR(_xlfn.MINIFS($AI$8:$AI$171,$X$8:$X$171,X72),"")</f>
        <v/>
      </c>
    </row>
    <row r="73" spans="2:36" s="11" customFormat="1">
      <c r="B73" s="21"/>
      <c r="C73" s="21"/>
      <c r="D73" s="36"/>
      <c r="E73" s="126"/>
      <c r="F73" s="493" t="str">
        <f ca="1">IFERROR(OFFSET('4.1(2)新規再エネ導入予定（設備情報）'!$F$1,MATCH(G73,'4.1(2)新規再エネ導入予定（設備情報）'!$G:$G,0)-1,0),"")</f>
        <v/>
      </c>
      <c r="G73" s="483"/>
      <c r="H73" s="494" t="str">
        <f ca="1">IFERROR(OFFSET('4.1(2)新規再エネ導入予定（設備情報）'!$H$1,MATCH(G73,'4.1(2)新規再エネ導入予定（設備情報）'!$G:$G,0)-1,0)&amp;"","")</f>
        <v/>
      </c>
      <c r="I73" s="495" t="str">
        <f ca="1">IFERROR(OFFSET('4.1(2)新規再エネ導入予定（設備情報）'!$L$1,MATCH(G73,'4.1(2)新規再エネ導入予定（設備情報）'!$G:$G,0)-1,0),"")</f>
        <v/>
      </c>
      <c r="J73" s="496" t="str">
        <f ca="1">IFERROR(OFFSET('4.1(2)新規再エネ導入予定（設備情報）'!$O$1,MATCH(G73,'4.1(2)新規再エネ導入予定（設備情報）'!$G:$G,0)-1,0),"")</f>
        <v/>
      </c>
      <c r="K73" s="497" t="str">
        <f ca="1">IFERROR(OFFSET('4.1(2)新規再エネ導入予定（設備情報）'!$P$1,MATCH(G73,'4.1(2)新規再エネ導入予定（設備情報）'!$G:$G,0)-1,0),"")</f>
        <v/>
      </c>
      <c r="L73" s="486"/>
      <c r="M73" s="489"/>
      <c r="N73" s="489"/>
      <c r="O73" s="489"/>
      <c r="P73" s="489"/>
      <c r="Q73" s="489"/>
      <c r="R73" s="24"/>
      <c r="S73" s="21"/>
      <c r="T73" s="489"/>
      <c r="V73" s="257">
        <f t="shared" ref="V73:V136" si="40">ROW()-7</f>
        <v>66</v>
      </c>
      <c r="W73" s="131">
        <f ca="1">IF(OFFSET('4.1(2)新規再エネ導入予定（設備情報）'!$O$1,MATCH(X73,'4.1(2)新規再エネ導入予定（設備情報）'!$Z:$Z,0)-1,0)="低圧",1,0)</f>
        <v>0</v>
      </c>
      <c r="X73" s="127" t="str">
        <f ca="1">IFERROR(IF(AND(G73="",L73&lt;&gt;""),MAX(OFFSET($X$8,0,0,ROW()-8,1)),OFFSET('4.1(2)新規再エネ導入予定（設備情報）'!$Z$1,MATCH($G73,'4.1(2)新規再エネ導入予定（設備情報）'!$G:$G,0)-1,0)),"")</f>
        <v/>
      </c>
      <c r="Y73" s="225">
        <f t="shared" si="12"/>
        <v>0</v>
      </c>
      <c r="Z73" s="226">
        <f t="shared" ca="1" si="37"/>
        <v>0</v>
      </c>
      <c r="AA73" s="225">
        <f t="shared" si="28"/>
        <v>0</v>
      </c>
      <c r="AB73" s="279">
        <f t="shared" ca="1" si="38"/>
        <v>1</v>
      </c>
      <c r="AC73" s="257" t="str">
        <f t="shared" si="32"/>
        <v/>
      </c>
      <c r="AD73" s="257" t="str">
        <f t="shared" si="33"/>
        <v/>
      </c>
      <c r="AE73" s="257" t="str">
        <f t="shared" ref="AE73:AE104" si="41">IF(O73="","",IF(OR(O73="説明済",O73="協議中",O73="合意済"),1,0))</f>
        <v/>
      </c>
      <c r="AF73" s="257" t="str">
        <f t="shared" ref="AF73:AF104" si="42">IF(P73="","",IF(OR(P73="説明済",P73="協議中",P73="合意済"),1,0))</f>
        <v/>
      </c>
      <c r="AG73" s="257" t="str">
        <f t="shared" ref="AG73:AG136" si="43">IF(COUNTBLANK(AD73:AF73)=0,IF(W73=1,AC73,PRODUCT(AD73:AF73)),"E")</f>
        <v>E</v>
      </c>
      <c r="AH73" s="257" cm="1">
        <f t="array" ref="AH73">_xlfn.IFS(COUNTIF($N73:$P73,"合意済")=3,4,OR(COUNTIF($N73:$P73,"合意済")=2,COUNTIF($N73:$P73,"合意済")=1),3,COUNTIF($N73:$P73,"合意済")=0,2)</f>
        <v>2</v>
      </c>
      <c r="AI73" s="257" t="e">
        <f t="shared" ca="1" si="13"/>
        <v>#VALUE!</v>
      </c>
      <c r="AJ73" s="257" t="str">
        <f t="shared" ca="1" si="39"/>
        <v/>
      </c>
    </row>
    <row r="74" spans="2:36" ht="20">
      <c r="D74" s="190"/>
      <c r="E74" s="192" t="s">
        <v>25</v>
      </c>
      <c r="F74" s="193"/>
      <c r="G74" s="477"/>
      <c r="H74" s="478"/>
      <c r="I74" s="479"/>
      <c r="J74" s="480"/>
      <c r="K74" s="481"/>
      <c r="L74" s="481"/>
      <c r="M74" s="480"/>
      <c r="N74" s="480"/>
      <c r="O74" s="480"/>
      <c r="P74" s="480"/>
      <c r="Q74" s="503"/>
      <c r="R74" s="19"/>
      <c r="T74" s="490"/>
      <c r="V74" s="177">
        <f t="shared" si="40"/>
        <v>67</v>
      </c>
      <c r="W74" s="217">
        <f ca="1">IF(OFFSET('4.1(2)新規再エネ導入予定（設備情報）'!$O$1,MATCH(X74,'4.1(2)新規再エネ導入予定（設備情報）'!$Z:$Z,0)-1,0)="低圧",1,0)</f>
        <v>0</v>
      </c>
      <c r="X74" s="127" t="str">
        <f ca="1">IFERROR(IF(AND(G74="",L74&lt;&gt;""),MAX(OFFSET($X$8,0,0,ROW()-8,1)),OFFSET('4.1(2)新規再エネ導入予定（設備情報）'!$Z$1,MATCH($G74,'4.1(2)新規再エネ導入予定（設備情報）'!$G:$G,0)-1,0)),"")</f>
        <v/>
      </c>
      <c r="Y74" s="265">
        <f t="shared" ref="Y74:Y122" si="44">IF(T74="○",1,0)</f>
        <v>0</v>
      </c>
      <c r="Z74" s="263">
        <f t="shared" ca="1" si="37"/>
        <v>0</v>
      </c>
      <c r="AA74" s="265">
        <f t="shared" si="28"/>
        <v>0</v>
      </c>
      <c r="AB74" s="264">
        <f t="shared" ca="1" si="38"/>
        <v>1</v>
      </c>
      <c r="AC74" s="177" t="str">
        <f t="shared" si="32"/>
        <v/>
      </c>
      <c r="AD74" s="177" t="str">
        <f t="shared" si="33"/>
        <v/>
      </c>
      <c r="AE74" s="177" t="str">
        <f t="shared" si="41"/>
        <v/>
      </c>
      <c r="AF74" s="177" t="str">
        <f t="shared" si="42"/>
        <v/>
      </c>
      <c r="AG74" s="177" t="str">
        <f t="shared" si="43"/>
        <v>E</v>
      </c>
      <c r="AH74" s="177" cm="1">
        <f t="array" ref="AH74">_xlfn.IFS(COUNTIF($N74:$P74,"合意済")=3,4,OR(COUNTIF($N74:$P74,"合意済")=2,COUNTIF($N74:$P74,"合意済")=1),3,COUNTIF($N74:$P74,"合意済")=0,2)</f>
        <v>2</v>
      </c>
      <c r="AI74" s="177" t="e">
        <f t="shared" ca="1" si="13"/>
        <v>#VALUE!</v>
      </c>
      <c r="AJ74" s="177" t="str">
        <f t="shared" ca="1" si="39"/>
        <v/>
      </c>
    </row>
    <row r="75" spans="2:36" s="11" customFormat="1" hidden="1">
      <c r="B75" s="21"/>
      <c r="C75" s="21"/>
      <c r="D75" s="36"/>
      <c r="E75" s="126"/>
      <c r="F75" s="714"/>
      <c r="G75" s="482"/>
      <c r="H75" s="498"/>
      <c r="I75" s="499"/>
      <c r="J75" s="500"/>
      <c r="K75" s="501"/>
      <c r="L75" s="484"/>
      <c r="M75" s="487"/>
      <c r="N75" s="487"/>
      <c r="O75" s="487"/>
      <c r="P75" s="487"/>
      <c r="Q75" s="487"/>
      <c r="R75" s="24"/>
      <c r="S75" s="21"/>
      <c r="T75" s="487"/>
      <c r="V75" s="257">
        <f t="shared" si="40"/>
        <v>68</v>
      </c>
      <c r="W75" s="131">
        <f ca="1">IF(OFFSET('4.1(2)新規再エネ導入予定（設備情報）'!$O$1,MATCH(X75,'4.1(2)新規再エネ導入予定（設備情報）'!$Z:$Z,0)-1,0)="低圧",1,0)</f>
        <v>0</v>
      </c>
      <c r="X75" s="127" t="str">
        <f ca="1">IFERROR(IF(AND(G75="",L75&lt;&gt;""),MAX(OFFSET($X$8,0,0,ROW()-8,1)),OFFSET('4.1(2)新規再エネ導入予定（設備情報）'!$Z$1,MATCH($G75,'4.1(2)新規再エネ導入予定（設備情報）'!$G:$G,0)-1,0)),"")</f>
        <v/>
      </c>
      <c r="Y75" s="226">
        <f t="shared" si="44"/>
        <v>0</v>
      </c>
      <c r="Z75" s="226">
        <f t="shared" ca="1" si="37"/>
        <v>0</v>
      </c>
      <c r="AA75" s="226">
        <f t="shared" si="28"/>
        <v>0</v>
      </c>
      <c r="AB75" s="279">
        <f t="shared" ca="1" si="38"/>
        <v>1</v>
      </c>
      <c r="AC75" s="257" t="str">
        <f t="shared" si="32"/>
        <v/>
      </c>
      <c r="AD75" s="257" t="str">
        <f t="shared" si="33"/>
        <v/>
      </c>
      <c r="AE75" s="257" t="str">
        <f t="shared" si="41"/>
        <v/>
      </c>
      <c r="AF75" s="257" t="str">
        <f t="shared" si="42"/>
        <v/>
      </c>
      <c r="AG75" s="257" t="str">
        <f t="shared" si="43"/>
        <v>E</v>
      </c>
      <c r="AH75" s="257" cm="1">
        <f t="array" ref="AH75">_xlfn.IFS(COUNTIF($N75:$P75,"合意済")=3,4,OR(COUNTIF($N75:$P75,"合意済")=2,COUNTIF($N75:$P75,"合意済")=1),3,COUNTIF($N75:$P75,"合意済")=0,2)</f>
        <v>2</v>
      </c>
      <c r="AI75" s="257" t="e">
        <f t="shared" ca="1" si="13"/>
        <v>#VALUE!</v>
      </c>
      <c r="AJ75" s="257" t="str">
        <f t="shared" ca="1" si="39"/>
        <v/>
      </c>
    </row>
    <row r="76" spans="2:36" s="11" customFormat="1">
      <c r="B76" s="21"/>
      <c r="C76" s="21"/>
      <c r="D76" s="36"/>
      <c r="E76" s="126"/>
      <c r="F76" s="492" t="str">
        <f ca="1">IFERROR(OFFSET('4.1(2)新規再エネ導入予定（設備情報）'!$F$1,MATCH(G76,'4.1(2)新規再エネ導入予定（設備情報）'!$G:$G,0)-1,0),"")</f>
        <v/>
      </c>
      <c r="G76" s="483"/>
      <c r="H76" s="494" t="str">
        <f ca="1">IFERROR(OFFSET('4.1(2)新規再エネ導入予定（設備情報）'!$H$1,MATCH(G76,'4.1(2)新規再エネ導入予定（設備情報）'!$G:$G,0)-1,0)&amp;"","")</f>
        <v/>
      </c>
      <c r="I76" s="495" t="str">
        <f ca="1">IFERROR(OFFSET('4.1(2)新規再エネ導入予定（設備情報）'!$L$1,MATCH(G76,'4.1(2)新規再エネ導入予定（設備情報）'!$G:$G,0)-1,0),"")</f>
        <v/>
      </c>
      <c r="J76" s="496" t="str">
        <f ca="1">IFERROR(OFFSET('4.1(2)新規再エネ導入予定（設備情報）'!$O$1,MATCH(G76,'4.1(2)新規再エネ導入予定（設備情報）'!$G:$G,0)-1,0),"")</f>
        <v/>
      </c>
      <c r="K76" s="497" t="str">
        <f ca="1">IFERROR(OFFSET('4.1(2)新規再エネ導入予定（設備情報）'!$P$1,MATCH(G76,'4.1(2)新規再エネ導入予定（設備情報）'!$G:$G,0)-1,0),"")</f>
        <v/>
      </c>
      <c r="L76" s="486"/>
      <c r="M76" s="489"/>
      <c r="N76" s="489"/>
      <c r="O76" s="489"/>
      <c r="P76" s="489"/>
      <c r="Q76" s="489"/>
      <c r="R76" s="24"/>
      <c r="S76" s="21"/>
      <c r="T76" s="489"/>
      <c r="V76" s="257">
        <f t="shared" si="40"/>
        <v>69</v>
      </c>
      <c r="W76" s="131">
        <f ca="1">IF(OFFSET('4.1(2)新規再エネ導入予定（設備情報）'!$O$1,MATCH(X76,'4.1(2)新規再エネ導入予定（設備情報）'!$Z:$Z,0)-1,0)="低圧",1,0)</f>
        <v>0</v>
      </c>
      <c r="X76" s="127" t="str">
        <f ca="1">IFERROR(IF(AND(G76="",L76&lt;&gt;""),MAX(OFFSET($X$8,0,0,ROW()-8,1)),OFFSET('4.1(2)新規再エネ導入予定（設備情報）'!$Z$1,MATCH($G76,'4.1(2)新規再エネ導入予定（設備情報）'!$G:$G,0)-1,0)),"")</f>
        <v/>
      </c>
      <c r="Y76" s="225">
        <f t="shared" si="44"/>
        <v>0</v>
      </c>
      <c r="Z76" s="226">
        <f t="shared" ca="1" si="37"/>
        <v>0</v>
      </c>
      <c r="AA76" s="225">
        <f t="shared" si="28"/>
        <v>0</v>
      </c>
      <c r="AB76" s="279">
        <f t="shared" ca="1" si="38"/>
        <v>1</v>
      </c>
      <c r="AC76" s="257" t="str">
        <f t="shared" si="32"/>
        <v/>
      </c>
      <c r="AD76" s="257" t="str">
        <f t="shared" si="33"/>
        <v/>
      </c>
      <c r="AE76" s="257" t="str">
        <f t="shared" si="41"/>
        <v/>
      </c>
      <c r="AF76" s="257" t="str">
        <f t="shared" si="42"/>
        <v/>
      </c>
      <c r="AG76" s="257" t="str">
        <f t="shared" si="43"/>
        <v>E</v>
      </c>
      <c r="AH76" s="257" cm="1">
        <f t="array" ref="AH76">_xlfn.IFS(COUNTIF($N76:$P76,"合意済")=3,4,OR(COUNTIF($N76:$P76,"合意済")=2,COUNTIF($N76:$P76,"合意済")=1),3,COUNTIF($N76:$P76,"合意済")=0,2)</f>
        <v>2</v>
      </c>
      <c r="AI76" s="257" t="e">
        <f t="shared" ca="1" si="13"/>
        <v>#VALUE!</v>
      </c>
      <c r="AJ76" s="257" t="str">
        <f t="shared" ca="1" si="39"/>
        <v/>
      </c>
    </row>
    <row r="77" spans="2:36" s="11" customFormat="1">
      <c r="B77" s="21"/>
      <c r="C77" s="21"/>
      <c r="D77" s="36"/>
      <c r="E77" s="126"/>
      <c r="F77" s="492" t="str">
        <f ca="1">IFERROR(OFFSET('4.1(2)新規再エネ導入予定（設備情報）'!$F$1,MATCH(G77,'4.1(2)新規再エネ導入予定（設備情報）'!$G:$G,0)-1,0),"")</f>
        <v/>
      </c>
      <c r="G77" s="483"/>
      <c r="H77" s="494" t="str">
        <f ca="1">IFERROR(OFFSET('4.1(2)新規再エネ導入予定（設備情報）'!$H$1,MATCH(G77,'4.1(2)新規再エネ導入予定（設備情報）'!$G:$G,0)-1,0)&amp;"","")</f>
        <v/>
      </c>
      <c r="I77" s="495" t="str">
        <f ca="1">IFERROR(OFFSET('4.1(2)新規再エネ導入予定（設備情報）'!$L$1,MATCH(G77,'4.1(2)新規再エネ導入予定（設備情報）'!$G:$G,0)-1,0),"")</f>
        <v/>
      </c>
      <c r="J77" s="496" t="str">
        <f ca="1">IFERROR(OFFSET('4.1(2)新規再エネ導入予定（設備情報）'!$O$1,MATCH(G77,'4.1(2)新規再エネ導入予定（設備情報）'!$G:$G,0)-1,0),"")</f>
        <v/>
      </c>
      <c r="K77" s="497" t="str">
        <f ca="1">IFERROR(OFFSET('4.1(2)新規再エネ導入予定（設備情報）'!$P$1,MATCH(G77,'4.1(2)新規再エネ導入予定（設備情報）'!$G:$G,0)-1,0),"")</f>
        <v/>
      </c>
      <c r="L77" s="486"/>
      <c r="M77" s="489"/>
      <c r="N77" s="489"/>
      <c r="O77" s="489"/>
      <c r="P77" s="489"/>
      <c r="Q77" s="489"/>
      <c r="R77" s="24"/>
      <c r="S77" s="21"/>
      <c r="T77" s="489"/>
      <c r="V77" s="257">
        <f t="shared" si="40"/>
        <v>70</v>
      </c>
      <c r="W77" s="131">
        <f ca="1">IF(OFFSET('4.1(2)新規再エネ導入予定（設備情報）'!$O$1,MATCH(X77,'4.1(2)新規再エネ導入予定（設備情報）'!$Z:$Z,0)-1,0)="低圧",1,0)</f>
        <v>0</v>
      </c>
      <c r="X77" s="127" t="str">
        <f ca="1">IFERROR(IF(AND(G77="",L77&lt;&gt;""),MAX(OFFSET($X$8,0,0,ROW()-8,1)),OFFSET('4.1(2)新規再エネ導入予定（設備情報）'!$Z$1,MATCH($G77,'4.1(2)新規再エネ導入予定（設備情報）'!$G:$G,0)-1,0)),"")</f>
        <v/>
      </c>
      <c r="Y77" s="225">
        <f t="shared" si="44"/>
        <v>0</v>
      </c>
      <c r="Z77" s="226">
        <f t="shared" ca="1" si="37"/>
        <v>0</v>
      </c>
      <c r="AA77" s="225">
        <f t="shared" si="28"/>
        <v>0</v>
      </c>
      <c r="AB77" s="279">
        <f t="shared" ca="1" si="38"/>
        <v>1</v>
      </c>
      <c r="AC77" s="257" t="str">
        <f t="shared" si="32"/>
        <v/>
      </c>
      <c r="AD77" s="257" t="str">
        <f t="shared" si="33"/>
        <v/>
      </c>
      <c r="AE77" s="257" t="str">
        <f t="shared" si="41"/>
        <v/>
      </c>
      <c r="AF77" s="257" t="str">
        <f t="shared" si="42"/>
        <v/>
      </c>
      <c r="AG77" s="257" t="str">
        <f t="shared" si="43"/>
        <v>E</v>
      </c>
      <c r="AH77" s="257" cm="1">
        <f t="array" ref="AH77">_xlfn.IFS(COUNTIF($N77:$P77,"合意済")=3,4,OR(COUNTIF($N77:$P77,"合意済")=2,COUNTIF($N77:$P77,"合意済")=1),3,COUNTIF($N77:$P77,"合意済")=0,2)</f>
        <v>2</v>
      </c>
      <c r="AI77" s="257" t="e">
        <f t="shared" ref="AI77:AI140" ca="1" si="45">IF(AND(W77*AA77*AC77=1,AD77*AE77*AF77=0),2,AB77*AC77*AG77*(AH77))</f>
        <v>#VALUE!</v>
      </c>
      <c r="AJ77" s="257" t="str">
        <f t="shared" ca="1" si="39"/>
        <v/>
      </c>
    </row>
    <row r="78" spans="2:36" s="11" customFormat="1">
      <c r="B78" s="21"/>
      <c r="C78" s="21"/>
      <c r="D78" s="36"/>
      <c r="E78" s="126"/>
      <c r="F78" s="492" t="str">
        <f ca="1">IFERROR(OFFSET('4.1(2)新規再エネ導入予定（設備情報）'!$F$1,MATCH(G78,'4.1(2)新規再エネ導入予定（設備情報）'!$G:$G,0)-1,0),"")</f>
        <v/>
      </c>
      <c r="G78" s="483"/>
      <c r="H78" s="494" t="str">
        <f ca="1">IFERROR(OFFSET('4.1(2)新規再エネ導入予定（設備情報）'!$H$1,MATCH(G78,'4.1(2)新規再エネ導入予定（設備情報）'!$G:$G,0)-1,0)&amp;"","")</f>
        <v/>
      </c>
      <c r="I78" s="495" t="str">
        <f ca="1">IFERROR(OFFSET('4.1(2)新規再エネ導入予定（設備情報）'!$L$1,MATCH(G78,'4.1(2)新規再エネ導入予定（設備情報）'!$G:$G,0)-1,0),"")</f>
        <v/>
      </c>
      <c r="J78" s="496" t="str">
        <f ca="1">IFERROR(OFFSET('4.1(2)新規再エネ導入予定（設備情報）'!$O$1,MATCH(G78,'4.1(2)新規再エネ導入予定（設備情報）'!$G:$G,0)-1,0),"")</f>
        <v/>
      </c>
      <c r="K78" s="497" t="str">
        <f ca="1">IFERROR(OFFSET('4.1(2)新規再エネ導入予定（設備情報）'!$P$1,MATCH(G78,'4.1(2)新規再エネ導入予定（設備情報）'!$G:$G,0)-1,0),"")</f>
        <v/>
      </c>
      <c r="L78" s="486"/>
      <c r="M78" s="489"/>
      <c r="N78" s="489"/>
      <c r="O78" s="489"/>
      <c r="P78" s="489"/>
      <c r="Q78" s="489"/>
      <c r="R78" s="24"/>
      <c r="S78" s="21"/>
      <c r="T78" s="489"/>
      <c r="V78" s="257">
        <f t="shared" si="40"/>
        <v>71</v>
      </c>
      <c r="W78" s="131">
        <f ca="1">IF(OFFSET('4.1(2)新規再エネ導入予定（設備情報）'!$O$1,MATCH(X78,'4.1(2)新規再エネ導入予定（設備情報）'!$Z:$Z,0)-1,0)="低圧",1,0)</f>
        <v>0</v>
      </c>
      <c r="X78" s="127" t="str">
        <f ca="1">IFERROR(IF(AND(G78="",L78&lt;&gt;""),MAX(OFFSET($X$8,0,0,ROW()-8,1)),OFFSET('4.1(2)新規再エネ導入予定（設備情報）'!$Z$1,MATCH($G78,'4.1(2)新規再エネ導入予定（設備情報）'!$G:$G,0)-1,0)),"")</f>
        <v/>
      </c>
      <c r="Y78" s="225">
        <f t="shared" si="44"/>
        <v>0</v>
      </c>
      <c r="Z78" s="226">
        <f t="shared" ca="1" si="37"/>
        <v>0</v>
      </c>
      <c r="AA78" s="225">
        <f t="shared" si="28"/>
        <v>0</v>
      </c>
      <c r="AB78" s="279">
        <f t="shared" ca="1" si="38"/>
        <v>1</v>
      </c>
      <c r="AC78" s="257" t="str">
        <f t="shared" si="32"/>
        <v/>
      </c>
      <c r="AD78" s="257" t="str">
        <f t="shared" si="33"/>
        <v/>
      </c>
      <c r="AE78" s="257" t="str">
        <f t="shared" si="41"/>
        <v/>
      </c>
      <c r="AF78" s="257" t="str">
        <f t="shared" si="42"/>
        <v/>
      </c>
      <c r="AG78" s="257" t="str">
        <f t="shared" si="43"/>
        <v>E</v>
      </c>
      <c r="AH78" s="257" cm="1">
        <f t="array" ref="AH78">_xlfn.IFS(COUNTIF($N78:$P78,"合意済")=3,4,OR(COUNTIF($N78:$P78,"合意済")=2,COUNTIF($N78:$P78,"合意済")=1),3,COUNTIF($N78:$P78,"合意済")=0,2)</f>
        <v>2</v>
      </c>
      <c r="AI78" s="257" t="e">
        <f t="shared" ca="1" si="45"/>
        <v>#VALUE!</v>
      </c>
      <c r="AJ78" s="257" t="str">
        <f t="shared" ca="1" si="39"/>
        <v/>
      </c>
    </row>
    <row r="79" spans="2:36" s="11" customFormat="1">
      <c r="B79" s="21"/>
      <c r="C79" s="21"/>
      <c r="D79" s="36"/>
      <c r="E79" s="126"/>
      <c r="F79" s="492" t="str">
        <f ca="1">IFERROR(OFFSET('4.1(2)新規再エネ導入予定（設備情報）'!$F$1,MATCH(G79,'4.1(2)新規再エネ導入予定（設備情報）'!$G:$G,0)-1,0),"")</f>
        <v/>
      </c>
      <c r="G79" s="483"/>
      <c r="H79" s="494" t="str">
        <f ca="1">IFERROR(OFFSET('4.1(2)新規再エネ導入予定（設備情報）'!$H$1,MATCH(G79,'4.1(2)新規再エネ導入予定（設備情報）'!$G:$G,0)-1,0)&amp;"","")</f>
        <v/>
      </c>
      <c r="I79" s="495" t="str">
        <f ca="1">IFERROR(OFFSET('4.1(2)新規再エネ導入予定（設備情報）'!$L$1,MATCH(G79,'4.1(2)新規再エネ導入予定（設備情報）'!$G:$G,0)-1,0),"")</f>
        <v/>
      </c>
      <c r="J79" s="496" t="str">
        <f ca="1">IFERROR(OFFSET('4.1(2)新規再エネ導入予定（設備情報）'!$O$1,MATCH(G79,'4.1(2)新規再エネ導入予定（設備情報）'!$G:$G,0)-1,0),"")</f>
        <v/>
      </c>
      <c r="K79" s="497" t="str">
        <f ca="1">IFERROR(OFFSET('4.1(2)新規再エネ導入予定（設備情報）'!$P$1,MATCH(G79,'4.1(2)新規再エネ導入予定（設備情報）'!$G:$G,0)-1,0),"")</f>
        <v/>
      </c>
      <c r="L79" s="486"/>
      <c r="M79" s="489"/>
      <c r="N79" s="489"/>
      <c r="O79" s="489"/>
      <c r="P79" s="489"/>
      <c r="Q79" s="489"/>
      <c r="R79" s="24"/>
      <c r="S79" s="21"/>
      <c r="T79" s="489"/>
      <c r="V79" s="257">
        <f t="shared" si="40"/>
        <v>72</v>
      </c>
      <c r="W79" s="131">
        <f ca="1">IF(OFFSET('4.1(2)新規再エネ導入予定（設備情報）'!$O$1,MATCH(X79,'4.1(2)新規再エネ導入予定（設備情報）'!$Z:$Z,0)-1,0)="低圧",1,0)</f>
        <v>0</v>
      </c>
      <c r="X79" s="127" t="str">
        <f ca="1">IFERROR(IF(AND(G79="",L79&lt;&gt;""),MAX(OFFSET($X$8,0,0,ROW()-8,1)),OFFSET('4.1(2)新規再エネ導入予定（設備情報）'!$Z$1,MATCH($G79,'4.1(2)新規再エネ導入予定（設備情報）'!$G:$G,0)-1,0)),"")</f>
        <v/>
      </c>
      <c r="Y79" s="225">
        <f t="shared" si="44"/>
        <v>0</v>
      </c>
      <c r="Z79" s="226">
        <f t="shared" ca="1" si="37"/>
        <v>0</v>
      </c>
      <c r="AA79" s="225">
        <f t="shared" si="28"/>
        <v>0</v>
      </c>
      <c r="AB79" s="279">
        <f t="shared" ca="1" si="38"/>
        <v>1</v>
      </c>
      <c r="AC79" s="257" t="str">
        <f t="shared" si="32"/>
        <v/>
      </c>
      <c r="AD79" s="257" t="str">
        <f t="shared" si="33"/>
        <v/>
      </c>
      <c r="AE79" s="257" t="str">
        <f t="shared" si="41"/>
        <v/>
      </c>
      <c r="AF79" s="257" t="str">
        <f t="shared" si="42"/>
        <v/>
      </c>
      <c r="AG79" s="257" t="str">
        <f t="shared" si="43"/>
        <v>E</v>
      </c>
      <c r="AH79" s="257" cm="1">
        <f t="array" ref="AH79">_xlfn.IFS(COUNTIF($N79:$P79,"合意済")=3,4,OR(COUNTIF($N79:$P79,"合意済")=2,COUNTIF($N79:$P79,"合意済")=1),3,COUNTIF($N79:$P79,"合意済")=0,2)</f>
        <v>2</v>
      </c>
      <c r="AI79" s="257" t="e">
        <f t="shared" ca="1" si="45"/>
        <v>#VALUE!</v>
      </c>
      <c r="AJ79" s="257" t="str">
        <f t="shared" ca="1" si="39"/>
        <v/>
      </c>
    </row>
    <row r="80" spans="2:36">
      <c r="D80" s="32"/>
      <c r="E80" s="241" t="s">
        <v>26</v>
      </c>
      <c r="F80" s="242"/>
      <c r="G80" s="266"/>
      <c r="H80" s="243"/>
      <c r="I80" s="267"/>
      <c r="J80" s="245"/>
      <c r="K80" s="502">
        <f ca="1">SUM(OFFSET(K8,0,0,ROW()-ROW(K8),1))</f>
        <v>0</v>
      </c>
      <c r="L80" s="253"/>
      <c r="M80" s="245"/>
      <c r="N80" s="245"/>
      <c r="O80" s="245"/>
      <c r="P80" s="245"/>
      <c r="Q80" s="245"/>
      <c r="R80" s="19"/>
      <c r="T80" s="245"/>
      <c r="V80" s="177">
        <f t="shared" si="40"/>
        <v>73</v>
      </c>
      <c r="W80" s="217">
        <f ca="1">IF(OFFSET('4.1(2)新規再エネ導入予定（設備情報）'!$O$1,MATCH(X80,'4.1(2)新規再エネ導入予定（設備情報）'!$Z:$Z,0)-1,0)="低圧",1,0)</f>
        <v>0</v>
      </c>
      <c r="X80" s="127" t="str">
        <f ca="1">IFERROR(IF(AND(G80="",L80&lt;&gt;""),MAX(OFFSET($X$8,0,0,ROW()-8,1)),OFFSET('4.1(2)新規再エネ導入予定（設備情報）'!$Z$1,MATCH($G80,'4.1(2)新規再エネ導入予定（設備情報）'!$G:$G,0)-1,0)),"")</f>
        <v/>
      </c>
      <c r="Y80" s="268">
        <f t="shared" si="44"/>
        <v>0</v>
      </c>
      <c r="Z80" s="263">
        <f t="shared" ca="1" si="37"/>
        <v>0</v>
      </c>
      <c r="AA80" s="268">
        <f t="shared" si="28"/>
        <v>0</v>
      </c>
      <c r="AB80" s="264">
        <f t="shared" ca="1" si="38"/>
        <v>1</v>
      </c>
      <c r="AC80" s="177" t="str">
        <f t="shared" si="32"/>
        <v/>
      </c>
      <c r="AD80" s="177" t="str">
        <f t="shared" si="33"/>
        <v/>
      </c>
      <c r="AE80" s="177" t="str">
        <f t="shared" si="41"/>
        <v/>
      </c>
      <c r="AF80" s="177" t="str">
        <f t="shared" si="42"/>
        <v/>
      </c>
      <c r="AG80" s="177" t="str">
        <f t="shared" si="43"/>
        <v>E</v>
      </c>
      <c r="AH80" s="177" cm="1">
        <f t="array" ref="AH80">_xlfn.IFS(COUNTIF($N80:$P80,"合意済")=3,4,OR(COUNTIF($N80:$P80,"合意済")=2,COUNTIF($N80:$P80,"合意済")=1),3,COUNTIF($N80:$P80,"合意済")=0,2)</f>
        <v>2</v>
      </c>
      <c r="AI80" s="177" t="e">
        <f t="shared" ca="1" si="45"/>
        <v>#VALUE!</v>
      </c>
      <c r="AJ80" s="177" t="str">
        <f t="shared" ca="1" si="39"/>
        <v/>
      </c>
    </row>
    <row r="81" spans="2:36" ht="15" customHeight="1">
      <c r="D81" s="46"/>
      <c r="E81" s="26"/>
      <c r="F81" s="34"/>
      <c r="G81" s="34"/>
      <c r="H81" s="34"/>
      <c r="I81" s="269"/>
      <c r="J81" s="34"/>
      <c r="K81" s="34"/>
      <c r="L81" s="34"/>
      <c r="M81" s="246"/>
      <c r="N81" s="246"/>
      <c r="O81" s="246"/>
      <c r="P81" s="246"/>
      <c r="Q81" s="246"/>
      <c r="R81" s="27"/>
      <c r="T81" s="249"/>
      <c r="U81" s="249"/>
      <c r="V81" s="177">
        <f t="shared" si="40"/>
        <v>74</v>
      </c>
      <c r="W81" s="217">
        <f ca="1">IF(OFFSET('4.1(2)新規再エネ導入予定（設備情報）'!$O$1,MATCH(X81,'4.1(2)新規再エネ導入予定（設備情報）'!$Z:$Z,0)-1,0)="低圧",1,0)</f>
        <v>0</v>
      </c>
      <c r="X81" s="127" t="str">
        <f ca="1">IFERROR(IF(AND(G81="",L81&lt;&gt;""),MAX(OFFSET($X$8,0,0,ROW()-8,1)),OFFSET('4.1(2)新規再エネ導入予定（設備情報）'!$Z$1,MATCH($G81,'4.1(2)新規再エネ導入予定（設備情報）'!$G:$G,0)-1,0)),"")</f>
        <v/>
      </c>
      <c r="Y81" s="224">
        <f t="shared" si="44"/>
        <v>0</v>
      </c>
      <c r="Z81" s="263">
        <f t="shared" ca="1" si="37"/>
        <v>0</v>
      </c>
      <c r="AA81" s="224">
        <f t="shared" si="28"/>
        <v>0</v>
      </c>
      <c r="AB81" s="264">
        <f t="shared" ca="1" si="38"/>
        <v>1</v>
      </c>
      <c r="AC81" s="177" t="str">
        <f t="shared" si="32"/>
        <v/>
      </c>
      <c r="AD81" s="177" t="str">
        <f t="shared" si="33"/>
        <v/>
      </c>
      <c r="AE81" s="177" t="str">
        <f t="shared" si="41"/>
        <v/>
      </c>
      <c r="AF81" s="177" t="str">
        <f t="shared" si="42"/>
        <v/>
      </c>
      <c r="AG81" s="177" t="str">
        <f t="shared" si="43"/>
        <v>E</v>
      </c>
      <c r="AH81" s="177" cm="1">
        <f t="array" ref="AH81">_xlfn.IFS(COUNTIF($N81:$P81,"合意済")=3,4,OR(COUNTIF($N81:$P81,"合意済")=2,COUNTIF($N81:$P81,"合意済")=1),3,COUNTIF($N81:$P81,"合意済")=0,2)</f>
        <v>2</v>
      </c>
      <c r="AI81" s="177" t="e">
        <f t="shared" ca="1" si="45"/>
        <v>#VALUE!</v>
      </c>
      <c r="AJ81" s="177" t="str">
        <f t="shared" ca="1" si="39"/>
        <v/>
      </c>
    </row>
    <row r="82" spans="2:36">
      <c r="F82" s="31"/>
      <c r="G82" s="31"/>
      <c r="H82" s="31"/>
      <c r="I82" s="270"/>
      <c r="J82" s="31"/>
      <c r="K82" s="31"/>
      <c r="L82" s="31"/>
      <c r="M82" s="249"/>
      <c r="N82" s="249"/>
      <c r="O82" s="249"/>
      <c r="P82" s="249"/>
      <c r="Q82" s="249"/>
      <c r="T82" s="249"/>
      <c r="U82" s="249"/>
      <c r="V82" s="177">
        <f t="shared" si="40"/>
        <v>75</v>
      </c>
      <c r="W82" s="217">
        <f ca="1">IF(OFFSET('4.1(2)新規再エネ導入予定（設備情報）'!$O$1,MATCH(X82,'4.1(2)新規再エネ導入予定（設備情報）'!$Z:$Z,0)-1,0)="低圧",1,0)</f>
        <v>0</v>
      </c>
      <c r="X82" s="127" t="str">
        <f ca="1">IFERROR(IF(AND(G82="",L82&lt;&gt;""),MAX(OFFSET($X$8,0,0,ROW()-8,1)),OFFSET('4.1(2)新規再エネ導入予定（設備情報）'!$Z$1,MATCH($G82,'4.1(2)新規再エネ導入予定（設備情報）'!$G:$G,0)-1,0)),"")</f>
        <v/>
      </c>
      <c r="Y82" s="224">
        <f t="shared" si="44"/>
        <v>0</v>
      </c>
      <c r="Z82" s="263">
        <f t="shared" ca="1" si="37"/>
        <v>0</v>
      </c>
      <c r="AA82" s="224">
        <f t="shared" si="28"/>
        <v>0</v>
      </c>
      <c r="AB82" s="264">
        <f t="shared" ca="1" si="38"/>
        <v>1</v>
      </c>
      <c r="AC82" s="177" t="str">
        <f t="shared" si="32"/>
        <v/>
      </c>
      <c r="AD82" s="177" t="str">
        <f t="shared" si="33"/>
        <v/>
      </c>
      <c r="AE82" s="177" t="str">
        <f t="shared" si="41"/>
        <v/>
      </c>
      <c r="AF82" s="177" t="str">
        <f t="shared" si="42"/>
        <v/>
      </c>
      <c r="AG82" s="177" t="str">
        <f t="shared" si="43"/>
        <v>E</v>
      </c>
      <c r="AH82" s="177" cm="1">
        <f t="array" ref="AH82">_xlfn.IFS(COUNTIF($N82:$P82,"合意済")=3,4,OR(COUNTIF($N82:$P82,"合意済")=2,COUNTIF($N82:$P82,"合意済")=1),3,COUNTIF($N82:$P82,"合意済")=0,2)</f>
        <v>2</v>
      </c>
      <c r="AI82" s="177" t="e">
        <f t="shared" ca="1" si="45"/>
        <v>#VALUE!</v>
      </c>
      <c r="AJ82" s="177" t="str">
        <f t="shared" ca="1" si="39"/>
        <v/>
      </c>
    </row>
    <row r="83" spans="2:36">
      <c r="F83" s="31"/>
      <c r="G83" s="31"/>
      <c r="H83" s="31"/>
      <c r="I83" s="270"/>
      <c r="J83" s="31"/>
      <c r="K83" s="31"/>
      <c r="L83" s="31"/>
      <c r="M83" s="249"/>
      <c r="N83" s="249"/>
      <c r="O83" s="249"/>
      <c r="P83" s="249"/>
      <c r="Q83" s="249"/>
      <c r="T83" s="249"/>
      <c r="U83" s="249"/>
      <c r="V83" s="177">
        <f t="shared" si="40"/>
        <v>76</v>
      </c>
      <c r="W83" s="217">
        <f ca="1">IF(OFFSET('4.1(2)新規再エネ導入予定（設備情報）'!$O$1,MATCH(X83,'4.1(2)新規再エネ導入予定（設備情報）'!$Z:$Z,0)-1,0)="低圧",1,0)</f>
        <v>0</v>
      </c>
      <c r="X83" s="127" t="str">
        <f ca="1">IFERROR(IF(AND(G83="",L83&lt;&gt;""),MAX(OFFSET($X$8,0,0,ROW()-8,1)),OFFSET('4.1(2)新規再エネ導入予定（設備情報）'!$Z$1,MATCH($G83,'4.1(2)新規再エネ導入予定（設備情報）'!$G:$G,0)-1,0)),"")</f>
        <v/>
      </c>
      <c r="Y83" s="224">
        <f t="shared" si="44"/>
        <v>0</v>
      </c>
      <c r="Z83" s="263">
        <f t="shared" ca="1" si="37"/>
        <v>0</v>
      </c>
      <c r="AA83" s="224">
        <f t="shared" si="28"/>
        <v>0</v>
      </c>
      <c r="AB83" s="264">
        <f t="shared" ca="1" si="38"/>
        <v>1</v>
      </c>
      <c r="AC83" s="177" t="str">
        <f t="shared" si="32"/>
        <v/>
      </c>
      <c r="AD83" s="177" t="str">
        <f t="shared" si="33"/>
        <v/>
      </c>
      <c r="AE83" s="177" t="str">
        <f t="shared" si="41"/>
        <v/>
      </c>
      <c r="AF83" s="177" t="str">
        <f t="shared" si="42"/>
        <v/>
      </c>
      <c r="AG83" s="177" t="str">
        <f t="shared" si="43"/>
        <v>E</v>
      </c>
      <c r="AH83" s="177" cm="1">
        <f t="array" ref="AH83">_xlfn.IFS(COUNTIF($N83:$P83,"合意済")=3,4,OR(COUNTIF($N83:$P83,"合意済")=2,COUNTIF($N83:$P83,"合意済")=1),3,COUNTIF($N83:$P83,"合意済")=0,2)</f>
        <v>2</v>
      </c>
      <c r="AI83" s="177" t="e">
        <f t="shared" ca="1" si="45"/>
        <v>#VALUE!</v>
      </c>
      <c r="AJ83" s="177" t="str">
        <f t="shared" ca="1" si="39"/>
        <v/>
      </c>
    </row>
    <row r="84" spans="2:36" ht="9.75" customHeight="1">
      <c r="D84" s="14"/>
      <c r="E84" s="15"/>
      <c r="F84" s="15"/>
      <c r="G84" s="250"/>
      <c r="H84" s="15"/>
      <c r="I84" s="237"/>
      <c r="J84" s="15"/>
      <c r="K84" s="15"/>
      <c r="L84" s="15"/>
      <c r="M84" s="238"/>
      <c r="N84" s="238"/>
      <c r="O84" s="238"/>
      <c r="P84" s="238"/>
      <c r="Q84" s="238"/>
      <c r="R84" s="30"/>
      <c r="T84" s="231"/>
      <c r="U84" s="231"/>
      <c r="V84" s="177">
        <f t="shared" si="40"/>
        <v>77</v>
      </c>
      <c r="W84" s="217">
        <f ca="1">IF(OFFSET('4.1(2)新規再エネ導入予定（設備情報）'!$O$1,MATCH(X84,'4.1(2)新規再エネ導入予定（設備情報）'!$Z:$Z,0)-1,0)="低圧",1,0)</f>
        <v>0</v>
      </c>
      <c r="X84" s="127" t="str">
        <f ca="1">IFERROR(IF(AND(G84="",L84&lt;&gt;""),MAX(OFFSET($X$8,0,0,ROW()-8,1)),OFFSET('4.1(2)新規再エネ導入予定（設備情報）'!$Z$1,MATCH($G84,'4.1(2)新規再エネ導入予定（設備情報）'!$G:$G,0)-1,0)),"")</f>
        <v/>
      </c>
      <c r="Y84" s="224">
        <f t="shared" si="44"/>
        <v>0</v>
      </c>
      <c r="Z84" s="263">
        <f t="shared" ca="1" si="37"/>
        <v>0</v>
      </c>
      <c r="AA84" s="224">
        <f t="shared" si="28"/>
        <v>0</v>
      </c>
      <c r="AB84" s="264">
        <f t="shared" ca="1" si="38"/>
        <v>1</v>
      </c>
      <c r="AC84" s="177" t="str">
        <f t="shared" si="32"/>
        <v/>
      </c>
      <c r="AD84" s="177" t="str">
        <f t="shared" si="33"/>
        <v/>
      </c>
      <c r="AE84" s="177" t="str">
        <f t="shared" si="41"/>
        <v/>
      </c>
      <c r="AF84" s="177" t="str">
        <f t="shared" si="42"/>
        <v/>
      </c>
      <c r="AG84" s="177" t="str">
        <f t="shared" si="43"/>
        <v>E</v>
      </c>
      <c r="AH84" s="177" cm="1">
        <f t="array" ref="AH84">_xlfn.IFS(COUNTIF($N84:$P84,"合意済")=3,4,OR(COUNTIF($N84:$P84,"合意済")=2,COUNTIF($N84:$P84,"合意済")=1),3,COUNTIF($N84:$P84,"合意済")=0,2)</f>
        <v>2</v>
      </c>
      <c r="AI84" s="177" t="e">
        <f t="shared" ca="1" si="45"/>
        <v>#VALUE!</v>
      </c>
      <c r="AJ84" s="177" t="str">
        <f t="shared" ca="1" si="39"/>
        <v/>
      </c>
    </row>
    <row r="85" spans="2:36" ht="21">
      <c r="D85" s="239" t="s">
        <v>287</v>
      </c>
      <c r="F85" s="239"/>
      <c r="G85" s="271"/>
      <c r="I85" s="230"/>
      <c r="R85" s="19"/>
      <c r="T85" s="231"/>
      <c r="V85" s="177">
        <f t="shared" si="40"/>
        <v>78</v>
      </c>
      <c r="W85" s="217">
        <f ca="1">IF(OFFSET('4.1(2)新規再エネ導入予定（設備情報）'!$O$1,MATCH(X85,'4.1(2)新規再エネ導入予定（設備情報）'!$Z:$Z,0)-1,0)="低圧",1,0)</f>
        <v>0</v>
      </c>
      <c r="X85" s="127" t="str">
        <f ca="1">IFERROR(IF(AND(G85="",L85&lt;&gt;""),MAX(OFFSET($X$8,0,0,ROW()-8,1)),OFFSET('4.1(2)新規再エネ導入予定（設備情報）'!$Z$1,MATCH($G85,'4.1(2)新規再エネ導入予定（設備情報）'!$G:$G,0)-1,0)),"")</f>
        <v/>
      </c>
      <c r="Y85" s="224">
        <f t="shared" si="44"/>
        <v>0</v>
      </c>
      <c r="Z85" s="263">
        <f t="shared" ca="1" si="37"/>
        <v>0</v>
      </c>
      <c r="AA85" s="224">
        <f t="shared" si="28"/>
        <v>0</v>
      </c>
      <c r="AB85" s="264">
        <f t="shared" ca="1" si="38"/>
        <v>1</v>
      </c>
      <c r="AC85" s="177" t="str">
        <f t="shared" si="32"/>
        <v/>
      </c>
      <c r="AD85" s="177" t="str">
        <f t="shared" si="33"/>
        <v/>
      </c>
      <c r="AE85" s="177" t="str">
        <f t="shared" si="41"/>
        <v/>
      </c>
      <c r="AF85" s="177" t="str">
        <f t="shared" si="42"/>
        <v/>
      </c>
      <c r="AG85" s="177" t="str">
        <f t="shared" si="43"/>
        <v>E</v>
      </c>
      <c r="AH85" s="177" cm="1">
        <f t="array" ref="AH85">_xlfn.IFS(COUNTIF($N85:$P85,"合意済")=3,4,OR(COUNTIF($N85:$P85,"合意済")=2,COUNTIF($N85:$P85,"合意済")=1),3,COUNTIF($N85:$P85,"合意済")=0,2)</f>
        <v>2</v>
      </c>
      <c r="AI85" s="177" t="e">
        <f t="shared" ca="1" si="45"/>
        <v>#VALUE!</v>
      </c>
      <c r="AJ85" s="177" t="str">
        <f t="shared" ca="1" si="39"/>
        <v/>
      </c>
    </row>
    <row r="86" spans="2:36" ht="21" customHeight="1">
      <c r="D86" s="239"/>
      <c r="F86" s="967" t="s">
        <v>8</v>
      </c>
      <c r="G86" s="976" t="s">
        <v>186</v>
      </c>
      <c r="H86" s="976" t="s">
        <v>181</v>
      </c>
      <c r="I86" s="974" t="s">
        <v>31</v>
      </c>
      <c r="J86" s="976" t="s">
        <v>187</v>
      </c>
      <c r="K86" s="976" t="s">
        <v>81</v>
      </c>
      <c r="L86" s="983" t="s">
        <v>184</v>
      </c>
      <c r="M86" s="947" t="s">
        <v>185</v>
      </c>
      <c r="N86" s="947"/>
      <c r="O86" s="947"/>
      <c r="P86" s="947"/>
      <c r="Q86" s="981" t="s">
        <v>306</v>
      </c>
      <c r="R86" s="19"/>
      <c r="T86" s="981" t="s">
        <v>314</v>
      </c>
      <c r="V86" s="177">
        <f t="shared" si="40"/>
        <v>79</v>
      </c>
      <c r="W86" s="217">
        <f ca="1">IF(OFFSET('4.1(2)新規再エネ導入予定（設備情報）'!$O$1,MATCH(X86,'4.1(2)新規再エネ導入予定（設備情報）'!$Z:$Z,0)-1,0)="低圧",1,0)</f>
        <v>0</v>
      </c>
      <c r="X86" s="127" t="str">
        <f ca="1">IFERROR(IF(AND(G86="",L86&lt;&gt;""),MAX(OFFSET($X$8,0,0,ROW()-8,1)),OFFSET('4.1(2)新規再エネ導入予定（設備情報）'!$Z$1,MATCH($G86,'4.1(2)新規再エネ導入予定（設備情報）'!$G:$G,0)-1,0)),"")</f>
        <v>施設
カウント</v>
      </c>
      <c r="Y86" s="272">
        <f t="shared" si="44"/>
        <v>0</v>
      </c>
      <c r="Z86" s="263">
        <f t="shared" ca="1" si="37"/>
        <v>0</v>
      </c>
      <c r="AA86" s="272">
        <f t="shared" si="28"/>
        <v>0</v>
      </c>
      <c r="AB86" s="264">
        <f t="shared" ca="1" si="38"/>
        <v>1</v>
      </c>
      <c r="AC86" s="177">
        <f t="shared" si="32"/>
        <v>0</v>
      </c>
      <c r="AD86" s="177" t="str">
        <f t="shared" si="33"/>
        <v/>
      </c>
      <c r="AE86" s="177" t="str">
        <f t="shared" si="41"/>
        <v/>
      </c>
      <c r="AF86" s="177" t="str">
        <f t="shared" si="42"/>
        <v/>
      </c>
      <c r="AG86" s="177" t="str">
        <f t="shared" si="43"/>
        <v>E</v>
      </c>
      <c r="AH86" s="177" cm="1">
        <f t="array" ref="AH86">_xlfn.IFS(COUNTIF($N86:$P86,"合意済")=3,4,OR(COUNTIF($N86:$P86,"合意済")=2,COUNTIF($N86:$P86,"合意済")=1),3,COUNTIF($N86:$P86,"合意済")=0,2)</f>
        <v>2</v>
      </c>
      <c r="AI86" s="177" t="e">
        <f t="shared" ca="1" si="45"/>
        <v>#VALUE!</v>
      </c>
      <c r="AJ86" s="177" t="str">
        <f t="shared" ca="1" si="39"/>
        <v/>
      </c>
    </row>
    <row r="87" spans="2:36" ht="42" customHeight="1">
      <c r="D87" s="16"/>
      <c r="E87" s="273"/>
      <c r="F87" s="967"/>
      <c r="G87" s="977"/>
      <c r="H87" s="977"/>
      <c r="I87" s="975"/>
      <c r="J87" s="977"/>
      <c r="K87" s="977"/>
      <c r="L87" s="984"/>
      <c r="M87" s="436" t="s">
        <v>197</v>
      </c>
      <c r="N87" s="436" t="s">
        <v>101</v>
      </c>
      <c r="O87" s="436" t="s">
        <v>196</v>
      </c>
      <c r="P87" s="367" t="s">
        <v>100</v>
      </c>
      <c r="Q87" s="982"/>
      <c r="R87" s="19"/>
      <c r="T87" s="982"/>
      <c r="V87" s="177">
        <f t="shared" si="40"/>
        <v>80</v>
      </c>
      <c r="W87" s="217">
        <f ca="1">IF(OFFSET('4.1(2)新規再エネ導入予定（設備情報）'!$O$1,MATCH(X87,'4.1(2)新規再エネ導入予定（設備情報）'!$Z:$Z,0)-1,0)="低圧",1,0)</f>
        <v>0</v>
      </c>
      <c r="X87" s="127" t="str">
        <f ca="1">IFERROR(IF(AND(G87="",L87&lt;&gt;""),MAX(OFFSET($X$8,0,0,ROW()-8,1)),OFFSET('4.1(2)新規再エネ導入予定（設備情報）'!$Z$1,MATCH($G87,'4.1(2)新規再エネ導入予定（設備情報）'!$G:$G,0)-1,0)),"")</f>
        <v/>
      </c>
      <c r="Y87" s="272">
        <f t="shared" si="44"/>
        <v>0</v>
      </c>
      <c r="Z87" s="263">
        <f t="shared" ca="1" si="37"/>
        <v>0</v>
      </c>
      <c r="AA87" s="272">
        <f t="shared" si="28"/>
        <v>0</v>
      </c>
      <c r="AB87" s="264">
        <f t="shared" ca="1" si="38"/>
        <v>1</v>
      </c>
      <c r="AC87" s="177">
        <f t="shared" si="32"/>
        <v>0</v>
      </c>
      <c r="AD87" s="177">
        <f t="shared" si="33"/>
        <v>0</v>
      </c>
      <c r="AE87" s="177">
        <f t="shared" si="41"/>
        <v>0</v>
      </c>
      <c r="AF87" s="177">
        <f t="shared" si="42"/>
        <v>0</v>
      </c>
      <c r="AG87" s="177">
        <f t="shared" ca="1" si="43"/>
        <v>0</v>
      </c>
      <c r="AH87" s="177" cm="1">
        <f t="array" ref="AH87">_xlfn.IFS(COUNTIF($N87:$P87,"合意済")=3,4,OR(COUNTIF($N87:$P87,"合意済")=2,COUNTIF($N87:$P87,"合意済")=1),3,COUNTIF($N87:$P87,"合意済")=0,2)</f>
        <v>2</v>
      </c>
      <c r="AI87" s="177">
        <f t="shared" ca="1" si="45"/>
        <v>0</v>
      </c>
      <c r="AJ87" s="177" t="str">
        <f t="shared" ca="1" si="39"/>
        <v/>
      </c>
    </row>
    <row r="88" spans="2:36" s="11" customFormat="1" hidden="1">
      <c r="B88" s="21"/>
      <c r="C88" s="21"/>
      <c r="D88" s="22"/>
      <c r="E88" s="130"/>
      <c r="F88" s="714"/>
      <c r="G88" s="482"/>
      <c r="H88" s="498"/>
      <c r="I88" s="499"/>
      <c r="J88" s="500"/>
      <c r="K88" s="501"/>
      <c r="L88" s="484"/>
      <c r="M88" s="487"/>
      <c r="N88" s="487"/>
      <c r="O88" s="487"/>
      <c r="P88" s="487"/>
      <c r="Q88" s="487"/>
      <c r="R88" s="24"/>
      <c r="S88" s="21"/>
      <c r="T88" s="487"/>
      <c r="V88" s="257">
        <f t="shared" si="40"/>
        <v>81</v>
      </c>
      <c r="W88" s="131">
        <f ca="1">IF(OFFSET('4.1(2)新規再エネ導入予定（設備情報）'!$O$1,MATCH(X88,'4.1(2)新規再エネ導入予定（設備情報）'!$Z:$Z,0)-1,0)="低圧",1,0)</f>
        <v>0</v>
      </c>
      <c r="X88" s="127" t="str">
        <f ca="1">IFERROR(IF(AND(G88="",L88&lt;&gt;""),MAX(OFFSET($X$8,0,0,ROW()-8,1)),OFFSET('4.1(2)新規再エネ導入予定（設備情報）'!$Z$1,MATCH($G88,'4.1(2)新規再エネ導入予定（設備情報）'!$G:$G,0)-1,0)),"")</f>
        <v/>
      </c>
      <c r="Y88" s="226">
        <f t="shared" si="44"/>
        <v>0</v>
      </c>
      <c r="Z88" s="226">
        <f t="shared" ca="1" si="37"/>
        <v>0</v>
      </c>
      <c r="AA88" s="226">
        <f t="shared" si="28"/>
        <v>0</v>
      </c>
      <c r="AB88" s="279">
        <f t="shared" ca="1" si="38"/>
        <v>1</v>
      </c>
      <c r="AC88" s="257" t="str">
        <f t="shared" si="32"/>
        <v/>
      </c>
      <c r="AD88" s="257" t="str">
        <f t="shared" si="33"/>
        <v/>
      </c>
      <c r="AE88" s="257" t="str">
        <f t="shared" si="41"/>
        <v/>
      </c>
      <c r="AF88" s="257" t="str">
        <f t="shared" si="42"/>
        <v/>
      </c>
      <c r="AG88" s="257" t="str">
        <f t="shared" si="43"/>
        <v>E</v>
      </c>
      <c r="AH88" s="257" cm="1">
        <f t="array" ref="AH88">_xlfn.IFS(COUNTIF($N88:$P88,"合意済")=3,4,OR(COUNTIF($N88:$P88,"合意済")=2,COUNTIF($N88:$P88,"合意済")=1),3,COUNTIF($N88:$P88,"合意済")=0,2)</f>
        <v>2</v>
      </c>
      <c r="AI88" s="257" t="e">
        <f t="shared" ca="1" si="45"/>
        <v>#VALUE!</v>
      </c>
      <c r="AJ88" s="257" t="str">
        <f t="shared" ca="1" si="39"/>
        <v/>
      </c>
    </row>
    <row r="89" spans="2:36" s="11" customFormat="1">
      <c r="B89" s="21"/>
      <c r="C89" s="21"/>
      <c r="D89" s="22"/>
      <c r="E89" s="130"/>
      <c r="F89" s="492" t="str">
        <f ca="1">IFERROR(OFFSET('4.1(2)新規再エネ導入予定（設備情報）'!$F$1,MATCH(G89,'4.1(2)新規再エネ導入予定（設備情報）'!$G:$G,0)-1,0),"")</f>
        <v/>
      </c>
      <c r="G89" s="483"/>
      <c r="H89" s="494" t="str">
        <f ca="1">IFERROR(OFFSET('4.1(2)新規再エネ導入予定（設備情報）'!$H$1,MATCH(G89,'4.1(2)新規再エネ導入予定（設備情報）'!$G:$G,0)-1,0)&amp;"","")</f>
        <v/>
      </c>
      <c r="I89" s="495" t="str">
        <f ca="1">IFERROR(OFFSET('4.1(2)新規再エネ導入予定（設備情報）'!$L$1,MATCH(G89,'4.1(2)新規再エネ導入予定（設備情報）'!$G:$G,0)-1,0),"")</f>
        <v/>
      </c>
      <c r="J89" s="496" t="str">
        <f ca="1">IFERROR(OFFSET('4.1(2)新規再エネ導入予定（設備情報）'!$O$1,MATCH(G89,'4.1(2)新規再エネ導入予定（設備情報）'!$G:$G,0)-1,0),"")</f>
        <v/>
      </c>
      <c r="K89" s="497" t="str">
        <f ca="1">IFERROR(OFFSET('4.1(2)新規再エネ導入予定（設備情報）'!$P$1,MATCH(G89,'4.1(2)新規再エネ導入予定（設備情報）'!$G:$G,0)-1,0),"")</f>
        <v/>
      </c>
      <c r="L89" s="486"/>
      <c r="M89" s="489"/>
      <c r="N89" s="489"/>
      <c r="O89" s="489"/>
      <c r="P89" s="489"/>
      <c r="Q89" s="489"/>
      <c r="R89" s="24"/>
      <c r="S89" s="21"/>
      <c r="T89" s="489"/>
      <c r="V89" s="257">
        <f t="shared" si="40"/>
        <v>82</v>
      </c>
      <c r="W89" s="131">
        <f ca="1">IF(OFFSET('4.1(2)新規再エネ導入予定（設備情報）'!$O$1,MATCH(X89,'4.1(2)新規再エネ導入予定（設備情報）'!$Z:$Z,0)-1,0)="低圧",1,0)</f>
        <v>0</v>
      </c>
      <c r="X89" s="127" t="str">
        <f ca="1">IFERROR(IF(AND(G89="",L89&lt;&gt;""),MAX(OFFSET($X$8,0,0,ROW()-8,1)),OFFSET('4.1(2)新規再エネ導入予定（設備情報）'!$Z$1,MATCH($G89,'4.1(2)新規再エネ導入予定（設備情報）'!$G:$G,0)-1,0)),"")</f>
        <v/>
      </c>
      <c r="Y89" s="225">
        <f t="shared" si="44"/>
        <v>0</v>
      </c>
      <c r="Z89" s="226">
        <f t="shared" ca="1" si="37"/>
        <v>0</v>
      </c>
      <c r="AA89" s="225">
        <f t="shared" si="28"/>
        <v>0</v>
      </c>
      <c r="AB89" s="279">
        <f t="shared" ca="1" si="38"/>
        <v>1</v>
      </c>
      <c r="AC89" s="257" t="str">
        <f t="shared" si="32"/>
        <v/>
      </c>
      <c r="AD89" s="257" t="str">
        <f>IF(N89="","",IF(OR(N89="説明済",N89="協議中",N89="合意済"),1,0))</f>
        <v/>
      </c>
      <c r="AE89" s="257" t="str">
        <f t="shared" si="41"/>
        <v/>
      </c>
      <c r="AF89" s="257" t="str">
        <f t="shared" si="42"/>
        <v/>
      </c>
      <c r="AG89" s="257" t="str">
        <f t="shared" si="43"/>
        <v>E</v>
      </c>
      <c r="AH89" s="257" cm="1">
        <f t="array" ref="AH89">_xlfn.IFS(COUNTIF($N89:$P89,"合意済")=3,4,OR(COUNTIF($N89:$P89,"合意済")=2,COUNTIF($N89:$P89,"合意済")=1),3,COUNTIF($N89:$P89,"合意済")=0,2)</f>
        <v>2</v>
      </c>
      <c r="AI89" s="257" t="e">
        <f t="shared" ca="1" si="45"/>
        <v>#VALUE!</v>
      </c>
      <c r="AJ89" s="257" t="str">
        <f t="shared" ca="1" si="39"/>
        <v/>
      </c>
    </row>
    <row r="90" spans="2:36" s="11" customFormat="1">
      <c r="B90" s="21"/>
      <c r="C90" s="21"/>
      <c r="D90" s="22"/>
      <c r="E90" s="130"/>
      <c r="F90" s="492" t="str">
        <f ca="1">IFERROR(OFFSET('4.1(2)新規再エネ導入予定（設備情報）'!$F$1,MATCH(G90,'4.1(2)新規再エネ導入予定（設備情報）'!$G:$G,0)-1,0),"")</f>
        <v/>
      </c>
      <c r="G90" s="483"/>
      <c r="H90" s="494" t="str">
        <f ca="1">IFERROR(OFFSET('4.1(2)新規再エネ導入予定（設備情報）'!$H$1,MATCH(G90,'4.1(2)新規再エネ導入予定（設備情報）'!$G:$G,0)-1,0)&amp;"","")</f>
        <v/>
      </c>
      <c r="I90" s="495" t="str">
        <f ca="1">IFERROR(OFFSET('4.1(2)新規再エネ導入予定（設備情報）'!$L$1,MATCH(G90,'4.1(2)新規再エネ導入予定（設備情報）'!$G:$G,0)-1,0),"")</f>
        <v/>
      </c>
      <c r="J90" s="496" t="str">
        <f ca="1">IFERROR(OFFSET('4.1(2)新規再エネ導入予定（設備情報）'!$O$1,MATCH(G90,'4.1(2)新規再エネ導入予定（設備情報）'!$G:$G,0)-1,0),"")</f>
        <v/>
      </c>
      <c r="K90" s="497" t="str">
        <f ca="1">IFERROR(OFFSET('4.1(2)新規再エネ導入予定（設備情報）'!$P$1,MATCH(G90,'4.1(2)新規再エネ導入予定（設備情報）'!$G:$G,0)-1,0),"")</f>
        <v/>
      </c>
      <c r="L90" s="486"/>
      <c r="M90" s="489"/>
      <c r="N90" s="489"/>
      <c r="O90" s="489"/>
      <c r="P90" s="489"/>
      <c r="Q90" s="489"/>
      <c r="R90" s="24"/>
      <c r="S90" s="21"/>
      <c r="T90" s="489"/>
      <c r="V90" s="257">
        <f t="shared" si="40"/>
        <v>83</v>
      </c>
      <c r="W90" s="131">
        <f ca="1">IF(OFFSET('4.1(2)新規再エネ導入予定（設備情報）'!$O$1,MATCH(X90,'4.1(2)新規再エネ導入予定（設備情報）'!$Z:$Z,0)-1,0)="低圧",1,0)</f>
        <v>0</v>
      </c>
      <c r="X90" s="127" t="str">
        <f ca="1">IFERROR(IF(AND(G90="",L90&lt;&gt;""),MAX(OFFSET($X$8,0,0,ROW()-8,1)),OFFSET('4.1(2)新規再エネ導入予定（設備情報）'!$Z$1,MATCH($G90,'4.1(2)新規再エネ導入予定（設備情報）'!$G:$G,0)-1,0)),"")</f>
        <v/>
      </c>
      <c r="Y90" s="225">
        <f t="shared" si="44"/>
        <v>0</v>
      </c>
      <c r="Z90" s="226">
        <f t="shared" ca="1" si="37"/>
        <v>0</v>
      </c>
      <c r="AA90" s="225">
        <f t="shared" si="28"/>
        <v>0</v>
      </c>
      <c r="AB90" s="279">
        <f t="shared" ca="1" si="38"/>
        <v>1</v>
      </c>
      <c r="AC90" s="257" t="str">
        <f t="shared" si="32"/>
        <v/>
      </c>
      <c r="AD90" s="257" t="str">
        <f>IF(N90="","",IF(OR(N90="説明済",N90="協議中",N90="合意済"),1,0))</f>
        <v/>
      </c>
      <c r="AE90" s="257" t="str">
        <f t="shared" si="41"/>
        <v/>
      </c>
      <c r="AF90" s="257" t="str">
        <f t="shared" si="42"/>
        <v/>
      </c>
      <c r="AG90" s="257" t="str">
        <f t="shared" si="43"/>
        <v>E</v>
      </c>
      <c r="AH90" s="257" cm="1">
        <f t="array" ref="AH90">_xlfn.IFS(COUNTIF($N90:$P90,"合意済")=3,4,OR(COUNTIF($N90:$P90,"合意済")=2,COUNTIF($N90:$P90,"合意済")=1),3,COUNTIF($N90:$P90,"合意済")=0,2)</f>
        <v>2</v>
      </c>
      <c r="AI90" s="257" t="e">
        <f t="shared" ca="1" si="45"/>
        <v>#VALUE!</v>
      </c>
      <c r="AJ90" s="257" t="str">
        <f t="shared" ca="1" si="39"/>
        <v/>
      </c>
    </row>
    <row r="91" spans="2:36" s="11" customFormat="1">
      <c r="B91" s="21"/>
      <c r="C91" s="21"/>
      <c r="D91" s="22"/>
      <c r="E91" s="130"/>
      <c r="F91" s="492" t="str">
        <f ca="1">IFERROR(OFFSET('4.1(2)新規再エネ導入予定（設備情報）'!$F$1,MATCH(G91,'4.1(2)新規再エネ導入予定（設備情報）'!$G:$G,0)-1,0),"")</f>
        <v/>
      </c>
      <c r="G91" s="483"/>
      <c r="H91" s="494" t="str">
        <f ca="1">IFERROR(OFFSET('4.1(2)新規再エネ導入予定（設備情報）'!$H$1,MATCH(G91,'4.1(2)新規再エネ導入予定（設備情報）'!$G:$G,0)-1,0)&amp;"","")</f>
        <v/>
      </c>
      <c r="I91" s="495" t="str">
        <f ca="1">IFERROR(OFFSET('4.1(2)新規再エネ導入予定（設備情報）'!$L$1,MATCH(G91,'4.1(2)新規再エネ導入予定（設備情報）'!$G:$G,0)-1,0),"")</f>
        <v/>
      </c>
      <c r="J91" s="496" t="str">
        <f ca="1">IFERROR(OFFSET('4.1(2)新規再エネ導入予定（設備情報）'!$O$1,MATCH(G91,'4.1(2)新規再エネ導入予定（設備情報）'!$G:$G,0)-1,0),"")</f>
        <v/>
      </c>
      <c r="K91" s="497" t="str">
        <f ca="1">IFERROR(OFFSET('4.1(2)新規再エネ導入予定（設備情報）'!$P$1,MATCH(G91,'4.1(2)新規再エネ導入予定（設備情報）'!$G:$G,0)-1,0),"")</f>
        <v/>
      </c>
      <c r="L91" s="486"/>
      <c r="M91" s="489"/>
      <c r="N91" s="489"/>
      <c r="O91" s="489"/>
      <c r="P91" s="489"/>
      <c r="Q91" s="489"/>
      <c r="R91" s="24"/>
      <c r="S91" s="21"/>
      <c r="T91" s="489"/>
      <c r="V91" s="257">
        <f t="shared" si="40"/>
        <v>84</v>
      </c>
      <c r="W91" s="131">
        <f ca="1">IF(OFFSET('4.1(2)新規再エネ導入予定（設備情報）'!$O$1,MATCH(X91,'4.1(2)新規再エネ導入予定（設備情報）'!$Z:$Z,0)-1,0)="低圧",1,0)</f>
        <v>0</v>
      </c>
      <c r="X91" s="127" t="str">
        <f ca="1">IFERROR(IF(AND(G91="",L91&lt;&gt;""),MAX(OFFSET($X$8,0,0,ROW()-8,1)),OFFSET('4.1(2)新規再エネ導入予定（設備情報）'!$Z$1,MATCH($G91,'4.1(2)新規再エネ導入予定（設備情報）'!$G:$G,0)-1,0)),"")</f>
        <v/>
      </c>
      <c r="Y91" s="225">
        <f t="shared" si="44"/>
        <v>0</v>
      </c>
      <c r="Z91" s="226">
        <f t="shared" ca="1" si="37"/>
        <v>0</v>
      </c>
      <c r="AA91" s="225">
        <f t="shared" si="28"/>
        <v>0</v>
      </c>
      <c r="AB91" s="279">
        <f t="shared" ca="1" si="38"/>
        <v>1</v>
      </c>
      <c r="AC91" s="257" t="str">
        <f t="shared" si="32"/>
        <v/>
      </c>
      <c r="AD91" s="257" t="str">
        <f t="shared" si="33"/>
        <v/>
      </c>
      <c r="AE91" s="257" t="str">
        <f t="shared" si="41"/>
        <v/>
      </c>
      <c r="AF91" s="257" t="str">
        <f t="shared" si="42"/>
        <v/>
      </c>
      <c r="AG91" s="257" t="str">
        <f t="shared" si="43"/>
        <v>E</v>
      </c>
      <c r="AH91" s="257" cm="1">
        <f t="array" ref="AH91">_xlfn.IFS(COUNTIF($N91:$P91,"合意済")=3,4,OR(COUNTIF($N91:$P91,"合意済")=2,COUNTIF($N91:$P91,"合意済")=1),3,COUNTIF($N91:$P91,"合意済")=0,2)</f>
        <v>2</v>
      </c>
      <c r="AI91" s="257" t="e">
        <f t="shared" ca="1" si="45"/>
        <v>#VALUE!</v>
      </c>
      <c r="AJ91" s="257" t="str">
        <f t="shared" ca="1" si="39"/>
        <v/>
      </c>
    </row>
    <row r="92" spans="2:36" s="11" customFormat="1">
      <c r="B92" s="21"/>
      <c r="C92" s="21"/>
      <c r="D92" s="22"/>
      <c r="E92" s="130"/>
      <c r="F92" s="492" t="str">
        <f ca="1">IFERROR(OFFSET('4.1(2)新規再エネ導入予定（設備情報）'!$F$1,MATCH(G92,'4.1(2)新規再エネ導入予定（設備情報）'!$G:$G,0)-1,0),"")</f>
        <v/>
      </c>
      <c r="G92" s="483"/>
      <c r="H92" s="494" t="str">
        <f ca="1">IFERROR(OFFSET('4.1(2)新規再エネ導入予定（設備情報）'!$H$1,MATCH(G92,'4.1(2)新規再エネ導入予定（設備情報）'!$G:$G,0)-1,0)&amp;"","")</f>
        <v/>
      </c>
      <c r="I92" s="495" t="str">
        <f ca="1">IFERROR(OFFSET('4.1(2)新規再エネ導入予定（設備情報）'!$L$1,MATCH(G92,'4.1(2)新規再エネ導入予定（設備情報）'!$G:$G,0)-1,0),"")</f>
        <v/>
      </c>
      <c r="J92" s="496" t="str">
        <f ca="1">IFERROR(OFFSET('4.1(2)新規再エネ導入予定（設備情報）'!$O$1,MATCH(G92,'4.1(2)新規再エネ導入予定（設備情報）'!$G:$G,0)-1,0),"")</f>
        <v/>
      </c>
      <c r="K92" s="497" t="str">
        <f ca="1">IFERROR(OFFSET('4.1(2)新規再エネ導入予定（設備情報）'!$P$1,MATCH(G92,'4.1(2)新規再エネ導入予定（設備情報）'!$G:$G,0)-1,0),"")</f>
        <v/>
      </c>
      <c r="L92" s="486"/>
      <c r="M92" s="489"/>
      <c r="N92" s="489"/>
      <c r="O92" s="489"/>
      <c r="P92" s="489"/>
      <c r="Q92" s="489"/>
      <c r="R92" s="24"/>
      <c r="S92" s="21"/>
      <c r="T92" s="489"/>
      <c r="V92" s="257">
        <f t="shared" si="40"/>
        <v>85</v>
      </c>
      <c r="W92" s="131">
        <f ca="1">IF(OFFSET('4.1(2)新規再エネ導入予定（設備情報）'!$O$1,MATCH(X92,'4.1(2)新規再エネ導入予定（設備情報）'!$Z:$Z,0)-1,0)="低圧",1,0)</f>
        <v>0</v>
      </c>
      <c r="X92" s="127" t="str">
        <f ca="1">IFERROR(IF(AND(G92="",L92&lt;&gt;""),MAX(OFFSET($X$8,0,0,ROW()-8,1)),OFFSET('4.1(2)新規再エネ導入予定（設備情報）'!$Z$1,MATCH($G92,'4.1(2)新規再エネ導入予定（設備情報）'!$G:$G,0)-1,0)),"")</f>
        <v/>
      </c>
      <c r="Y92" s="225">
        <f t="shared" si="44"/>
        <v>0</v>
      </c>
      <c r="Z92" s="226">
        <f t="shared" ca="1" si="37"/>
        <v>0</v>
      </c>
      <c r="AA92" s="225">
        <f t="shared" si="28"/>
        <v>0</v>
      </c>
      <c r="AB92" s="279">
        <f t="shared" ca="1" si="38"/>
        <v>1</v>
      </c>
      <c r="AC92" s="257" t="str">
        <f t="shared" si="32"/>
        <v/>
      </c>
      <c r="AD92" s="257" t="str">
        <f t="shared" si="33"/>
        <v/>
      </c>
      <c r="AE92" s="257" t="str">
        <f t="shared" si="41"/>
        <v/>
      </c>
      <c r="AF92" s="257" t="str">
        <f t="shared" si="42"/>
        <v/>
      </c>
      <c r="AG92" s="257" t="str">
        <f t="shared" si="43"/>
        <v>E</v>
      </c>
      <c r="AH92" s="257" cm="1">
        <f t="array" ref="AH92">_xlfn.IFS(COUNTIF($N92:$P92,"合意済")=3,4,OR(COUNTIF($N92:$P92,"合意済")=2,COUNTIF($N92:$P92,"合意済")=1),3,COUNTIF($N92:$P92,"合意済")=0,2)</f>
        <v>2</v>
      </c>
      <c r="AI92" s="257" t="e">
        <f t="shared" ca="1" si="45"/>
        <v>#VALUE!</v>
      </c>
      <c r="AJ92" s="257" t="str">
        <f t="shared" ca="1" si="39"/>
        <v/>
      </c>
    </row>
    <row r="93" spans="2:36">
      <c r="D93" s="16"/>
      <c r="E93" s="274"/>
      <c r="F93" s="191" t="s">
        <v>26</v>
      </c>
      <c r="G93" s="242"/>
      <c r="H93" s="242"/>
      <c r="I93" s="275"/>
      <c r="J93" s="276"/>
      <c r="K93" s="502">
        <f ca="1">SUM(INDIRECT("K"&amp;ROW(K86)&amp;":K"&amp;ROW()-1))</f>
        <v>0</v>
      </c>
      <c r="L93" s="276"/>
      <c r="M93" s="244"/>
      <c r="N93" s="244"/>
      <c r="O93" s="244"/>
      <c r="P93" s="244"/>
      <c r="Q93" s="244"/>
      <c r="R93" s="19"/>
      <c r="T93" s="244"/>
      <c r="V93" s="177">
        <f t="shared" si="40"/>
        <v>86</v>
      </c>
      <c r="W93" s="217">
        <f ca="1">IF(OFFSET('4.1(2)新規再エネ導入予定（設備情報）'!$O$1,MATCH(X93,'4.1(2)新規再エネ導入予定（設備情報）'!$Z:$Z,0)-1,0)="低圧",1,0)</f>
        <v>0</v>
      </c>
      <c r="X93" s="127" t="str">
        <f ca="1">IFERROR(IF(AND(G93="",L93&lt;&gt;""),MAX(OFFSET($X$8,0,0,ROW()-8,1)),OFFSET('4.1(2)新規再エネ導入予定（設備情報）'!$Z$1,MATCH($G93,'4.1(2)新規再エネ導入予定（設備情報）'!$G:$G,0)-1,0)),"")</f>
        <v/>
      </c>
      <c r="Y93" s="224">
        <f t="shared" si="44"/>
        <v>0</v>
      </c>
      <c r="Z93" s="263">
        <f t="shared" ca="1" si="37"/>
        <v>0</v>
      </c>
      <c r="AA93" s="224">
        <f t="shared" si="28"/>
        <v>0</v>
      </c>
      <c r="AB93" s="264">
        <f t="shared" ca="1" si="38"/>
        <v>1</v>
      </c>
      <c r="AC93" s="177" t="str">
        <f t="shared" si="32"/>
        <v/>
      </c>
      <c r="AD93" s="177" t="str">
        <f t="shared" si="33"/>
        <v/>
      </c>
      <c r="AE93" s="177" t="str">
        <f t="shared" si="41"/>
        <v/>
      </c>
      <c r="AF93" s="177" t="str">
        <f t="shared" si="42"/>
        <v/>
      </c>
      <c r="AG93" s="177" t="str">
        <f t="shared" si="43"/>
        <v>E</v>
      </c>
      <c r="AH93" s="177" cm="1">
        <f t="array" ref="AH93">_xlfn.IFS(COUNTIF($N93:$P93,"合意済")=3,4,OR(COUNTIF($N93:$P93,"合意済")=2,COUNTIF($N93:$P93,"合意済")=1),3,COUNTIF($N93:$P93,"合意済")=0,2)</f>
        <v>2</v>
      </c>
      <c r="AI93" s="177" t="e">
        <f t="shared" ca="1" si="45"/>
        <v>#VALUE!</v>
      </c>
      <c r="AJ93" s="177" t="str">
        <f t="shared" ca="1" si="39"/>
        <v/>
      </c>
    </row>
    <row r="94" spans="2:36">
      <c r="D94" s="46"/>
      <c r="E94" s="26"/>
      <c r="F94" s="26"/>
      <c r="G94" s="4"/>
      <c r="H94" s="4"/>
      <c r="I94" s="124"/>
      <c r="J94" s="4"/>
      <c r="K94" s="4"/>
      <c r="L94" s="4"/>
      <c r="M94" s="125"/>
      <c r="N94" s="125"/>
      <c r="O94" s="125"/>
      <c r="P94" s="125"/>
      <c r="Q94" s="125"/>
      <c r="R94" s="27"/>
      <c r="S94"/>
      <c r="T94" s="249"/>
      <c r="U94" s="249"/>
      <c r="V94" s="177">
        <f t="shared" si="40"/>
        <v>87</v>
      </c>
      <c r="W94" s="217">
        <f ca="1">IF(OFFSET('4.1(2)新規再エネ導入予定（設備情報）'!$O$1,MATCH(X94,'4.1(2)新規再エネ導入予定（設備情報）'!$Z:$Z,0)-1,0)="低圧",1,0)</f>
        <v>0</v>
      </c>
      <c r="X94" s="127" t="str">
        <f ca="1">IFERROR(IF(AND(G94="",L94&lt;&gt;""),MAX(OFFSET($X$8,0,0,ROW()-8,1)),OFFSET('4.1(2)新規再エネ導入予定（設備情報）'!$Z$1,MATCH($G94,'4.1(2)新規再エネ導入予定（設備情報）'!$G:$G,0)-1,0)),"")</f>
        <v/>
      </c>
      <c r="Y94" s="224">
        <f t="shared" si="44"/>
        <v>0</v>
      </c>
      <c r="Z94" s="263">
        <f t="shared" ca="1" si="37"/>
        <v>0</v>
      </c>
      <c r="AA94" s="224">
        <f t="shared" si="28"/>
        <v>0</v>
      </c>
      <c r="AB94" s="264">
        <f t="shared" ca="1" si="38"/>
        <v>1</v>
      </c>
      <c r="AC94" s="177" t="str">
        <f t="shared" si="32"/>
        <v/>
      </c>
      <c r="AD94" s="177" t="str">
        <f t="shared" si="33"/>
        <v/>
      </c>
      <c r="AE94" s="177" t="str">
        <f t="shared" si="41"/>
        <v/>
      </c>
      <c r="AF94" s="177" t="str">
        <f t="shared" si="42"/>
        <v/>
      </c>
      <c r="AG94" s="177" t="str">
        <f t="shared" si="43"/>
        <v>E</v>
      </c>
      <c r="AH94" s="177" cm="1">
        <f t="array" ref="AH94">_xlfn.IFS(COUNTIF($N94:$P94,"合意済")=3,4,OR(COUNTIF($N94:$P94,"合意済")=2,COUNTIF($N94:$P94,"合意済")=1),3,COUNTIF($N94:$P94,"合意済")=0,2)</f>
        <v>2</v>
      </c>
      <c r="AI94" s="177" t="e">
        <f t="shared" ca="1" si="45"/>
        <v>#VALUE!</v>
      </c>
      <c r="AJ94" s="177" t="str">
        <f t="shared" ca="1" si="39"/>
        <v/>
      </c>
    </row>
    <row r="95" spans="2:36">
      <c r="F95" s="31"/>
      <c r="G95" s="31"/>
      <c r="H95" s="31"/>
      <c r="I95" s="270"/>
      <c r="J95" s="31"/>
      <c r="K95" s="31"/>
      <c r="L95" s="31"/>
      <c r="M95" s="249"/>
      <c r="N95" s="249"/>
      <c r="O95" s="249"/>
      <c r="P95" s="249"/>
      <c r="Q95" s="249"/>
      <c r="T95" s="249"/>
      <c r="U95" s="249"/>
      <c r="V95" s="177">
        <f t="shared" si="40"/>
        <v>88</v>
      </c>
      <c r="W95" s="217">
        <f ca="1">IF(OFFSET('4.1(2)新規再エネ導入予定（設備情報）'!$O$1,MATCH(X95,'4.1(2)新規再エネ導入予定（設備情報）'!$Z:$Z,0)-1,0)="低圧",1,0)</f>
        <v>0</v>
      </c>
      <c r="X95" s="127" t="str">
        <f ca="1">IFERROR(IF(AND(G95="",L95&lt;&gt;""),MAX(OFFSET($X$8,0,0,ROW()-8,1)),OFFSET('4.1(2)新規再エネ導入予定（設備情報）'!$Z$1,MATCH($G95,'4.1(2)新規再エネ導入予定（設備情報）'!$G:$G,0)-1,0)),"")</f>
        <v/>
      </c>
      <c r="Y95" s="224">
        <f t="shared" si="44"/>
        <v>0</v>
      </c>
      <c r="Z95" s="263">
        <f t="shared" ca="1" si="37"/>
        <v>0</v>
      </c>
      <c r="AA95" s="224">
        <f t="shared" si="28"/>
        <v>0</v>
      </c>
      <c r="AB95" s="264">
        <f t="shared" ca="1" si="38"/>
        <v>1</v>
      </c>
      <c r="AC95" s="177" t="str">
        <f t="shared" si="32"/>
        <v/>
      </c>
      <c r="AD95" s="177" t="str">
        <f t="shared" si="33"/>
        <v/>
      </c>
      <c r="AE95" s="177" t="str">
        <f t="shared" si="41"/>
        <v/>
      </c>
      <c r="AF95" s="177" t="str">
        <f t="shared" si="42"/>
        <v/>
      </c>
      <c r="AG95" s="177" t="str">
        <f t="shared" si="43"/>
        <v>E</v>
      </c>
      <c r="AH95" s="177" cm="1">
        <f t="array" ref="AH95">_xlfn.IFS(COUNTIF($N95:$P95,"合意済")=3,4,OR(COUNTIF($N95:$P95,"合意済")=2,COUNTIF($N95:$P95,"合意済")=1),3,COUNTIF($N95:$P95,"合意済")=0,2)</f>
        <v>2</v>
      </c>
      <c r="AI95" s="177" t="e">
        <f t="shared" ca="1" si="45"/>
        <v>#VALUE!</v>
      </c>
      <c r="AJ95" s="177" t="str">
        <f t="shared" ca="1" si="39"/>
        <v/>
      </c>
    </row>
    <row r="96" spans="2:36">
      <c r="F96" s="31"/>
      <c r="G96" s="31"/>
      <c r="H96" s="31"/>
      <c r="I96" s="270"/>
      <c r="J96" s="31"/>
      <c r="K96" s="31"/>
      <c r="L96" s="31"/>
      <c r="M96" s="249"/>
      <c r="N96" s="249"/>
      <c r="O96" s="249"/>
      <c r="P96" s="249"/>
      <c r="Q96" s="249"/>
      <c r="T96" s="249"/>
      <c r="U96" s="249"/>
      <c r="V96" s="177">
        <f t="shared" si="40"/>
        <v>89</v>
      </c>
      <c r="W96" s="217">
        <f ca="1">IF(OFFSET('4.1(2)新規再エネ導入予定（設備情報）'!$O$1,MATCH(X96,'4.1(2)新規再エネ導入予定（設備情報）'!$Z:$Z,0)-1,0)="低圧",1,0)</f>
        <v>0</v>
      </c>
      <c r="X96" s="127" t="str">
        <f ca="1">IFERROR(IF(AND(G96="",L96&lt;&gt;""),MAX(OFFSET($X$8,0,0,ROW()-8,1)),OFFSET('4.1(2)新規再エネ導入予定（設備情報）'!$Z$1,MATCH($G96,'4.1(2)新規再エネ導入予定（設備情報）'!$G:$G,0)-1,0)),"")</f>
        <v/>
      </c>
      <c r="Y96" s="224">
        <f t="shared" si="44"/>
        <v>0</v>
      </c>
      <c r="Z96" s="263">
        <f t="shared" ca="1" si="37"/>
        <v>0</v>
      </c>
      <c r="AA96" s="224">
        <f t="shared" si="28"/>
        <v>0</v>
      </c>
      <c r="AB96" s="264">
        <f t="shared" ca="1" si="38"/>
        <v>1</v>
      </c>
      <c r="AC96" s="177" t="str">
        <f t="shared" si="32"/>
        <v/>
      </c>
      <c r="AD96" s="177" t="str">
        <f t="shared" si="33"/>
        <v/>
      </c>
      <c r="AE96" s="177" t="str">
        <f t="shared" si="41"/>
        <v/>
      </c>
      <c r="AF96" s="177" t="str">
        <f t="shared" si="42"/>
        <v/>
      </c>
      <c r="AG96" s="177" t="str">
        <f t="shared" si="43"/>
        <v>E</v>
      </c>
      <c r="AH96" s="177" cm="1">
        <f t="array" ref="AH96">_xlfn.IFS(COUNTIF($N96:$P96,"合意済")=3,4,OR(COUNTIF($N96:$P96,"合意済")=2,COUNTIF($N96:$P96,"合意済")=1),3,COUNTIF($N96:$P96,"合意済")=0,2)</f>
        <v>2</v>
      </c>
      <c r="AI96" s="177" t="e">
        <f t="shared" ca="1" si="45"/>
        <v>#VALUE!</v>
      </c>
      <c r="AJ96" s="177" t="str">
        <f t="shared" ca="1" si="39"/>
        <v/>
      </c>
    </row>
    <row r="97" spans="2:36" ht="9.75" customHeight="1">
      <c r="D97" s="14"/>
      <c r="E97" s="15"/>
      <c r="F97" s="15"/>
      <c r="G97" s="250"/>
      <c r="H97" s="15"/>
      <c r="I97" s="237"/>
      <c r="J97" s="15"/>
      <c r="K97" s="15"/>
      <c r="L97" s="15"/>
      <c r="M97" s="238"/>
      <c r="N97" s="238"/>
      <c r="O97" s="238"/>
      <c r="P97" s="238"/>
      <c r="Q97" s="238"/>
      <c r="R97" s="30"/>
      <c r="T97" s="231"/>
      <c r="U97" s="231"/>
      <c r="V97" s="177">
        <f t="shared" si="40"/>
        <v>90</v>
      </c>
      <c r="W97" s="217">
        <f ca="1">IF(OFFSET('4.1(2)新規再エネ導入予定（設備情報）'!$O$1,MATCH(X97,'4.1(2)新規再エネ導入予定（設備情報）'!$Z:$Z,0)-1,0)="低圧",1,0)</f>
        <v>0</v>
      </c>
      <c r="X97" s="127" t="str">
        <f ca="1">IFERROR(IF(AND(G97="",L97&lt;&gt;""),MAX(OFFSET($X$8,0,0,ROW()-8,1)),OFFSET('4.1(2)新規再エネ導入予定（設備情報）'!$Z$1,MATCH($G97,'4.1(2)新規再エネ導入予定（設備情報）'!$G:$G,0)-1,0)),"")</f>
        <v/>
      </c>
      <c r="Y97" s="224">
        <f t="shared" si="44"/>
        <v>0</v>
      </c>
      <c r="Z97" s="263">
        <f t="shared" ca="1" si="37"/>
        <v>0</v>
      </c>
      <c r="AA97" s="224">
        <f t="shared" si="28"/>
        <v>0</v>
      </c>
      <c r="AB97" s="264">
        <f t="shared" ca="1" si="38"/>
        <v>1</v>
      </c>
      <c r="AC97" s="177" t="str">
        <f t="shared" si="32"/>
        <v/>
      </c>
      <c r="AD97" s="177" t="str">
        <f t="shared" si="33"/>
        <v/>
      </c>
      <c r="AE97" s="177" t="str">
        <f t="shared" si="41"/>
        <v/>
      </c>
      <c r="AF97" s="177" t="str">
        <f t="shared" si="42"/>
        <v/>
      </c>
      <c r="AG97" s="177" t="str">
        <f t="shared" si="43"/>
        <v>E</v>
      </c>
      <c r="AH97" s="177" cm="1">
        <f t="array" ref="AH97">_xlfn.IFS(COUNTIF($N97:$P97,"合意済")=3,4,OR(COUNTIF($N97:$P97,"合意済")=2,COUNTIF($N97:$P97,"合意済")=1),3,COUNTIF($N97:$P97,"合意済")=0,2)</f>
        <v>2</v>
      </c>
      <c r="AI97" s="177" t="e">
        <f t="shared" ca="1" si="45"/>
        <v>#VALUE!</v>
      </c>
      <c r="AJ97" s="177" t="str">
        <f t="shared" ca="1" si="39"/>
        <v/>
      </c>
    </row>
    <row r="98" spans="2:36" ht="21">
      <c r="D98" s="239" t="s">
        <v>199</v>
      </c>
      <c r="F98" s="239"/>
      <c r="G98" s="271"/>
      <c r="I98" s="230"/>
      <c r="R98" s="19"/>
      <c r="T98" s="231"/>
      <c r="V98" s="177">
        <f t="shared" si="40"/>
        <v>91</v>
      </c>
      <c r="W98" s="217">
        <f ca="1">IF(OFFSET('4.1(2)新規再エネ導入予定（設備情報）'!$O$1,MATCH(X98,'4.1(2)新規再エネ導入予定（設備情報）'!$Z:$Z,0)-1,0)="低圧",1,0)</f>
        <v>0</v>
      </c>
      <c r="X98" s="127" t="str">
        <f ca="1">IFERROR(IF(AND(G98="",L98&lt;&gt;""),MAX(OFFSET($X$8,0,0,ROW()-8,1)),OFFSET('4.1(2)新規再エネ導入予定（設備情報）'!$Z$1,MATCH($G98,'4.1(2)新規再エネ導入予定（設備情報）'!$G:$G,0)-1,0)),"")</f>
        <v/>
      </c>
      <c r="Y98" s="224">
        <f t="shared" si="44"/>
        <v>0</v>
      </c>
      <c r="Z98" s="263">
        <f t="shared" ca="1" si="37"/>
        <v>0</v>
      </c>
      <c r="AA98" s="224">
        <f t="shared" si="28"/>
        <v>0</v>
      </c>
      <c r="AB98" s="264">
        <f t="shared" ca="1" si="38"/>
        <v>1</v>
      </c>
      <c r="AC98" s="177" t="str">
        <f t="shared" si="32"/>
        <v/>
      </c>
      <c r="AD98" s="177" t="str">
        <f t="shared" si="33"/>
        <v/>
      </c>
      <c r="AE98" s="177" t="str">
        <f t="shared" si="41"/>
        <v/>
      </c>
      <c r="AF98" s="177" t="str">
        <f t="shared" si="42"/>
        <v/>
      </c>
      <c r="AG98" s="177" t="str">
        <f t="shared" si="43"/>
        <v>E</v>
      </c>
      <c r="AH98" s="177" cm="1">
        <f t="array" ref="AH98">_xlfn.IFS(COUNTIF($N98:$P98,"合意済")=3,4,OR(COUNTIF($N98:$P98,"合意済")=2,COUNTIF($N98:$P98,"合意済")=1),3,COUNTIF($N98:$P98,"合意済")=0,2)</f>
        <v>2</v>
      </c>
      <c r="AI98" s="177" t="e">
        <f t="shared" ca="1" si="45"/>
        <v>#VALUE!</v>
      </c>
      <c r="AJ98" s="177" t="str">
        <f t="shared" ca="1" si="39"/>
        <v/>
      </c>
    </row>
    <row r="99" spans="2:36" ht="21" customHeight="1">
      <c r="D99" s="239"/>
      <c r="F99" s="967" t="s">
        <v>8</v>
      </c>
      <c r="G99" s="976" t="s">
        <v>186</v>
      </c>
      <c r="H99" s="976" t="s">
        <v>181</v>
      </c>
      <c r="I99" s="974" t="s">
        <v>31</v>
      </c>
      <c r="J99" s="976" t="s">
        <v>187</v>
      </c>
      <c r="K99" s="976" t="s">
        <v>81</v>
      </c>
      <c r="L99" s="983" t="s">
        <v>184</v>
      </c>
      <c r="M99" s="947" t="s">
        <v>185</v>
      </c>
      <c r="N99" s="947"/>
      <c r="O99" s="947"/>
      <c r="P99" s="947"/>
      <c r="Q99" s="981" t="s">
        <v>306</v>
      </c>
      <c r="R99" s="19"/>
      <c r="T99" s="981" t="s">
        <v>314</v>
      </c>
      <c r="V99" s="177">
        <f t="shared" si="40"/>
        <v>92</v>
      </c>
      <c r="W99" s="217">
        <f ca="1">IF(OFFSET('4.1(2)新規再エネ導入予定（設備情報）'!$O$1,MATCH(X99,'4.1(2)新規再エネ導入予定（設備情報）'!$Z:$Z,0)-1,0)="低圧",1,0)</f>
        <v>0</v>
      </c>
      <c r="X99" s="127" t="str">
        <f ca="1">IFERROR(IF(AND(G99="",L99&lt;&gt;""),MAX(OFFSET($X$8,0,0,ROW()-8,1)),OFFSET('4.1(2)新規再エネ導入予定（設備情報）'!$Z$1,MATCH($G99,'4.1(2)新規再エネ導入予定（設備情報）'!$G:$G,0)-1,0)),"")</f>
        <v>施設
カウント</v>
      </c>
      <c r="Y99" s="272">
        <f t="shared" si="44"/>
        <v>0</v>
      </c>
      <c r="Z99" s="263">
        <f t="shared" ca="1" si="37"/>
        <v>0</v>
      </c>
      <c r="AA99" s="272">
        <f t="shared" si="28"/>
        <v>0</v>
      </c>
      <c r="AB99" s="264">
        <f t="shared" ca="1" si="38"/>
        <v>1</v>
      </c>
      <c r="AC99" s="177">
        <f t="shared" si="32"/>
        <v>0</v>
      </c>
      <c r="AD99" s="177" t="str">
        <f t="shared" si="33"/>
        <v/>
      </c>
      <c r="AE99" s="177" t="str">
        <f t="shared" si="41"/>
        <v/>
      </c>
      <c r="AF99" s="177" t="str">
        <f t="shared" si="42"/>
        <v/>
      </c>
      <c r="AG99" s="177" t="str">
        <f t="shared" si="43"/>
        <v>E</v>
      </c>
      <c r="AH99" s="177" cm="1">
        <f t="array" ref="AH99">_xlfn.IFS(COUNTIF($N99:$P99,"合意済")=3,4,OR(COUNTIF($N99:$P99,"合意済")=2,COUNTIF($N99:$P99,"合意済")=1),3,COUNTIF($N99:$P99,"合意済")=0,2)</f>
        <v>2</v>
      </c>
      <c r="AI99" s="177" t="e">
        <f t="shared" ca="1" si="45"/>
        <v>#VALUE!</v>
      </c>
      <c r="AJ99" s="177" t="str">
        <f t="shared" ca="1" si="39"/>
        <v/>
      </c>
    </row>
    <row r="100" spans="2:36" ht="42" customHeight="1">
      <c r="D100" s="16"/>
      <c r="E100" s="273"/>
      <c r="F100" s="967"/>
      <c r="G100" s="977"/>
      <c r="H100" s="977"/>
      <c r="I100" s="975"/>
      <c r="J100" s="977"/>
      <c r="K100" s="977"/>
      <c r="L100" s="984"/>
      <c r="M100" s="436" t="s">
        <v>197</v>
      </c>
      <c r="N100" s="436" t="s">
        <v>101</v>
      </c>
      <c r="O100" s="436" t="s">
        <v>196</v>
      </c>
      <c r="P100" s="367" t="s">
        <v>100</v>
      </c>
      <c r="Q100" s="982"/>
      <c r="R100" s="19"/>
      <c r="T100" s="982"/>
      <c r="V100" s="177">
        <f t="shared" si="40"/>
        <v>93</v>
      </c>
      <c r="W100" s="217">
        <f ca="1">IF(OFFSET('4.1(2)新規再エネ導入予定（設備情報）'!$O$1,MATCH(X100,'4.1(2)新規再エネ導入予定（設備情報）'!$Z:$Z,0)-1,0)="低圧",1,0)</f>
        <v>0</v>
      </c>
      <c r="X100" s="127" t="str">
        <f ca="1">IFERROR(IF(AND(G100="",L100&lt;&gt;""),MAX(OFFSET($X$8,0,0,ROW()-8,1)),OFFSET('4.1(2)新規再エネ導入予定（設備情報）'!$Z$1,MATCH($G100,'4.1(2)新規再エネ導入予定（設備情報）'!$G:$G,0)-1,0)),"")</f>
        <v/>
      </c>
      <c r="Y100" s="272">
        <f t="shared" si="44"/>
        <v>0</v>
      </c>
      <c r="Z100" s="263">
        <f t="shared" ca="1" si="37"/>
        <v>0</v>
      </c>
      <c r="AA100" s="272">
        <f t="shared" si="28"/>
        <v>0</v>
      </c>
      <c r="AB100" s="264">
        <f t="shared" ca="1" si="38"/>
        <v>1</v>
      </c>
      <c r="AC100" s="177">
        <f t="shared" si="32"/>
        <v>0</v>
      </c>
      <c r="AD100" s="177">
        <f t="shared" si="33"/>
        <v>0</v>
      </c>
      <c r="AE100" s="177">
        <f t="shared" si="41"/>
        <v>0</v>
      </c>
      <c r="AF100" s="177">
        <f t="shared" si="42"/>
        <v>0</v>
      </c>
      <c r="AG100" s="177">
        <f t="shared" ca="1" si="43"/>
        <v>0</v>
      </c>
      <c r="AH100" s="177" cm="1">
        <f t="array" ref="AH100">_xlfn.IFS(COUNTIF($N100:$P100,"合意済")=3,4,OR(COUNTIF($N100:$P100,"合意済")=2,COUNTIF($N100:$P100,"合意済")=1),3,COUNTIF($N100:$P100,"合意済")=0,2)</f>
        <v>2</v>
      </c>
      <c r="AI100" s="177">
        <f t="shared" ca="1" si="45"/>
        <v>0</v>
      </c>
      <c r="AJ100" s="177" t="str">
        <f t="shared" ca="1" si="39"/>
        <v/>
      </c>
    </row>
    <row r="101" spans="2:36" s="11" customFormat="1" hidden="1">
      <c r="B101" s="21"/>
      <c r="C101" s="21"/>
      <c r="D101" s="22"/>
      <c r="E101" s="130"/>
      <c r="F101" s="714"/>
      <c r="G101" s="482"/>
      <c r="H101" s="498"/>
      <c r="I101" s="499"/>
      <c r="J101" s="500"/>
      <c r="K101" s="501"/>
      <c r="L101" s="484"/>
      <c r="M101" s="487"/>
      <c r="N101" s="487"/>
      <c r="O101" s="487"/>
      <c r="P101" s="487"/>
      <c r="Q101" s="487"/>
      <c r="R101" s="24"/>
      <c r="S101" s="21"/>
      <c r="T101" s="487"/>
      <c r="V101" s="257">
        <f t="shared" si="40"/>
        <v>94</v>
      </c>
      <c r="W101" s="131">
        <f ca="1">IF(OFFSET('4.1(2)新規再エネ導入予定（設備情報）'!$O$1,MATCH(X101,'4.1(2)新規再エネ導入予定（設備情報）'!$Z:$Z,0)-1,0)="低圧",1,0)</f>
        <v>0</v>
      </c>
      <c r="X101" s="127" t="str">
        <f ca="1">IFERROR(IF(AND(G101="",L101&lt;&gt;""),MAX(OFFSET($X$8,0,0,ROW()-8,1)),OFFSET('4.1(2)新規再エネ導入予定（設備情報）'!$Z$1,MATCH($G101,'4.1(2)新規再エネ導入予定（設備情報）'!$G:$G,0)-1,0)),"")</f>
        <v/>
      </c>
      <c r="Y101" s="226">
        <f t="shared" si="44"/>
        <v>0</v>
      </c>
      <c r="Z101" s="226">
        <f t="shared" ca="1" si="37"/>
        <v>0</v>
      </c>
      <c r="AA101" s="226">
        <f t="shared" si="28"/>
        <v>0</v>
      </c>
      <c r="AB101" s="279">
        <f t="shared" ca="1" si="38"/>
        <v>1</v>
      </c>
      <c r="AC101" s="257" t="str">
        <f t="shared" si="32"/>
        <v/>
      </c>
      <c r="AD101" s="257" t="str">
        <f t="shared" si="33"/>
        <v/>
      </c>
      <c r="AE101" s="257" t="str">
        <f t="shared" si="41"/>
        <v/>
      </c>
      <c r="AF101" s="257" t="str">
        <f t="shared" si="42"/>
        <v/>
      </c>
      <c r="AG101" s="257" t="str">
        <f t="shared" si="43"/>
        <v>E</v>
      </c>
      <c r="AH101" s="257" cm="1">
        <f t="array" ref="AH101">_xlfn.IFS(COUNTIF($N101:$P101,"合意済")=3,4,OR(COUNTIF($N101:$P101,"合意済")=2,COUNTIF($N101:$P101,"合意済")=1),3,COUNTIF($N101:$P101,"合意済")=0,2)</f>
        <v>2</v>
      </c>
      <c r="AI101" s="257" t="e">
        <f t="shared" ca="1" si="45"/>
        <v>#VALUE!</v>
      </c>
      <c r="AJ101" s="257" t="str">
        <f t="shared" ca="1" si="39"/>
        <v/>
      </c>
    </row>
    <row r="102" spans="2:36" s="11" customFormat="1">
      <c r="B102" s="21"/>
      <c r="C102" s="21"/>
      <c r="D102" s="22"/>
      <c r="E102" s="130"/>
      <c r="F102" s="492" t="str">
        <f ca="1">IFERROR(OFFSET('4.1(2)新規再エネ導入予定（設備情報）'!$F$1,MATCH(G102,'4.1(2)新規再エネ導入予定（設備情報）'!$G:$G,0)-1,0),"")</f>
        <v/>
      </c>
      <c r="G102" s="483"/>
      <c r="H102" s="494" t="str">
        <f ca="1">IFERROR(OFFSET('4.1(2)新規再エネ導入予定（設備情報）'!$H$1,MATCH(G102,'4.1(2)新規再エネ導入予定（設備情報）'!$G:$G,0)-1,0)&amp;"","")</f>
        <v/>
      </c>
      <c r="I102" s="495" t="str">
        <f ca="1">IFERROR(OFFSET('4.1(2)新規再エネ導入予定（設備情報）'!$L$1,MATCH(G102,'4.1(2)新規再エネ導入予定（設備情報）'!$G:$G,0)-1,0),"")</f>
        <v/>
      </c>
      <c r="J102" s="496" t="str">
        <f ca="1">IFERROR(OFFSET('4.1(2)新規再エネ導入予定（設備情報）'!$O$1,MATCH(G102,'4.1(2)新規再エネ導入予定（設備情報）'!$G:$G,0)-1,0),"")</f>
        <v/>
      </c>
      <c r="K102" s="497" t="str">
        <f ca="1">IFERROR(OFFSET('4.1(2)新規再エネ導入予定（設備情報）'!$P$1,MATCH(G102,'4.1(2)新規再エネ導入予定（設備情報）'!$G:$G,0)-1,0),"")</f>
        <v/>
      </c>
      <c r="L102" s="486"/>
      <c r="M102" s="489"/>
      <c r="N102" s="489"/>
      <c r="O102" s="489"/>
      <c r="P102" s="489"/>
      <c r="Q102" s="489"/>
      <c r="R102" s="24"/>
      <c r="S102" s="21"/>
      <c r="T102" s="489"/>
      <c r="V102" s="257">
        <f t="shared" si="40"/>
        <v>95</v>
      </c>
      <c r="W102" s="131">
        <f ca="1">IF(OFFSET('4.1(2)新規再エネ導入予定（設備情報）'!$O$1,MATCH(X102,'4.1(2)新規再エネ導入予定（設備情報）'!$Z:$Z,0)-1,0)="低圧",1,0)</f>
        <v>0</v>
      </c>
      <c r="X102" s="127" t="str">
        <f ca="1">IFERROR(IF(AND(G102="",L102&lt;&gt;""),MAX(OFFSET($X$8,0,0,ROW()-8,1)),OFFSET('4.1(2)新規再エネ導入予定（設備情報）'!$Z$1,MATCH($G102,'4.1(2)新規再エネ導入予定（設備情報）'!$G:$G,0)-1,0)),"")</f>
        <v/>
      </c>
      <c r="Y102" s="225">
        <f t="shared" si="44"/>
        <v>0</v>
      </c>
      <c r="Z102" s="226">
        <f t="shared" ca="1" si="37"/>
        <v>0</v>
      </c>
      <c r="AA102" s="225">
        <f t="shared" si="28"/>
        <v>0</v>
      </c>
      <c r="AB102" s="279">
        <f t="shared" ca="1" si="38"/>
        <v>1</v>
      </c>
      <c r="AC102" s="257" t="str">
        <f t="shared" si="32"/>
        <v/>
      </c>
      <c r="AD102" s="257" t="str">
        <f t="shared" si="33"/>
        <v/>
      </c>
      <c r="AE102" s="257" t="str">
        <f t="shared" si="41"/>
        <v/>
      </c>
      <c r="AF102" s="257" t="str">
        <f t="shared" si="42"/>
        <v/>
      </c>
      <c r="AG102" s="257" t="str">
        <f t="shared" si="43"/>
        <v>E</v>
      </c>
      <c r="AH102" s="257" cm="1">
        <f t="array" ref="AH102">_xlfn.IFS(COUNTIF($N102:$P102,"合意済")=3,4,OR(COUNTIF($N102:$P102,"合意済")=2,COUNTIF($N102:$P102,"合意済")=1),3,COUNTIF($N102:$P102,"合意済")=0,2)</f>
        <v>2</v>
      </c>
      <c r="AI102" s="257" t="e">
        <f t="shared" ca="1" si="45"/>
        <v>#VALUE!</v>
      </c>
      <c r="AJ102" s="257" t="str">
        <f t="shared" ca="1" si="39"/>
        <v/>
      </c>
    </row>
    <row r="103" spans="2:36" s="11" customFormat="1">
      <c r="B103" s="21"/>
      <c r="C103" s="21"/>
      <c r="D103" s="22"/>
      <c r="E103" s="130"/>
      <c r="F103" s="492" t="str">
        <f ca="1">IFERROR(OFFSET('4.1(2)新規再エネ導入予定（設備情報）'!$F$1,MATCH(G103,'4.1(2)新規再エネ導入予定（設備情報）'!$G:$G,0)-1,0),"")</f>
        <v/>
      </c>
      <c r="G103" s="483"/>
      <c r="H103" s="494" t="str">
        <f ca="1">IFERROR(OFFSET('4.1(2)新規再エネ導入予定（設備情報）'!$H$1,MATCH(G103,'4.1(2)新規再エネ導入予定（設備情報）'!$G:$G,0)-1,0)&amp;"","")</f>
        <v/>
      </c>
      <c r="I103" s="495" t="str">
        <f ca="1">IFERROR(OFFSET('4.1(2)新規再エネ導入予定（設備情報）'!$L$1,MATCH(G103,'4.1(2)新規再エネ導入予定（設備情報）'!$G:$G,0)-1,0),"")</f>
        <v/>
      </c>
      <c r="J103" s="496" t="str">
        <f ca="1">IFERROR(OFFSET('4.1(2)新規再エネ導入予定（設備情報）'!$O$1,MATCH(G103,'4.1(2)新規再エネ導入予定（設備情報）'!$G:$G,0)-1,0),"")</f>
        <v/>
      </c>
      <c r="K103" s="497" t="str">
        <f ca="1">IFERROR(OFFSET('4.1(2)新規再エネ導入予定（設備情報）'!$P$1,MATCH(G103,'4.1(2)新規再エネ導入予定（設備情報）'!$G:$G,0)-1,0),"")</f>
        <v/>
      </c>
      <c r="L103" s="486"/>
      <c r="M103" s="489"/>
      <c r="N103" s="489"/>
      <c r="O103" s="489"/>
      <c r="P103" s="489"/>
      <c r="Q103" s="489"/>
      <c r="R103" s="24"/>
      <c r="S103" s="21"/>
      <c r="T103" s="489"/>
      <c r="V103" s="257">
        <f t="shared" si="40"/>
        <v>96</v>
      </c>
      <c r="W103" s="131">
        <f ca="1">IF(OFFSET('4.1(2)新規再エネ導入予定（設備情報）'!$O$1,MATCH(X103,'4.1(2)新規再エネ導入予定（設備情報）'!$Z:$Z,0)-1,0)="低圧",1,0)</f>
        <v>0</v>
      </c>
      <c r="X103" s="127" t="str">
        <f ca="1">IFERROR(IF(AND(G103="",L103&lt;&gt;""),MAX(OFFSET($X$8,0,0,ROW()-8,1)),OFFSET('4.1(2)新規再エネ導入予定（設備情報）'!$Z$1,MATCH($G103,'4.1(2)新規再エネ導入予定（設備情報）'!$G:$G,0)-1,0)),"")</f>
        <v/>
      </c>
      <c r="Y103" s="225">
        <f t="shared" si="44"/>
        <v>0</v>
      </c>
      <c r="Z103" s="226">
        <f t="shared" ca="1" si="37"/>
        <v>0</v>
      </c>
      <c r="AA103" s="225">
        <f t="shared" si="28"/>
        <v>0</v>
      </c>
      <c r="AB103" s="279">
        <f t="shared" ca="1" si="38"/>
        <v>1</v>
      </c>
      <c r="AC103" s="257" t="str">
        <f t="shared" si="32"/>
        <v/>
      </c>
      <c r="AD103" s="257" t="str">
        <f t="shared" si="33"/>
        <v/>
      </c>
      <c r="AE103" s="257" t="str">
        <f t="shared" si="41"/>
        <v/>
      </c>
      <c r="AF103" s="257" t="str">
        <f t="shared" si="42"/>
        <v/>
      </c>
      <c r="AG103" s="257" t="str">
        <f t="shared" si="43"/>
        <v>E</v>
      </c>
      <c r="AH103" s="257" cm="1">
        <f t="array" ref="AH103">_xlfn.IFS(COUNTIF($N103:$P103,"合意済")=3,4,OR(COUNTIF($N103:$P103,"合意済")=2,COUNTIF($N103:$P103,"合意済")=1),3,COUNTIF($N103:$P103,"合意済")=0,2)</f>
        <v>2</v>
      </c>
      <c r="AI103" s="257" t="e">
        <f t="shared" ca="1" si="45"/>
        <v>#VALUE!</v>
      </c>
      <c r="AJ103" s="257" t="str">
        <f t="shared" ca="1" si="39"/>
        <v/>
      </c>
    </row>
    <row r="104" spans="2:36" s="11" customFormat="1">
      <c r="B104" s="21"/>
      <c r="C104" s="21"/>
      <c r="D104" s="22"/>
      <c r="E104" s="130"/>
      <c r="F104" s="492" t="str">
        <f ca="1">IFERROR(OFFSET('4.1(2)新規再エネ導入予定（設備情報）'!$F$1,MATCH(G104,'4.1(2)新規再エネ導入予定（設備情報）'!$G:$G,0)-1,0),"")</f>
        <v/>
      </c>
      <c r="G104" s="483"/>
      <c r="H104" s="494" t="str">
        <f ca="1">IFERROR(OFFSET('4.1(2)新規再エネ導入予定（設備情報）'!$H$1,MATCH(G104,'4.1(2)新規再エネ導入予定（設備情報）'!$G:$G,0)-1,0)&amp;"","")</f>
        <v/>
      </c>
      <c r="I104" s="495" t="str">
        <f ca="1">IFERROR(OFFSET('4.1(2)新規再エネ導入予定（設備情報）'!$L$1,MATCH(G104,'4.1(2)新規再エネ導入予定（設備情報）'!$G:$G,0)-1,0),"")</f>
        <v/>
      </c>
      <c r="J104" s="496" t="str">
        <f ca="1">IFERROR(OFFSET('4.1(2)新規再エネ導入予定（設備情報）'!$O$1,MATCH(G104,'4.1(2)新規再エネ導入予定（設備情報）'!$G:$G,0)-1,0),"")</f>
        <v/>
      </c>
      <c r="K104" s="497" t="str">
        <f ca="1">IFERROR(OFFSET('4.1(2)新規再エネ導入予定（設備情報）'!$P$1,MATCH(G104,'4.1(2)新規再エネ導入予定（設備情報）'!$G:$G,0)-1,0),"")</f>
        <v/>
      </c>
      <c r="L104" s="486"/>
      <c r="M104" s="489"/>
      <c r="N104" s="489"/>
      <c r="O104" s="489"/>
      <c r="P104" s="489"/>
      <c r="Q104" s="489"/>
      <c r="R104" s="24"/>
      <c r="S104" s="21"/>
      <c r="T104" s="489"/>
      <c r="V104" s="257">
        <f t="shared" si="40"/>
        <v>97</v>
      </c>
      <c r="W104" s="131">
        <f ca="1">IF(OFFSET('4.1(2)新規再エネ導入予定（設備情報）'!$O$1,MATCH(X104,'4.1(2)新規再エネ導入予定（設備情報）'!$Z:$Z,0)-1,0)="低圧",1,0)</f>
        <v>0</v>
      </c>
      <c r="X104" s="127" t="str">
        <f ca="1">IFERROR(IF(AND(G104="",L104&lt;&gt;""),MAX(OFFSET($X$8,0,0,ROW()-8,1)),OFFSET('4.1(2)新規再エネ導入予定（設備情報）'!$Z$1,MATCH($G104,'4.1(2)新規再エネ導入予定（設備情報）'!$G:$G,0)-1,0)),"")</f>
        <v/>
      </c>
      <c r="Y104" s="225">
        <f t="shared" si="44"/>
        <v>0</v>
      </c>
      <c r="Z104" s="226">
        <f t="shared" ref="Z104:Z135" ca="1" si="46">SUMIF($X$8:$X$171,X104,$Y$8:$Y$171)</f>
        <v>0</v>
      </c>
      <c r="AA104" s="225">
        <f t="shared" si="28"/>
        <v>0</v>
      </c>
      <c r="AB104" s="279">
        <f t="shared" ref="AB104:AB135" ca="1" si="47">IF(COUNTIFS($X$8:$X$171,X104,$Y$8:$Y$171,1)=0,1,COUNTIFS($X$8:$X$171,X104,$Y$8:$Y$171,1,$AA$8:$AA$171,1))</f>
        <v>1</v>
      </c>
      <c r="AC104" s="257" t="str">
        <f t="shared" si="32"/>
        <v/>
      </c>
      <c r="AD104" s="257" t="str">
        <f t="shared" si="33"/>
        <v/>
      </c>
      <c r="AE104" s="257" t="str">
        <f t="shared" si="41"/>
        <v/>
      </c>
      <c r="AF104" s="257" t="str">
        <f t="shared" si="42"/>
        <v/>
      </c>
      <c r="AG104" s="257" t="str">
        <f t="shared" si="43"/>
        <v>E</v>
      </c>
      <c r="AH104" s="257" cm="1">
        <f t="array" ref="AH104">_xlfn.IFS(COUNTIF($N104:$P104,"合意済")=3,4,OR(COUNTIF($N104:$P104,"合意済")=2,COUNTIF($N104:$P104,"合意済")=1),3,COUNTIF($N104:$P104,"合意済")=0,2)</f>
        <v>2</v>
      </c>
      <c r="AI104" s="257" t="e">
        <f t="shared" ca="1" si="45"/>
        <v>#VALUE!</v>
      </c>
      <c r="AJ104" s="257" t="str">
        <f t="shared" ref="AJ104:AJ135" ca="1" si="48">IFERROR(_xlfn.MINIFS($AI$8:$AI$171,$X$8:$X$171,X104),"")</f>
        <v/>
      </c>
    </row>
    <row r="105" spans="2:36" s="11" customFormat="1">
      <c r="B105" s="21"/>
      <c r="C105" s="21"/>
      <c r="D105" s="22"/>
      <c r="E105" s="130"/>
      <c r="F105" s="492" t="str">
        <f ca="1">IFERROR(OFFSET('4.1(2)新規再エネ導入予定（設備情報）'!$F$1,MATCH(G105,'4.1(2)新規再エネ導入予定（設備情報）'!$G:$G,0)-1,0),"")</f>
        <v/>
      </c>
      <c r="G105" s="483"/>
      <c r="H105" s="494" t="str">
        <f ca="1">IFERROR(OFFSET('4.1(2)新規再エネ導入予定（設備情報）'!$H$1,MATCH(G105,'4.1(2)新規再エネ導入予定（設備情報）'!$G:$G,0)-1,0)&amp;"","")</f>
        <v/>
      </c>
      <c r="I105" s="495" t="str">
        <f ca="1">IFERROR(OFFSET('4.1(2)新規再エネ導入予定（設備情報）'!$L$1,MATCH(G105,'4.1(2)新規再エネ導入予定（設備情報）'!$G:$G,0)-1,0),"")</f>
        <v/>
      </c>
      <c r="J105" s="496" t="str">
        <f ca="1">IFERROR(OFFSET('4.1(2)新規再エネ導入予定（設備情報）'!$O$1,MATCH(G105,'4.1(2)新規再エネ導入予定（設備情報）'!$G:$G,0)-1,0),"")</f>
        <v/>
      </c>
      <c r="K105" s="497" t="str">
        <f ca="1">IFERROR(OFFSET('4.1(2)新規再エネ導入予定（設備情報）'!$P$1,MATCH(G105,'4.1(2)新規再エネ導入予定（設備情報）'!$G:$G,0)-1,0),"")</f>
        <v/>
      </c>
      <c r="L105" s="486"/>
      <c r="M105" s="489"/>
      <c r="N105" s="489"/>
      <c r="O105" s="489"/>
      <c r="P105" s="489"/>
      <c r="Q105" s="489"/>
      <c r="R105" s="24"/>
      <c r="S105" s="21"/>
      <c r="T105" s="489"/>
      <c r="V105" s="257">
        <f t="shared" si="40"/>
        <v>98</v>
      </c>
      <c r="W105" s="131">
        <f ca="1">IF(OFFSET('4.1(2)新規再エネ導入予定（設備情報）'!$O$1,MATCH(X105,'4.1(2)新規再エネ導入予定（設備情報）'!$Z:$Z,0)-1,0)="低圧",1,0)</f>
        <v>0</v>
      </c>
      <c r="X105" s="127" t="str">
        <f ca="1">IFERROR(IF(AND(G105="",L105&lt;&gt;""),MAX(OFFSET($X$8,0,0,ROW()-8,1)),OFFSET('4.1(2)新規再エネ導入予定（設備情報）'!$Z$1,MATCH($G105,'4.1(2)新規再エネ導入予定（設備情報）'!$G:$G,0)-1,0)),"")</f>
        <v/>
      </c>
      <c r="Y105" s="225">
        <f t="shared" si="44"/>
        <v>0</v>
      </c>
      <c r="Z105" s="226">
        <f t="shared" ca="1" si="46"/>
        <v>0</v>
      </c>
      <c r="AA105" s="225">
        <f t="shared" si="28"/>
        <v>0</v>
      </c>
      <c r="AB105" s="279">
        <f t="shared" ca="1" si="47"/>
        <v>1</v>
      </c>
      <c r="AC105" s="257" t="str">
        <f t="shared" si="32"/>
        <v/>
      </c>
      <c r="AD105" s="257" t="str">
        <f t="shared" si="33"/>
        <v/>
      </c>
      <c r="AE105" s="257" t="str">
        <f t="shared" ref="AE105:AE136" si="49">IF(O105="","",IF(OR(O105="説明済",O105="協議中",O105="合意済"),1,0))</f>
        <v/>
      </c>
      <c r="AF105" s="257" t="str">
        <f t="shared" ref="AF105:AF136" si="50">IF(P105="","",IF(OR(P105="説明済",P105="協議中",P105="合意済"),1,0))</f>
        <v/>
      </c>
      <c r="AG105" s="257" t="str">
        <f t="shared" si="43"/>
        <v>E</v>
      </c>
      <c r="AH105" s="257" cm="1">
        <f t="array" ref="AH105">_xlfn.IFS(COUNTIF($N105:$P105,"合意済")=3,4,OR(COUNTIF($N105:$P105,"合意済")=2,COUNTIF($N105:$P105,"合意済")=1),3,COUNTIF($N105:$P105,"合意済")=0,2)</f>
        <v>2</v>
      </c>
      <c r="AI105" s="257" t="e">
        <f t="shared" ca="1" si="45"/>
        <v>#VALUE!</v>
      </c>
      <c r="AJ105" s="257" t="str">
        <f t="shared" ca="1" si="48"/>
        <v/>
      </c>
    </row>
    <row r="106" spans="2:36">
      <c r="D106" s="16"/>
      <c r="E106" s="274"/>
      <c r="F106" s="191" t="s">
        <v>26</v>
      </c>
      <c r="G106" s="242"/>
      <c r="H106" s="242"/>
      <c r="I106" s="275"/>
      <c r="J106" s="276"/>
      <c r="K106" s="502">
        <f ca="1">SUM(INDIRECT("K"&amp;ROW(K99)&amp;":K"&amp;ROW()-1))</f>
        <v>0</v>
      </c>
      <c r="L106" s="276"/>
      <c r="M106" s="244"/>
      <c r="N106" s="244"/>
      <c r="O106" s="244"/>
      <c r="P106" s="244"/>
      <c r="Q106" s="244"/>
      <c r="R106" s="19"/>
      <c r="T106" s="244"/>
      <c r="V106" s="177">
        <f t="shared" si="40"/>
        <v>99</v>
      </c>
      <c r="W106" s="217">
        <f ca="1">IF(OFFSET('4.1(2)新規再エネ導入予定（設備情報）'!$O$1,MATCH(X106,'4.1(2)新規再エネ導入予定（設備情報）'!$Z:$Z,0)-1,0)="低圧",1,0)</f>
        <v>0</v>
      </c>
      <c r="X106" s="127" t="str">
        <f ca="1">IFERROR(IF(AND(G106="",L106&lt;&gt;""),MAX(OFFSET($X$8,0,0,ROW()-8,1)),OFFSET('4.1(2)新規再エネ導入予定（設備情報）'!$Z$1,MATCH($G106,'4.1(2)新規再エネ導入予定（設備情報）'!$G:$G,0)-1,0)),"")</f>
        <v/>
      </c>
      <c r="Y106" s="224">
        <f t="shared" si="44"/>
        <v>0</v>
      </c>
      <c r="Z106" s="263">
        <f t="shared" ca="1" si="46"/>
        <v>0</v>
      </c>
      <c r="AA106" s="224">
        <f t="shared" si="28"/>
        <v>0</v>
      </c>
      <c r="AB106" s="264">
        <f t="shared" ca="1" si="47"/>
        <v>1</v>
      </c>
      <c r="AC106" s="177" t="str">
        <f t="shared" si="32"/>
        <v/>
      </c>
      <c r="AD106" s="177" t="str">
        <f t="shared" si="33"/>
        <v/>
      </c>
      <c r="AE106" s="177" t="str">
        <f t="shared" si="49"/>
        <v/>
      </c>
      <c r="AF106" s="177" t="str">
        <f t="shared" si="50"/>
        <v/>
      </c>
      <c r="AG106" s="177" t="str">
        <f t="shared" si="43"/>
        <v>E</v>
      </c>
      <c r="AH106" s="177" cm="1">
        <f t="array" ref="AH106">_xlfn.IFS(COUNTIF($N106:$P106,"合意済")=3,4,OR(COUNTIF($N106:$P106,"合意済")=2,COUNTIF($N106:$P106,"合意済")=1),3,COUNTIF($N106:$P106,"合意済")=0,2)</f>
        <v>2</v>
      </c>
      <c r="AI106" s="177" t="e">
        <f t="shared" ca="1" si="45"/>
        <v>#VALUE!</v>
      </c>
      <c r="AJ106" s="177" t="str">
        <f t="shared" ca="1" si="48"/>
        <v/>
      </c>
    </row>
    <row r="107" spans="2:36">
      <c r="D107" s="46"/>
      <c r="E107" s="26"/>
      <c r="F107" s="26"/>
      <c r="G107" s="4"/>
      <c r="H107" s="4"/>
      <c r="I107" s="124"/>
      <c r="J107" s="4"/>
      <c r="K107" s="4"/>
      <c r="L107" s="4"/>
      <c r="M107" s="125"/>
      <c r="N107" s="125"/>
      <c r="O107" s="125"/>
      <c r="P107" s="125"/>
      <c r="Q107" s="125"/>
      <c r="R107" s="27"/>
      <c r="S107"/>
      <c r="T107" s="249"/>
      <c r="U107" s="249"/>
      <c r="V107" s="177">
        <f t="shared" si="40"/>
        <v>100</v>
      </c>
      <c r="W107" s="217">
        <f ca="1">IF(OFFSET('4.1(2)新規再エネ導入予定（設備情報）'!$O$1,MATCH(X107,'4.1(2)新規再エネ導入予定（設備情報）'!$Z:$Z,0)-1,0)="低圧",1,0)</f>
        <v>0</v>
      </c>
      <c r="X107" s="127" t="str">
        <f ca="1">IFERROR(IF(AND(G107="",L107&lt;&gt;""),MAX(OFFSET($X$8,0,0,ROW()-8,1)),OFFSET('4.1(2)新規再エネ導入予定（設備情報）'!$Z$1,MATCH($G107,'4.1(2)新規再エネ導入予定（設備情報）'!$G:$G,0)-1,0)),"")</f>
        <v/>
      </c>
      <c r="Y107" s="224">
        <f t="shared" si="44"/>
        <v>0</v>
      </c>
      <c r="Z107" s="263">
        <f t="shared" ca="1" si="46"/>
        <v>0</v>
      </c>
      <c r="AA107" s="224">
        <f t="shared" si="28"/>
        <v>0</v>
      </c>
      <c r="AB107" s="264">
        <f t="shared" ca="1" si="47"/>
        <v>1</v>
      </c>
      <c r="AC107" s="177" t="str">
        <f t="shared" si="32"/>
        <v/>
      </c>
      <c r="AD107" s="177" t="str">
        <f t="shared" si="33"/>
        <v/>
      </c>
      <c r="AE107" s="177" t="str">
        <f t="shared" si="49"/>
        <v/>
      </c>
      <c r="AF107" s="177" t="str">
        <f t="shared" si="50"/>
        <v/>
      </c>
      <c r="AG107" s="177" t="str">
        <f t="shared" si="43"/>
        <v>E</v>
      </c>
      <c r="AH107" s="177" cm="1">
        <f t="array" ref="AH107">_xlfn.IFS(COUNTIF($N107:$P107,"合意済")=3,4,OR(COUNTIF($N107:$P107,"合意済")=2,COUNTIF($N107:$P107,"合意済")=1),3,COUNTIF($N107:$P107,"合意済")=0,2)</f>
        <v>2</v>
      </c>
      <c r="AI107" s="177" t="e">
        <f t="shared" ca="1" si="45"/>
        <v>#VALUE!</v>
      </c>
      <c r="AJ107" s="177" t="str">
        <f t="shared" ca="1" si="48"/>
        <v/>
      </c>
    </row>
    <row r="108" spans="2:36">
      <c r="F108" s="31"/>
      <c r="G108" s="31"/>
      <c r="H108" s="31"/>
      <c r="I108" s="270"/>
      <c r="J108" s="31"/>
      <c r="K108" s="31"/>
      <c r="L108" s="31"/>
      <c r="M108" s="249"/>
      <c r="N108" s="249"/>
      <c r="O108" s="249"/>
      <c r="P108" s="249"/>
      <c r="Q108" s="249"/>
      <c r="T108" s="249"/>
      <c r="U108" s="249"/>
      <c r="V108" s="177">
        <f t="shared" si="40"/>
        <v>101</v>
      </c>
      <c r="W108" s="217">
        <f ca="1">IF(OFFSET('4.1(2)新規再エネ導入予定（設備情報）'!$O$1,MATCH(X108,'4.1(2)新規再エネ導入予定（設備情報）'!$Z:$Z,0)-1,0)="低圧",1,0)</f>
        <v>0</v>
      </c>
      <c r="X108" s="127" t="str">
        <f ca="1">IFERROR(IF(AND(G108="",L108&lt;&gt;""),MAX(OFFSET($X$8,0,0,ROW()-8,1)),OFFSET('4.1(2)新規再エネ導入予定（設備情報）'!$Z$1,MATCH($G108,'4.1(2)新規再エネ導入予定（設備情報）'!$G:$G,0)-1,0)),"")</f>
        <v/>
      </c>
      <c r="Y108" s="224">
        <f t="shared" si="44"/>
        <v>0</v>
      </c>
      <c r="Z108" s="263">
        <f t="shared" ca="1" si="46"/>
        <v>0</v>
      </c>
      <c r="AA108" s="224">
        <f t="shared" si="28"/>
        <v>0</v>
      </c>
      <c r="AB108" s="264">
        <f t="shared" ca="1" si="47"/>
        <v>1</v>
      </c>
      <c r="AC108" s="177" t="str">
        <f t="shared" si="32"/>
        <v/>
      </c>
      <c r="AD108" s="177" t="str">
        <f t="shared" si="33"/>
        <v/>
      </c>
      <c r="AE108" s="177" t="str">
        <f t="shared" si="49"/>
        <v/>
      </c>
      <c r="AF108" s="177" t="str">
        <f t="shared" si="50"/>
        <v/>
      </c>
      <c r="AG108" s="177" t="str">
        <f t="shared" si="43"/>
        <v>E</v>
      </c>
      <c r="AH108" s="177" cm="1">
        <f t="array" ref="AH108">_xlfn.IFS(COUNTIF($N108:$P108,"合意済")=3,4,OR(COUNTIF($N108:$P108,"合意済")=2,COUNTIF($N108:$P108,"合意済")=1),3,COUNTIF($N108:$P108,"合意済")=0,2)</f>
        <v>2</v>
      </c>
      <c r="AI108" s="177" t="e">
        <f t="shared" ca="1" si="45"/>
        <v>#VALUE!</v>
      </c>
      <c r="AJ108" s="177" t="str">
        <f t="shared" ca="1" si="48"/>
        <v/>
      </c>
    </row>
    <row r="109" spans="2:36">
      <c r="F109" s="31"/>
      <c r="G109" s="31"/>
      <c r="H109" s="31"/>
      <c r="I109" s="270"/>
      <c r="J109" s="31"/>
      <c r="K109" s="31"/>
      <c r="L109" s="31"/>
      <c r="M109" s="249"/>
      <c r="N109" s="249"/>
      <c r="O109" s="249"/>
      <c r="P109" s="249"/>
      <c r="Q109" s="249"/>
      <c r="T109" s="249"/>
      <c r="U109" s="249"/>
      <c r="V109" s="177">
        <f t="shared" si="40"/>
        <v>102</v>
      </c>
      <c r="W109" s="217">
        <f ca="1">IF(OFFSET('4.1(2)新規再エネ導入予定（設備情報）'!$O$1,MATCH(X109,'4.1(2)新規再エネ導入予定（設備情報）'!$Z:$Z,0)-1,0)="低圧",1,0)</f>
        <v>0</v>
      </c>
      <c r="X109" s="127" t="str">
        <f ca="1">IFERROR(IF(AND(G109="",L109&lt;&gt;""),MAX(OFFSET($X$8,0,0,ROW()-8,1)),OFFSET('4.1(2)新規再エネ導入予定（設備情報）'!$Z$1,MATCH($G109,'4.1(2)新規再エネ導入予定（設備情報）'!$G:$G,0)-1,0)),"")</f>
        <v/>
      </c>
      <c r="Y109" s="224">
        <f t="shared" si="44"/>
        <v>0</v>
      </c>
      <c r="Z109" s="263">
        <f t="shared" ca="1" si="46"/>
        <v>0</v>
      </c>
      <c r="AA109" s="224">
        <f t="shared" si="28"/>
        <v>0</v>
      </c>
      <c r="AB109" s="264">
        <f t="shared" ca="1" si="47"/>
        <v>1</v>
      </c>
      <c r="AC109" s="177" t="str">
        <f t="shared" si="32"/>
        <v/>
      </c>
      <c r="AD109" s="177" t="str">
        <f t="shared" si="33"/>
        <v/>
      </c>
      <c r="AE109" s="177" t="str">
        <f t="shared" si="49"/>
        <v/>
      </c>
      <c r="AF109" s="177" t="str">
        <f t="shared" si="50"/>
        <v/>
      </c>
      <c r="AG109" s="177" t="str">
        <f t="shared" si="43"/>
        <v>E</v>
      </c>
      <c r="AH109" s="177" cm="1">
        <f t="array" ref="AH109">_xlfn.IFS(COUNTIF($N109:$P109,"合意済")=3,4,OR(COUNTIF($N109:$P109,"合意済")=2,COUNTIF($N109:$P109,"合意済")=1),3,COUNTIF($N109:$P109,"合意済")=0,2)</f>
        <v>2</v>
      </c>
      <c r="AI109" s="177" t="e">
        <f t="shared" ca="1" si="45"/>
        <v>#VALUE!</v>
      </c>
      <c r="AJ109" s="177" t="str">
        <f t="shared" ca="1" si="48"/>
        <v/>
      </c>
    </row>
    <row r="110" spans="2:36" ht="9.75" customHeight="1">
      <c r="D110" s="14"/>
      <c r="E110" s="15"/>
      <c r="F110" s="15"/>
      <c r="G110" s="250"/>
      <c r="H110" s="15"/>
      <c r="I110" s="237"/>
      <c r="J110" s="15"/>
      <c r="K110" s="15"/>
      <c r="L110" s="15"/>
      <c r="M110" s="238"/>
      <c r="N110" s="238"/>
      <c r="O110" s="238"/>
      <c r="P110" s="238"/>
      <c r="Q110" s="238"/>
      <c r="R110" s="30"/>
      <c r="T110" s="231"/>
      <c r="U110" s="231"/>
      <c r="V110" s="177">
        <f t="shared" si="40"/>
        <v>103</v>
      </c>
      <c r="W110" s="217">
        <f ca="1">IF(OFFSET('4.1(2)新規再エネ導入予定（設備情報）'!$O$1,MATCH(X110,'4.1(2)新規再エネ導入予定（設備情報）'!$Z:$Z,0)-1,0)="低圧",1,0)</f>
        <v>0</v>
      </c>
      <c r="X110" s="127" t="str">
        <f ca="1">IFERROR(IF(AND(G110="",L110&lt;&gt;""),MAX(OFFSET($X$8,0,0,ROW()-8,1)),OFFSET('4.1(2)新規再エネ導入予定（設備情報）'!$Z$1,MATCH($G110,'4.1(2)新規再エネ導入予定（設備情報）'!$G:$G,0)-1,0)),"")</f>
        <v/>
      </c>
      <c r="Y110" s="224">
        <f t="shared" si="44"/>
        <v>0</v>
      </c>
      <c r="Z110" s="263">
        <f t="shared" ca="1" si="46"/>
        <v>0</v>
      </c>
      <c r="AA110" s="224">
        <f t="shared" si="28"/>
        <v>0</v>
      </c>
      <c r="AB110" s="264">
        <f t="shared" ca="1" si="47"/>
        <v>1</v>
      </c>
      <c r="AC110" s="177" t="str">
        <f t="shared" si="32"/>
        <v/>
      </c>
      <c r="AD110" s="177" t="str">
        <f t="shared" si="33"/>
        <v/>
      </c>
      <c r="AE110" s="177" t="str">
        <f t="shared" si="49"/>
        <v/>
      </c>
      <c r="AF110" s="177" t="str">
        <f t="shared" si="50"/>
        <v/>
      </c>
      <c r="AG110" s="177" t="str">
        <f t="shared" si="43"/>
        <v>E</v>
      </c>
      <c r="AH110" s="177" cm="1">
        <f t="array" ref="AH110">_xlfn.IFS(COUNTIF($N110:$P110,"合意済")=3,4,OR(COUNTIF($N110:$P110,"合意済")=2,COUNTIF($N110:$P110,"合意済")=1),3,COUNTIF($N110:$P110,"合意済")=0,2)</f>
        <v>2</v>
      </c>
      <c r="AI110" s="177" t="e">
        <f t="shared" ca="1" si="45"/>
        <v>#VALUE!</v>
      </c>
      <c r="AJ110" s="177" t="str">
        <f t="shared" ca="1" si="48"/>
        <v/>
      </c>
    </row>
    <row r="111" spans="2:36" ht="21">
      <c r="D111" s="239" t="s">
        <v>189</v>
      </c>
      <c r="F111" s="239"/>
      <c r="G111" s="271"/>
      <c r="I111" s="230"/>
      <c r="R111" s="19"/>
      <c r="T111" s="231"/>
      <c r="V111" s="177">
        <f t="shared" si="40"/>
        <v>104</v>
      </c>
      <c r="W111" s="217">
        <f ca="1">IF(OFFSET('4.1(2)新規再エネ導入予定（設備情報）'!$O$1,MATCH(X111,'4.1(2)新規再エネ導入予定（設備情報）'!$Z:$Z,0)-1,0)="低圧",1,0)</f>
        <v>0</v>
      </c>
      <c r="X111" s="127" t="str">
        <f ca="1">IFERROR(IF(AND(G111="",L111&lt;&gt;""),MAX(OFFSET($X$8,0,0,ROW()-8,1)),OFFSET('4.1(2)新規再エネ導入予定（設備情報）'!$Z$1,MATCH($G111,'4.1(2)新規再エネ導入予定（設備情報）'!$G:$G,0)-1,0)),"")</f>
        <v/>
      </c>
      <c r="Y111" s="224">
        <f t="shared" si="44"/>
        <v>0</v>
      </c>
      <c r="Z111" s="263">
        <f t="shared" ca="1" si="46"/>
        <v>0</v>
      </c>
      <c r="AA111" s="224">
        <f t="shared" si="28"/>
        <v>0</v>
      </c>
      <c r="AB111" s="264">
        <f t="shared" ca="1" si="47"/>
        <v>1</v>
      </c>
      <c r="AC111" s="177" t="str">
        <f t="shared" si="32"/>
        <v/>
      </c>
      <c r="AD111" s="177" t="str">
        <f t="shared" si="33"/>
        <v/>
      </c>
      <c r="AE111" s="177" t="str">
        <f t="shared" si="49"/>
        <v/>
      </c>
      <c r="AF111" s="177" t="str">
        <f t="shared" si="50"/>
        <v/>
      </c>
      <c r="AG111" s="177" t="str">
        <f t="shared" si="43"/>
        <v>E</v>
      </c>
      <c r="AH111" s="177" cm="1">
        <f t="array" ref="AH111">_xlfn.IFS(COUNTIF($N111:$P111,"合意済")=3,4,OR(COUNTIF($N111:$P111,"合意済")=2,COUNTIF($N111:$P111,"合意済")=1),3,COUNTIF($N111:$P111,"合意済")=0,2)</f>
        <v>2</v>
      </c>
      <c r="AI111" s="177" t="e">
        <f t="shared" ca="1" si="45"/>
        <v>#VALUE!</v>
      </c>
      <c r="AJ111" s="177" t="str">
        <f t="shared" ca="1" si="48"/>
        <v/>
      </c>
    </row>
    <row r="112" spans="2:36" ht="21" customHeight="1">
      <c r="D112" s="239"/>
      <c r="F112" s="967" t="s">
        <v>8</v>
      </c>
      <c r="G112" s="976" t="s">
        <v>186</v>
      </c>
      <c r="H112" s="976" t="s">
        <v>181</v>
      </c>
      <c r="I112" s="974" t="s">
        <v>31</v>
      </c>
      <c r="J112" s="976" t="s">
        <v>187</v>
      </c>
      <c r="K112" s="976" t="s">
        <v>81</v>
      </c>
      <c r="L112" s="983" t="s">
        <v>184</v>
      </c>
      <c r="M112" s="947" t="s">
        <v>185</v>
      </c>
      <c r="N112" s="947"/>
      <c r="O112" s="947"/>
      <c r="P112" s="947"/>
      <c r="Q112" s="981" t="s">
        <v>306</v>
      </c>
      <c r="R112" s="19"/>
      <c r="T112" s="981" t="s">
        <v>314</v>
      </c>
      <c r="V112" s="177">
        <f t="shared" si="40"/>
        <v>105</v>
      </c>
      <c r="W112" s="217">
        <f ca="1">IF(OFFSET('4.1(2)新規再エネ導入予定（設備情報）'!$O$1,MATCH(X112,'4.1(2)新規再エネ導入予定（設備情報）'!$Z:$Z,0)-1,0)="低圧",1,0)</f>
        <v>0</v>
      </c>
      <c r="X112" s="127" t="str">
        <f ca="1">IFERROR(IF(AND(G112="",L112&lt;&gt;""),MAX(OFFSET($X$8,0,0,ROW()-8,1)),OFFSET('4.1(2)新規再エネ導入予定（設備情報）'!$Z$1,MATCH($G112,'4.1(2)新規再エネ導入予定（設備情報）'!$G:$G,0)-1,0)),"")</f>
        <v>施設
カウント</v>
      </c>
      <c r="Y112" s="272">
        <f t="shared" si="44"/>
        <v>0</v>
      </c>
      <c r="Z112" s="263">
        <f t="shared" ca="1" si="46"/>
        <v>0</v>
      </c>
      <c r="AA112" s="272">
        <f t="shared" si="28"/>
        <v>0</v>
      </c>
      <c r="AB112" s="264">
        <f t="shared" ca="1" si="47"/>
        <v>1</v>
      </c>
      <c r="AC112" s="177">
        <f t="shared" si="32"/>
        <v>0</v>
      </c>
      <c r="AD112" s="177" t="str">
        <f t="shared" si="33"/>
        <v/>
      </c>
      <c r="AE112" s="177" t="str">
        <f t="shared" si="49"/>
        <v/>
      </c>
      <c r="AF112" s="177" t="str">
        <f t="shared" si="50"/>
        <v/>
      </c>
      <c r="AG112" s="177" t="str">
        <f t="shared" si="43"/>
        <v>E</v>
      </c>
      <c r="AH112" s="177" cm="1">
        <f t="array" ref="AH112">_xlfn.IFS(COUNTIF($N112:$P112,"合意済")=3,4,OR(COUNTIF($N112:$P112,"合意済")=2,COUNTIF($N112:$P112,"合意済")=1),3,COUNTIF($N112:$P112,"合意済")=0,2)</f>
        <v>2</v>
      </c>
      <c r="AI112" s="177" t="e">
        <f t="shared" ca="1" si="45"/>
        <v>#VALUE!</v>
      </c>
      <c r="AJ112" s="177" t="str">
        <f t="shared" ca="1" si="48"/>
        <v/>
      </c>
    </row>
    <row r="113" spans="2:36" ht="42" customHeight="1">
      <c r="D113" s="16"/>
      <c r="E113" s="273"/>
      <c r="F113" s="967"/>
      <c r="G113" s="977"/>
      <c r="H113" s="977"/>
      <c r="I113" s="975"/>
      <c r="J113" s="977"/>
      <c r="K113" s="977"/>
      <c r="L113" s="984"/>
      <c r="M113" s="436" t="s">
        <v>197</v>
      </c>
      <c r="N113" s="436" t="s">
        <v>101</v>
      </c>
      <c r="O113" s="436" t="s">
        <v>196</v>
      </c>
      <c r="P113" s="367" t="s">
        <v>100</v>
      </c>
      <c r="Q113" s="982"/>
      <c r="R113" s="19"/>
      <c r="T113" s="982"/>
      <c r="V113" s="177">
        <f t="shared" si="40"/>
        <v>106</v>
      </c>
      <c r="W113" s="217">
        <f ca="1">IF(OFFSET('4.1(2)新規再エネ導入予定（設備情報）'!$O$1,MATCH(X113,'4.1(2)新規再エネ導入予定（設備情報）'!$Z:$Z,0)-1,0)="低圧",1,0)</f>
        <v>0</v>
      </c>
      <c r="X113" s="127" t="str">
        <f ca="1">IFERROR(IF(AND(G113="",L113&lt;&gt;""),MAX(OFFSET($X$8,0,0,ROW()-8,1)),OFFSET('4.1(2)新規再エネ導入予定（設備情報）'!$Z$1,MATCH($G113,'4.1(2)新規再エネ導入予定（設備情報）'!$G:$G,0)-1,0)),"")</f>
        <v/>
      </c>
      <c r="Y113" s="272">
        <f t="shared" si="44"/>
        <v>0</v>
      </c>
      <c r="Z113" s="263">
        <f t="shared" ca="1" si="46"/>
        <v>0</v>
      </c>
      <c r="AA113" s="272">
        <f t="shared" si="28"/>
        <v>0</v>
      </c>
      <c r="AB113" s="264">
        <f t="shared" ca="1" si="47"/>
        <v>1</v>
      </c>
      <c r="AC113" s="177">
        <f t="shared" si="32"/>
        <v>0</v>
      </c>
      <c r="AD113" s="177">
        <f t="shared" si="33"/>
        <v>0</v>
      </c>
      <c r="AE113" s="177">
        <f t="shared" si="49"/>
        <v>0</v>
      </c>
      <c r="AF113" s="177">
        <f t="shared" si="50"/>
        <v>0</v>
      </c>
      <c r="AG113" s="177">
        <f t="shared" ca="1" si="43"/>
        <v>0</v>
      </c>
      <c r="AH113" s="177" cm="1">
        <f t="array" ref="AH113">_xlfn.IFS(COUNTIF($N113:$P113,"合意済")=3,4,OR(COUNTIF($N113:$P113,"合意済")=2,COUNTIF($N113:$P113,"合意済")=1),3,COUNTIF($N113:$P113,"合意済")=0,2)</f>
        <v>2</v>
      </c>
      <c r="AI113" s="177">
        <f t="shared" ca="1" si="45"/>
        <v>0</v>
      </c>
      <c r="AJ113" s="177" t="str">
        <f t="shared" ca="1" si="48"/>
        <v/>
      </c>
    </row>
    <row r="114" spans="2:36" s="11" customFormat="1" hidden="1">
      <c r="B114" s="21"/>
      <c r="C114" s="21"/>
      <c r="D114" s="22"/>
      <c r="E114" s="130"/>
      <c r="F114" s="714"/>
      <c r="G114" s="482"/>
      <c r="H114" s="498"/>
      <c r="I114" s="499"/>
      <c r="J114" s="500"/>
      <c r="K114" s="501"/>
      <c r="L114" s="484"/>
      <c r="M114" s="487"/>
      <c r="N114" s="487"/>
      <c r="O114" s="487"/>
      <c r="P114" s="487"/>
      <c r="Q114" s="487"/>
      <c r="R114" s="24"/>
      <c r="S114" s="21"/>
      <c r="T114" s="487"/>
      <c r="V114" s="257">
        <f t="shared" si="40"/>
        <v>107</v>
      </c>
      <c r="W114" s="131">
        <f ca="1">IF(OFFSET('4.1(2)新規再エネ導入予定（設備情報）'!$O$1,MATCH(X114,'4.1(2)新規再エネ導入予定（設備情報）'!$Z:$Z,0)-1,0)="低圧",1,0)</f>
        <v>0</v>
      </c>
      <c r="X114" s="127" t="str">
        <f ca="1">IFERROR(IF(AND(G114="",L114&lt;&gt;""),MAX(OFFSET($X$8,0,0,ROW()-8,1)),OFFSET('4.1(2)新規再エネ導入予定（設備情報）'!$Z$1,MATCH($G114,'4.1(2)新規再エネ導入予定（設備情報）'!$G:$G,0)-1,0)),"")</f>
        <v/>
      </c>
      <c r="Y114" s="226">
        <f t="shared" si="44"/>
        <v>0</v>
      </c>
      <c r="Z114" s="226">
        <f t="shared" ca="1" si="46"/>
        <v>0</v>
      </c>
      <c r="AA114" s="226">
        <f t="shared" si="28"/>
        <v>0</v>
      </c>
      <c r="AB114" s="279">
        <f t="shared" ca="1" si="47"/>
        <v>1</v>
      </c>
      <c r="AC114" s="257" t="str">
        <f t="shared" si="32"/>
        <v/>
      </c>
      <c r="AD114" s="257" t="str">
        <f t="shared" si="33"/>
        <v/>
      </c>
      <c r="AE114" s="257" t="str">
        <f t="shared" si="49"/>
        <v/>
      </c>
      <c r="AF114" s="257" t="str">
        <f t="shared" si="50"/>
        <v/>
      </c>
      <c r="AG114" s="257" t="str">
        <f t="shared" si="43"/>
        <v>E</v>
      </c>
      <c r="AH114" s="257" cm="1">
        <f t="array" ref="AH114">_xlfn.IFS(COUNTIF($N114:$P114,"合意済")=3,4,OR(COUNTIF($N114:$P114,"合意済")=2,COUNTIF($N114:$P114,"合意済")=1),3,COUNTIF($N114:$P114,"合意済")=0,2)</f>
        <v>2</v>
      </c>
      <c r="AI114" s="257" t="e">
        <f t="shared" ca="1" si="45"/>
        <v>#VALUE!</v>
      </c>
      <c r="AJ114" s="257" t="str">
        <f t="shared" ca="1" si="48"/>
        <v/>
      </c>
    </row>
    <row r="115" spans="2:36" s="11" customFormat="1">
      <c r="B115" s="21"/>
      <c r="C115" s="21"/>
      <c r="D115" s="22"/>
      <c r="E115" s="130"/>
      <c r="F115" s="492" t="str">
        <f ca="1">IFERROR(OFFSET('4.1(2)新規再エネ導入予定（設備情報）'!$F$1,MATCH(G115,'4.1(2)新規再エネ導入予定（設備情報）'!$G:$G,0)-1,0),"")</f>
        <v/>
      </c>
      <c r="G115" s="483"/>
      <c r="H115" s="494" t="str">
        <f ca="1">IFERROR(OFFSET('4.1(2)新規再エネ導入予定（設備情報）'!$H$1,MATCH(G115,'4.1(2)新規再エネ導入予定（設備情報）'!$G:$G,0)-1,0)&amp;"","")</f>
        <v/>
      </c>
      <c r="I115" s="495" t="str">
        <f ca="1">IFERROR(OFFSET('4.1(2)新規再エネ導入予定（設備情報）'!$L$1,MATCH(G115,'4.1(2)新規再エネ導入予定（設備情報）'!$G:$G,0)-1,0),"")</f>
        <v/>
      </c>
      <c r="J115" s="496" t="str">
        <f ca="1">IFERROR(OFFSET('4.1(2)新規再エネ導入予定（設備情報）'!$O$1,MATCH(G115,'4.1(2)新規再エネ導入予定（設備情報）'!$G:$G,0)-1,0),"")</f>
        <v/>
      </c>
      <c r="K115" s="497" t="str">
        <f ca="1">IFERROR(OFFSET('4.1(2)新規再エネ導入予定（設備情報）'!$P$1,MATCH(G115,'4.1(2)新規再エネ導入予定（設備情報）'!$G:$G,0)-1,0),"")</f>
        <v/>
      </c>
      <c r="L115" s="486"/>
      <c r="M115" s="489"/>
      <c r="N115" s="489"/>
      <c r="O115" s="489"/>
      <c r="P115" s="489"/>
      <c r="Q115" s="489"/>
      <c r="R115" s="24"/>
      <c r="S115" s="21"/>
      <c r="T115" s="489"/>
      <c r="V115" s="257">
        <f t="shared" si="40"/>
        <v>108</v>
      </c>
      <c r="W115" s="131">
        <f ca="1">IF(OFFSET('4.1(2)新規再エネ導入予定（設備情報）'!$O$1,MATCH(X115,'4.1(2)新規再エネ導入予定（設備情報）'!$Z:$Z,0)-1,0)="低圧",1,0)</f>
        <v>0</v>
      </c>
      <c r="X115" s="127" t="str">
        <f ca="1">IFERROR(IF(AND(G115="",L115&lt;&gt;""),MAX(OFFSET($X$8,0,0,ROW()-8,1)),OFFSET('4.1(2)新規再エネ導入予定（設備情報）'!$Z$1,MATCH($G115,'4.1(2)新規再エネ導入予定（設備情報）'!$G:$G,0)-1,0)),"")</f>
        <v/>
      </c>
      <c r="Y115" s="225">
        <f t="shared" si="44"/>
        <v>0</v>
      </c>
      <c r="Z115" s="226">
        <f t="shared" ca="1" si="46"/>
        <v>0</v>
      </c>
      <c r="AA115" s="225">
        <f t="shared" si="28"/>
        <v>0</v>
      </c>
      <c r="AB115" s="279">
        <f t="shared" ca="1" si="47"/>
        <v>1</v>
      </c>
      <c r="AC115" s="257" t="str">
        <f t="shared" si="32"/>
        <v/>
      </c>
      <c r="AD115" s="257" t="str">
        <f t="shared" si="33"/>
        <v/>
      </c>
      <c r="AE115" s="257" t="str">
        <f t="shared" si="49"/>
        <v/>
      </c>
      <c r="AF115" s="257" t="str">
        <f t="shared" si="50"/>
        <v/>
      </c>
      <c r="AG115" s="257" t="str">
        <f t="shared" si="43"/>
        <v>E</v>
      </c>
      <c r="AH115" s="257" cm="1">
        <f t="array" ref="AH115">_xlfn.IFS(COUNTIF($N115:$P115,"合意済")=3,4,OR(COUNTIF($N115:$P115,"合意済")=2,COUNTIF($N115:$P115,"合意済")=1),3,COUNTIF($N115:$P115,"合意済")=0,2)</f>
        <v>2</v>
      </c>
      <c r="AI115" s="257" t="e">
        <f t="shared" ca="1" si="45"/>
        <v>#VALUE!</v>
      </c>
      <c r="AJ115" s="257" t="str">
        <f t="shared" ca="1" si="48"/>
        <v/>
      </c>
    </row>
    <row r="116" spans="2:36" s="11" customFormat="1">
      <c r="B116" s="21"/>
      <c r="C116" s="21"/>
      <c r="D116" s="22"/>
      <c r="E116" s="130"/>
      <c r="F116" s="492" t="str">
        <f ca="1">IFERROR(OFFSET('4.1(2)新規再エネ導入予定（設備情報）'!$F$1,MATCH(G116,'4.1(2)新規再エネ導入予定（設備情報）'!$G:$G,0)-1,0),"")</f>
        <v/>
      </c>
      <c r="G116" s="483"/>
      <c r="H116" s="494" t="str">
        <f ca="1">IFERROR(OFFSET('4.1(2)新規再エネ導入予定（設備情報）'!$H$1,MATCH(G116,'4.1(2)新規再エネ導入予定（設備情報）'!$G:$G,0)-1,0)&amp;"","")</f>
        <v/>
      </c>
      <c r="I116" s="495" t="str">
        <f ca="1">IFERROR(OFFSET('4.1(2)新規再エネ導入予定（設備情報）'!$L$1,MATCH(G116,'4.1(2)新規再エネ導入予定（設備情報）'!$G:$G,0)-1,0),"")</f>
        <v/>
      </c>
      <c r="J116" s="496" t="str">
        <f ca="1">IFERROR(OFFSET('4.1(2)新規再エネ導入予定（設備情報）'!$O$1,MATCH(G116,'4.1(2)新規再エネ導入予定（設備情報）'!$G:$G,0)-1,0),"")</f>
        <v/>
      </c>
      <c r="K116" s="497" t="str">
        <f ca="1">IFERROR(OFFSET('4.1(2)新規再エネ導入予定（設備情報）'!$P$1,MATCH(G116,'4.1(2)新規再エネ導入予定（設備情報）'!$G:$G,0)-1,0),"")</f>
        <v/>
      </c>
      <c r="L116" s="486"/>
      <c r="M116" s="489"/>
      <c r="N116" s="489"/>
      <c r="O116" s="489"/>
      <c r="P116" s="489"/>
      <c r="Q116" s="489"/>
      <c r="R116" s="24"/>
      <c r="S116" s="21"/>
      <c r="T116" s="489"/>
      <c r="V116" s="257">
        <f t="shared" si="40"/>
        <v>109</v>
      </c>
      <c r="W116" s="131">
        <f ca="1">IF(OFFSET('4.1(2)新規再エネ導入予定（設備情報）'!$O$1,MATCH(X116,'4.1(2)新規再エネ導入予定（設備情報）'!$Z:$Z,0)-1,0)="低圧",1,0)</f>
        <v>0</v>
      </c>
      <c r="X116" s="127" t="str">
        <f ca="1">IFERROR(IF(AND(G116="",L116&lt;&gt;""),MAX(OFFSET($X$8,0,0,ROW()-8,1)),OFFSET('4.1(2)新規再エネ導入予定（設備情報）'!$Z$1,MATCH($G116,'4.1(2)新規再エネ導入予定（設備情報）'!$G:$G,0)-1,0)),"")</f>
        <v/>
      </c>
      <c r="Y116" s="225">
        <f t="shared" si="44"/>
        <v>0</v>
      </c>
      <c r="Z116" s="226">
        <f t="shared" ca="1" si="46"/>
        <v>0</v>
      </c>
      <c r="AA116" s="225">
        <f t="shared" si="28"/>
        <v>0</v>
      </c>
      <c r="AB116" s="279">
        <f t="shared" ca="1" si="47"/>
        <v>1</v>
      </c>
      <c r="AC116" s="257" t="str">
        <f t="shared" si="32"/>
        <v/>
      </c>
      <c r="AD116" s="257" t="str">
        <f t="shared" si="33"/>
        <v/>
      </c>
      <c r="AE116" s="257" t="str">
        <f t="shared" si="49"/>
        <v/>
      </c>
      <c r="AF116" s="257" t="str">
        <f t="shared" si="50"/>
        <v/>
      </c>
      <c r="AG116" s="257" t="str">
        <f t="shared" si="43"/>
        <v>E</v>
      </c>
      <c r="AH116" s="257" cm="1">
        <f t="array" ref="AH116">_xlfn.IFS(COUNTIF($N116:$P116,"合意済")=3,4,OR(COUNTIF($N116:$P116,"合意済")=2,COUNTIF($N116:$P116,"合意済")=1),3,COUNTIF($N116:$P116,"合意済")=0,2)</f>
        <v>2</v>
      </c>
      <c r="AI116" s="257" t="e">
        <f t="shared" ca="1" si="45"/>
        <v>#VALUE!</v>
      </c>
      <c r="AJ116" s="257" t="str">
        <f t="shared" ca="1" si="48"/>
        <v/>
      </c>
    </row>
    <row r="117" spans="2:36" s="11" customFormat="1">
      <c r="B117" s="21"/>
      <c r="C117" s="21"/>
      <c r="D117" s="22"/>
      <c r="E117" s="130"/>
      <c r="F117" s="492" t="str">
        <f ca="1">IFERROR(OFFSET('4.1(2)新規再エネ導入予定（設備情報）'!$F$1,MATCH(G117,'4.1(2)新規再エネ導入予定（設備情報）'!$G:$G,0)-1,0),"")</f>
        <v/>
      </c>
      <c r="G117" s="483"/>
      <c r="H117" s="494" t="str">
        <f ca="1">IFERROR(OFFSET('4.1(2)新規再エネ導入予定（設備情報）'!$H$1,MATCH(G117,'4.1(2)新規再エネ導入予定（設備情報）'!$G:$G,0)-1,0)&amp;"","")</f>
        <v/>
      </c>
      <c r="I117" s="495" t="str">
        <f ca="1">IFERROR(OFFSET('4.1(2)新規再エネ導入予定（設備情報）'!$L$1,MATCH(G117,'4.1(2)新規再エネ導入予定（設備情報）'!$G:$G,0)-1,0),"")</f>
        <v/>
      </c>
      <c r="J117" s="496" t="str">
        <f ca="1">IFERROR(OFFSET('4.1(2)新規再エネ導入予定（設備情報）'!$O$1,MATCH(G117,'4.1(2)新規再エネ導入予定（設備情報）'!$G:$G,0)-1,0),"")</f>
        <v/>
      </c>
      <c r="K117" s="497" t="str">
        <f ca="1">IFERROR(OFFSET('4.1(2)新規再エネ導入予定（設備情報）'!$P$1,MATCH(G117,'4.1(2)新規再エネ導入予定（設備情報）'!$G:$G,0)-1,0),"")</f>
        <v/>
      </c>
      <c r="L117" s="486"/>
      <c r="M117" s="489"/>
      <c r="N117" s="489"/>
      <c r="O117" s="489"/>
      <c r="P117" s="489"/>
      <c r="Q117" s="489"/>
      <c r="R117" s="24"/>
      <c r="S117" s="21"/>
      <c r="T117" s="489"/>
      <c r="V117" s="257">
        <f t="shared" si="40"/>
        <v>110</v>
      </c>
      <c r="W117" s="131">
        <f ca="1">IF(OFFSET('4.1(2)新規再エネ導入予定（設備情報）'!$O$1,MATCH(X117,'4.1(2)新規再エネ導入予定（設備情報）'!$Z:$Z,0)-1,0)="低圧",1,0)</f>
        <v>0</v>
      </c>
      <c r="X117" s="127" t="str">
        <f ca="1">IFERROR(IF(AND(G117="",L117&lt;&gt;""),MAX(OFFSET($X$8,0,0,ROW()-8,1)),OFFSET('4.1(2)新規再エネ導入予定（設備情報）'!$Z$1,MATCH($G117,'4.1(2)新規再エネ導入予定（設備情報）'!$G:$G,0)-1,0)),"")</f>
        <v/>
      </c>
      <c r="Y117" s="225">
        <f t="shared" si="44"/>
        <v>0</v>
      </c>
      <c r="Z117" s="226">
        <f t="shared" ca="1" si="46"/>
        <v>0</v>
      </c>
      <c r="AA117" s="225">
        <f t="shared" si="28"/>
        <v>0</v>
      </c>
      <c r="AB117" s="279">
        <f t="shared" ca="1" si="47"/>
        <v>1</v>
      </c>
      <c r="AC117" s="257" t="str">
        <f t="shared" ref="AC117:AC165" si="51">IF(M117="","",IF(OR(M117="説明済",M117="協議中",M117="合意済"),1,0))</f>
        <v/>
      </c>
      <c r="AD117" s="257" t="str">
        <f t="shared" ref="AD117:AD165" si="52">IF(N117="","",IF(OR(N117="説明済",N117="協議中",N117="合意済"),1,0))</f>
        <v/>
      </c>
      <c r="AE117" s="257" t="str">
        <f t="shared" si="49"/>
        <v/>
      </c>
      <c r="AF117" s="257" t="str">
        <f t="shared" si="50"/>
        <v/>
      </c>
      <c r="AG117" s="257" t="str">
        <f t="shared" si="43"/>
        <v>E</v>
      </c>
      <c r="AH117" s="257" cm="1">
        <f t="array" ref="AH117">_xlfn.IFS(COUNTIF($N117:$P117,"合意済")=3,4,OR(COUNTIF($N117:$P117,"合意済")=2,COUNTIF($N117:$P117,"合意済")=1),3,COUNTIF($N117:$P117,"合意済")=0,2)</f>
        <v>2</v>
      </c>
      <c r="AI117" s="257" t="e">
        <f t="shared" ca="1" si="45"/>
        <v>#VALUE!</v>
      </c>
      <c r="AJ117" s="257" t="str">
        <f t="shared" ca="1" si="48"/>
        <v/>
      </c>
    </row>
    <row r="118" spans="2:36" s="11" customFormat="1">
      <c r="B118" s="21"/>
      <c r="C118" s="21"/>
      <c r="D118" s="22"/>
      <c r="E118" s="130"/>
      <c r="F118" s="492" t="str">
        <f ca="1">IFERROR(OFFSET('4.1(2)新規再エネ導入予定（設備情報）'!$F$1,MATCH(G118,'4.1(2)新規再エネ導入予定（設備情報）'!$G:$G,0)-1,0),"")</f>
        <v/>
      </c>
      <c r="G118" s="483"/>
      <c r="H118" s="494" t="str">
        <f ca="1">IFERROR(OFFSET('4.1(2)新規再エネ導入予定（設備情報）'!$H$1,MATCH(G118,'4.1(2)新規再エネ導入予定（設備情報）'!$G:$G,0)-1,0)&amp;"","")</f>
        <v/>
      </c>
      <c r="I118" s="495" t="str">
        <f ca="1">IFERROR(OFFSET('4.1(2)新規再エネ導入予定（設備情報）'!$L$1,MATCH(G118,'4.1(2)新規再エネ導入予定（設備情報）'!$G:$G,0)-1,0),"")</f>
        <v/>
      </c>
      <c r="J118" s="496" t="str">
        <f ca="1">IFERROR(OFFSET('4.1(2)新規再エネ導入予定（設備情報）'!$O$1,MATCH(G118,'4.1(2)新規再エネ導入予定（設備情報）'!$G:$G,0)-1,0),"")</f>
        <v/>
      </c>
      <c r="K118" s="497" t="str">
        <f ca="1">IFERROR(OFFSET('4.1(2)新規再エネ導入予定（設備情報）'!$P$1,MATCH(G118,'4.1(2)新規再エネ導入予定（設備情報）'!$G:$G,0)-1,0),"")</f>
        <v/>
      </c>
      <c r="L118" s="486"/>
      <c r="M118" s="489"/>
      <c r="N118" s="489"/>
      <c r="O118" s="489"/>
      <c r="P118" s="489"/>
      <c r="Q118" s="489"/>
      <c r="R118" s="24"/>
      <c r="S118" s="21"/>
      <c r="T118" s="489"/>
      <c r="V118" s="257">
        <f t="shared" si="40"/>
        <v>111</v>
      </c>
      <c r="W118" s="131">
        <f ca="1">IF(OFFSET('4.1(2)新規再エネ導入予定（設備情報）'!$O$1,MATCH(X118,'4.1(2)新規再エネ導入予定（設備情報）'!$Z:$Z,0)-1,0)="低圧",1,0)</f>
        <v>0</v>
      </c>
      <c r="X118" s="127" t="str">
        <f ca="1">IFERROR(IF(AND(G118="",L118&lt;&gt;""),MAX(OFFSET($X$8,0,0,ROW()-8,1)),OFFSET('4.1(2)新規再エネ導入予定（設備情報）'!$Z$1,MATCH($G118,'4.1(2)新規再エネ導入予定（設備情報）'!$G:$G,0)-1,0)),"")</f>
        <v/>
      </c>
      <c r="Y118" s="225">
        <f t="shared" si="44"/>
        <v>0</v>
      </c>
      <c r="Z118" s="226">
        <f t="shared" ca="1" si="46"/>
        <v>0</v>
      </c>
      <c r="AA118" s="225">
        <f t="shared" si="28"/>
        <v>0</v>
      </c>
      <c r="AB118" s="279">
        <f t="shared" ca="1" si="47"/>
        <v>1</v>
      </c>
      <c r="AC118" s="257" t="str">
        <f t="shared" si="51"/>
        <v/>
      </c>
      <c r="AD118" s="257" t="str">
        <f t="shared" si="52"/>
        <v/>
      </c>
      <c r="AE118" s="257" t="str">
        <f t="shared" si="49"/>
        <v/>
      </c>
      <c r="AF118" s="257" t="str">
        <f t="shared" si="50"/>
        <v/>
      </c>
      <c r="AG118" s="257" t="str">
        <f t="shared" si="43"/>
        <v>E</v>
      </c>
      <c r="AH118" s="257" cm="1">
        <f t="array" ref="AH118">_xlfn.IFS(COUNTIF($N118:$P118,"合意済")=3,4,OR(COUNTIF($N118:$P118,"合意済")=2,COUNTIF($N118:$P118,"合意済")=1),3,COUNTIF($N118:$P118,"合意済")=0,2)</f>
        <v>2</v>
      </c>
      <c r="AI118" s="257" t="e">
        <f t="shared" ca="1" si="45"/>
        <v>#VALUE!</v>
      </c>
      <c r="AJ118" s="257" t="str">
        <f t="shared" ca="1" si="48"/>
        <v/>
      </c>
    </row>
    <row r="119" spans="2:36">
      <c r="D119" s="16"/>
      <c r="E119" s="274"/>
      <c r="F119" s="191" t="s">
        <v>26</v>
      </c>
      <c r="G119" s="242"/>
      <c r="H119" s="242"/>
      <c r="I119" s="275"/>
      <c r="J119" s="276"/>
      <c r="K119" s="502">
        <f ca="1">SUM(INDIRECT("K"&amp;ROW(K112)&amp;":K"&amp;ROW()-1))</f>
        <v>0</v>
      </c>
      <c r="L119" s="276"/>
      <c r="M119" s="244"/>
      <c r="N119" s="244"/>
      <c r="O119" s="244"/>
      <c r="P119" s="244"/>
      <c r="Q119" s="244"/>
      <c r="R119" s="19"/>
      <c r="T119" s="244"/>
      <c r="V119" s="177">
        <f t="shared" si="40"/>
        <v>112</v>
      </c>
      <c r="W119" s="217">
        <f ca="1">IF(OFFSET('4.1(2)新規再エネ導入予定（設備情報）'!$O$1,MATCH(X119,'4.1(2)新規再エネ導入予定（設備情報）'!$Z:$Z,0)-1,0)="低圧",1,0)</f>
        <v>0</v>
      </c>
      <c r="X119" s="127" t="str">
        <f ca="1">IFERROR(IF(AND(G119="",L119&lt;&gt;""),MAX(OFFSET($X$8,0,0,ROW()-8,1)),OFFSET('4.1(2)新規再エネ導入予定（設備情報）'!$Z$1,MATCH($G119,'4.1(2)新規再エネ導入予定（設備情報）'!$G:$G,0)-1,0)),"")</f>
        <v/>
      </c>
      <c r="Y119" s="224">
        <f t="shared" si="44"/>
        <v>0</v>
      </c>
      <c r="Z119" s="263">
        <f t="shared" ca="1" si="46"/>
        <v>0</v>
      </c>
      <c r="AA119" s="224">
        <f t="shared" si="28"/>
        <v>0</v>
      </c>
      <c r="AB119" s="264">
        <f t="shared" ca="1" si="47"/>
        <v>1</v>
      </c>
      <c r="AC119" s="177" t="str">
        <f t="shared" si="51"/>
        <v/>
      </c>
      <c r="AD119" s="177" t="str">
        <f t="shared" si="52"/>
        <v/>
      </c>
      <c r="AE119" s="177" t="str">
        <f t="shared" si="49"/>
        <v/>
      </c>
      <c r="AF119" s="177" t="str">
        <f t="shared" si="50"/>
        <v/>
      </c>
      <c r="AG119" s="177" t="str">
        <f t="shared" si="43"/>
        <v>E</v>
      </c>
      <c r="AH119" s="177" cm="1">
        <f t="array" ref="AH119">_xlfn.IFS(COUNTIF($N119:$P119,"合意済")=3,4,OR(COUNTIF($N119:$P119,"合意済")=2,COUNTIF($N119:$P119,"合意済")=1),3,COUNTIF($N119:$P119,"合意済")=0,2)</f>
        <v>2</v>
      </c>
      <c r="AI119" s="177" t="e">
        <f t="shared" ca="1" si="45"/>
        <v>#VALUE!</v>
      </c>
      <c r="AJ119" s="177" t="str">
        <f t="shared" ca="1" si="48"/>
        <v/>
      </c>
    </row>
    <row r="120" spans="2:36">
      <c r="D120" s="46"/>
      <c r="E120" s="26"/>
      <c r="F120" s="26"/>
      <c r="G120" s="4"/>
      <c r="H120" s="4"/>
      <c r="I120" s="124"/>
      <c r="J120" s="4"/>
      <c r="K120" s="4"/>
      <c r="L120" s="4"/>
      <c r="M120" s="125"/>
      <c r="N120" s="125"/>
      <c r="O120" s="125"/>
      <c r="P120" s="125"/>
      <c r="Q120" s="125"/>
      <c r="R120" s="27"/>
      <c r="S120"/>
      <c r="T120" s="249"/>
      <c r="U120" s="249"/>
      <c r="V120" s="177">
        <f t="shared" si="40"/>
        <v>113</v>
      </c>
      <c r="W120" s="217">
        <f ca="1">IF(OFFSET('4.1(2)新規再エネ導入予定（設備情報）'!$O$1,MATCH(X120,'4.1(2)新規再エネ導入予定（設備情報）'!$Z:$Z,0)-1,0)="低圧",1,0)</f>
        <v>0</v>
      </c>
      <c r="X120" s="127" t="str">
        <f ca="1">IFERROR(IF(AND(G120="",L120&lt;&gt;""),MAX(OFFSET($X$8,0,0,ROW()-8,1)),OFFSET('4.1(2)新規再エネ導入予定（設備情報）'!$Z$1,MATCH($G120,'4.1(2)新規再エネ導入予定（設備情報）'!$G:$G,0)-1,0)),"")</f>
        <v/>
      </c>
      <c r="Y120" s="224">
        <f t="shared" si="44"/>
        <v>0</v>
      </c>
      <c r="Z120" s="263">
        <f t="shared" ca="1" si="46"/>
        <v>0</v>
      </c>
      <c r="AA120" s="224">
        <f t="shared" si="28"/>
        <v>0</v>
      </c>
      <c r="AB120" s="264">
        <f t="shared" ca="1" si="47"/>
        <v>1</v>
      </c>
      <c r="AC120" s="177" t="str">
        <f t="shared" si="51"/>
        <v/>
      </c>
      <c r="AD120" s="177" t="str">
        <f t="shared" si="52"/>
        <v/>
      </c>
      <c r="AE120" s="177" t="str">
        <f t="shared" si="49"/>
        <v/>
      </c>
      <c r="AF120" s="177" t="str">
        <f t="shared" si="50"/>
        <v/>
      </c>
      <c r="AG120" s="177" t="str">
        <f t="shared" si="43"/>
        <v>E</v>
      </c>
      <c r="AH120" s="177" cm="1">
        <f t="array" ref="AH120">_xlfn.IFS(COUNTIF($N120:$P120,"合意済")=3,4,OR(COUNTIF($N120:$P120,"合意済")=2,COUNTIF($N120:$P120,"合意済")=1),3,COUNTIF($N120:$P120,"合意済")=0,2)</f>
        <v>2</v>
      </c>
      <c r="AI120" s="177" t="e">
        <f t="shared" ca="1" si="45"/>
        <v>#VALUE!</v>
      </c>
      <c r="AJ120" s="177" t="str">
        <f t="shared" ca="1" si="48"/>
        <v/>
      </c>
    </row>
    <row r="121" spans="2:36">
      <c r="F121" s="31"/>
      <c r="G121" s="31"/>
      <c r="H121" s="31"/>
      <c r="I121" s="270"/>
      <c r="J121" s="31"/>
      <c r="K121" s="31"/>
      <c r="L121" s="31"/>
      <c r="M121" s="249"/>
      <c r="N121" s="249"/>
      <c r="O121" s="249"/>
      <c r="P121" s="249"/>
      <c r="Q121" s="249"/>
      <c r="T121" s="249"/>
      <c r="U121" s="249"/>
      <c r="V121" s="177">
        <f t="shared" si="40"/>
        <v>114</v>
      </c>
      <c r="W121" s="217">
        <f ca="1">IF(OFFSET('4.1(2)新規再エネ導入予定（設備情報）'!$O$1,MATCH(X121,'4.1(2)新規再エネ導入予定（設備情報）'!$Z:$Z,0)-1,0)="低圧",1,0)</f>
        <v>0</v>
      </c>
      <c r="X121" s="127" t="str">
        <f ca="1">IFERROR(IF(AND(G121="",L121&lt;&gt;""),MAX(OFFSET($X$8,0,0,ROW()-8,1)),OFFSET('4.1(2)新規再エネ導入予定（設備情報）'!$Z$1,MATCH($G121,'4.1(2)新規再エネ導入予定（設備情報）'!$G:$G,0)-1,0)),"")</f>
        <v/>
      </c>
      <c r="Y121" s="224">
        <f t="shared" si="44"/>
        <v>0</v>
      </c>
      <c r="Z121" s="263">
        <f t="shared" ca="1" si="46"/>
        <v>0</v>
      </c>
      <c r="AA121" s="224">
        <f t="shared" si="28"/>
        <v>0</v>
      </c>
      <c r="AB121" s="264">
        <f t="shared" ca="1" si="47"/>
        <v>1</v>
      </c>
      <c r="AC121" s="177" t="str">
        <f t="shared" si="51"/>
        <v/>
      </c>
      <c r="AD121" s="177" t="str">
        <f t="shared" si="52"/>
        <v/>
      </c>
      <c r="AE121" s="177" t="str">
        <f t="shared" si="49"/>
        <v/>
      </c>
      <c r="AF121" s="177" t="str">
        <f t="shared" si="50"/>
        <v/>
      </c>
      <c r="AG121" s="177" t="str">
        <f t="shared" si="43"/>
        <v>E</v>
      </c>
      <c r="AH121" s="177" cm="1">
        <f t="array" ref="AH121">_xlfn.IFS(COUNTIF($N121:$P121,"合意済")=3,4,OR(COUNTIF($N121:$P121,"合意済")=2,COUNTIF($N121:$P121,"合意済")=1),3,COUNTIF($N121:$P121,"合意済")=0,2)</f>
        <v>2</v>
      </c>
      <c r="AI121" s="177" t="e">
        <f t="shared" ca="1" si="45"/>
        <v>#VALUE!</v>
      </c>
      <c r="AJ121" s="177" t="str">
        <f t="shared" ca="1" si="48"/>
        <v/>
      </c>
    </row>
    <row r="122" spans="2:36">
      <c r="F122" s="31"/>
      <c r="G122" s="31"/>
      <c r="H122" s="31"/>
      <c r="I122" s="270"/>
      <c r="J122" s="31"/>
      <c r="K122" s="31"/>
      <c r="L122" s="31"/>
      <c r="M122" s="249"/>
      <c r="N122" s="249"/>
      <c r="O122" s="249"/>
      <c r="P122" s="249"/>
      <c r="Q122" s="249"/>
      <c r="T122" s="249"/>
      <c r="U122" s="249"/>
      <c r="V122" s="177">
        <f t="shared" si="40"/>
        <v>115</v>
      </c>
      <c r="W122" s="217">
        <f ca="1">IF(OFFSET('4.1(2)新規再エネ導入予定（設備情報）'!$O$1,MATCH(X122,'4.1(2)新規再エネ導入予定（設備情報）'!$Z:$Z,0)-1,0)="低圧",1,0)</f>
        <v>0</v>
      </c>
      <c r="X122" s="127" t="str">
        <f ca="1">IFERROR(IF(AND(G122="",L122&lt;&gt;""),MAX(OFFSET($X$8,0,0,ROW()-8,1)),OFFSET('4.1(2)新規再エネ導入予定（設備情報）'!$Z$1,MATCH($G122,'4.1(2)新規再エネ導入予定（設備情報）'!$G:$G,0)-1,0)),"")</f>
        <v/>
      </c>
      <c r="Y122" s="224">
        <f t="shared" si="44"/>
        <v>0</v>
      </c>
      <c r="Z122" s="263">
        <f t="shared" ca="1" si="46"/>
        <v>0</v>
      </c>
      <c r="AA122" s="224">
        <f t="shared" ref="AA122:AA167" si="53">IF($M122="合意済",1,0)</f>
        <v>0</v>
      </c>
      <c r="AB122" s="264">
        <f t="shared" ca="1" si="47"/>
        <v>1</v>
      </c>
      <c r="AC122" s="177" t="str">
        <f t="shared" si="51"/>
        <v/>
      </c>
      <c r="AD122" s="177" t="str">
        <f t="shared" si="52"/>
        <v/>
      </c>
      <c r="AE122" s="177" t="str">
        <f t="shared" si="49"/>
        <v/>
      </c>
      <c r="AF122" s="177" t="str">
        <f t="shared" si="50"/>
        <v/>
      </c>
      <c r="AG122" s="177" t="str">
        <f t="shared" si="43"/>
        <v>E</v>
      </c>
      <c r="AH122" s="177" cm="1">
        <f t="array" ref="AH122">_xlfn.IFS(COUNTIF($N122:$P122,"合意済")=3,4,OR(COUNTIF($N122:$P122,"合意済")=2,COUNTIF($N122:$P122,"合意済")=1),3,COUNTIF($N122:$P122,"合意済")=0,2)</f>
        <v>2</v>
      </c>
      <c r="AI122" s="177" t="e">
        <f t="shared" ca="1" si="45"/>
        <v>#VALUE!</v>
      </c>
      <c r="AJ122" s="177" t="str">
        <f t="shared" ca="1" si="48"/>
        <v/>
      </c>
    </row>
    <row r="123" spans="2:36" ht="9.75" customHeight="1">
      <c r="D123" s="14"/>
      <c r="E123" s="15"/>
      <c r="F123" s="15"/>
      <c r="G123" s="250"/>
      <c r="H123" s="15"/>
      <c r="I123" s="237"/>
      <c r="J123" s="15"/>
      <c r="K123" s="15"/>
      <c r="L123" s="15"/>
      <c r="M123" s="238"/>
      <c r="N123" s="238"/>
      <c r="O123" s="238"/>
      <c r="P123" s="238"/>
      <c r="Q123" s="238"/>
      <c r="R123" s="30"/>
      <c r="T123" s="231"/>
      <c r="U123" s="231"/>
      <c r="V123" s="177">
        <f t="shared" si="40"/>
        <v>116</v>
      </c>
      <c r="W123" s="217">
        <f ca="1">IF(OFFSET('4.1(2)新規再エネ導入予定（設備情報）'!$O$1,MATCH(X123,'4.1(2)新規再エネ導入予定（設備情報）'!$Z:$Z,0)-1,0)="低圧",1,0)</f>
        <v>0</v>
      </c>
      <c r="X123" s="127" t="str">
        <f ca="1">IFERROR(IF(AND(G123="",L123&lt;&gt;""),MAX(OFFSET($X$8,0,0,ROW()-8,1)),OFFSET('4.1(2)新規再エネ導入予定（設備情報）'!$Z$1,MATCH($G123,'4.1(2)新規再エネ導入予定（設備情報）'!$G:$G,0)-1,0)),"")</f>
        <v/>
      </c>
      <c r="Y123" s="224">
        <f t="shared" ref="Y123:Y167" si="54">IF(T123="○",1,0)</f>
        <v>0</v>
      </c>
      <c r="Z123" s="263">
        <f t="shared" ca="1" si="46"/>
        <v>0</v>
      </c>
      <c r="AA123" s="224">
        <f t="shared" si="53"/>
        <v>0</v>
      </c>
      <c r="AB123" s="264">
        <f t="shared" ca="1" si="47"/>
        <v>1</v>
      </c>
      <c r="AC123" s="177" t="str">
        <f t="shared" si="51"/>
        <v/>
      </c>
      <c r="AD123" s="177" t="str">
        <f t="shared" si="52"/>
        <v/>
      </c>
      <c r="AE123" s="177" t="str">
        <f t="shared" si="49"/>
        <v/>
      </c>
      <c r="AF123" s="177" t="str">
        <f t="shared" si="50"/>
        <v/>
      </c>
      <c r="AG123" s="177" t="str">
        <f t="shared" si="43"/>
        <v>E</v>
      </c>
      <c r="AH123" s="177" cm="1">
        <f t="array" ref="AH123">_xlfn.IFS(COUNTIF($N123:$P123,"合意済")=3,4,OR(COUNTIF($N123:$P123,"合意済")=2,COUNTIF($N123:$P123,"合意済")=1),3,COUNTIF($N123:$P123,"合意済")=0,2)</f>
        <v>2</v>
      </c>
      <c r="AI123" s="177" t="e">
        <f t="shared" ca="1" si="45"/>
        <v>#VALUE!</v>
      </c>
      <c r="AJ123" s="177" t="str">
        <f t="shared" ca="1" si="48"/>
        <v/>
      </c>
    </row>
    <row r="124" spans="2:36" ht="21">
      <c r="D124" s="239" t="s">
        <v>190</v>
      </c>
      <c r="F124" s="239"/>
      <c r="G124" s="271"/>
      <c r="I124" s="230"/>
      <c r="R124" s="19"/>
      <c r="T124" s="231"/>
      <c r="V124" s="177">
        <f t="shared" si="40"/>
        <v>117</v>
      </c>
      <c r="W124" s="217">
        <f ca="1">IF(OFFSET('4.1(2)新規再エネ導入予定（設備情報）'!$O$1,MATCH(X124,'4.1(2)新規再エネ導入予定（設備情報）'!$Z:$Z,0)-1,0)="低圧",1,0)</f>
        <v>0</v>
      </c>
      <c r="X124" s="127" t="str">
        <f ca="1">IFERROR(IF(AND(G124="",L124&lt;&gt;""),MAX(OFFSET($X$8,0,0,ROW()-8,1)),OFFSET('4.1(2)新規再エネ導入予定（設備情報）'!$Z$1,MATCH($G124,'4.1(2)新規再エネ導入予定（設備情報）'!$G:$G,0)-1,0)),"")</f>
        <v/>
      </c>
      <c r="Y124" s="224">
        <f t="shared" si="54"/>
        <v>0</v>
      </c>
      <c r="Z124" s="263">
        <f t="shared" ca="1" si="46"/>
        <v>0</v>
      </c>
      <c r="AA124" s="224">
        <f t="shared" si="53"/>
        <v>0</v>
      </c>
      <c r="AB124" s="264">
        <f t="shared" ca="1" si="47"/>
        <v>1</v>
      </c>
      <c r="AC124" s="177" t="str">
        <f t="shared" si="51"/>
        <v/>
      </c>
      <c r="AD124" s="177" t="str">
        <f t="shared" si="52"/>
        <v/>
      </c>
      <c r="AE124" s="177" t="str">
        <f t="shared" si="49"/>
        <v/>
      </c>
      <c r="AF124" s="177" t="str">
        <f t="shared" si="50"/>
        <v/>
      </c>
      <c r="AG124" s="177" t="str">
        <f t="shared" si="43"/>
        <v>E</v>
      </c>
      <c r="AH124" s="177" cm="1">
        <f t="array" ref="AH124">_xlfn.IFS(COUNTIF($N124:$P124,"合意済")=3,4,OR(COUNTIF($N124:$P124,"合意済")=2,COUNTIF($N124:$P124,"合意済")=1),3,COUNTIF($N124:$P124,"合意済")=0,2)</f>
        <v>2</v>
      </c>
      <c r="AI124" s="177" t="e">
        <f t="shared" ca="1" si="45"/>
        <v>#VALUE!</v>
      </c>
      <c r="AJ124" s="177" t="str">
        <f t="shared" ca="1" si="48"/>
        <v/>
      </c>
    </row>
    <row r="125" spans="2:36" ht="21" customHeight="1">
      <c r="D125" s="239"/>
      <c r="F125" s="967" t="s">
        <v>8</v>
      </c>
      <c r="G125" s="976" t="s">
        <v>186</v>
      </c>
      <c r="H125" s="976" t="s">
        <v>181</v>
      </c>
      <c r="I125" s="974" t="s">
        <v>31</v>
      </c>
      <c r="J125" s="976" t="s">
        <v>187</v>
      </c>
      <c r="K125" s="976" t="s">
        <v>81</v>
      </c>
      <c r="L125" s="983" t="s">
        <v>184</v>
      </c>
      <c r="M125" s="947" t="s">
        <v>185</v>
      </c>
      <c r="N125" s="947"/>
      <c r="O125" s="947"/>
      <c r="P125" s="947"/>
      <c r="Q125" s="981" t="s">
        <v>306</v>
      </c>
      <c r="R125" s="19"/>
      <c r="T125" s="981" t="s">
        <v>314</v>
      </c>
      <c r="V125" s="177">
        <f t="shared" si="40"/>
        <v>118</v>
      </c>
      <c r="W125" s="217">
        <f ca="1">IF(OFFSET('4.1(2)新規再エネ導入予定（設備情報）'!$O$1,MATCH(X125,'4.1(2)新規再エネ導入予定（設備情報）'!$Z:$Z,0)-1,0)="低圧",1,0)</f>
        <v>0</v>
      </c>
      <c r="X125" s="127" t="str">
        <f ca="1">IFERROR(IF(AND(G125="",L125&lt;&gt;""),MAX(OFFSET($X$8,0,0,ROW()-8,1)),OFFSET('4.1(2)新規再エネ導入予定（設備情報）'!$Z$1,MATCH($G125,'4.1(2)新規再エネ導入予定（設備情報）'!$G:$G,0)-1,0)),"")</f>
        <v>施設
カウント</v>
      </c>
      <c r="Y125" s="272">
        <f t="shared" si="54"/>
        <v>0</v>
      </c>
      <c r="Z125" s="263">
        <f t="shared" ca="1" si="46"/>
        <v>0</v>
      </c>
      <c r="AA125" s="272">
        <f t="shared" si="53"/>
        <v>0</v>
      </c>
      <c r="AB125" s="264">
        <f t="shared" ca="1" si="47"/>
        <v>1</v>
      </c>
      <c r="AC125" s="177">
        <f t="shared" si="51"/>
        <v>0</v>
      </c>
      <c r="AD125" s="177" t="str">
        <f t="shared" si="52"/>
        <v/>
      </c>
      <c r="AE125" s="177" t="str">
        <f t="shared" si="49"/>
        <v/>
      </c>
      <c r="AF125" s="177" t="str">
        <f t="shared" si="50"/>
        <v/>
      </c>
      <c r="AG125" s="177" t="str">
        <f t="shared" si="43"/>
        <v>E</v>
      </c>
      <c r="AH125" s="177" cm="1">
        <f t="array" ref="AH125">_xlfn.IFS(COUNTIF($N125:$P125,"合意済")=3,4,OR(COUNTIF($N125:$P125,"合意済")=2,COUNTIF($N125:$P125,"合意済")=1),3,COUNTIF($N125:$P125,"合意済")=0,2)</f>
        <v>2</v>
      </c>
      <c r="AI125" s="177" t="e">
        <f t="shared" ca="1" si="45"/>
        <v>#VALUE!</v>
      </c>
      <c r="AJ125" s="177" t="str">
        <f t="shared" ca="1" si="48"/>
        <v/>
      </c>
    </row>
    <row r="126" spans="2:36" ht="42" customHeight="1">
      <c r="D126" s="16"/>
      <c r="E126" s="273"/>
      <c r="F126" s="967"/>
      <c r="G126" s="977"/>
      <c r="H126" s="977"/>
      <c r="I126" s="975"/>
      <c r="J126" s="977"/>
      <c r="K126" s="977"/>
      <c r="L126" s="984"/>
      <c r="M126" s="436" t="s">
        <v>197</v>
      </c>
      <c r="N126" s="436" t="s">
        <v>101</v>
      </c>
      <c r="O126" s="436" t="s">
        <v>196</v>
      </c>
      <c r="P126" s="367" t="s">
        <v>100</v>
      </c>
      <c r="Q126" s="982"/>
      <c r="R126" s="19"/>
      <c r="T126" s="982"/>
      <c r="V126" s="177">
        <f t="shared" si="40"/>
        <v>119</v>
      </c>
      <c r="W126" s="217">
        <f ca="1">IF(OFFSET('4.1(2)新規再エネ導入予定（設備情報）'!$O$1,MATCH(X126,'4.1(2)新規再エネ導入予定（設備情報）'!$Z:$Z,0)-1,0)="低圧",1,0)</f>
        <v>0</v>
      </c>
      <c r="X126" s="127" t="str">
        <f ca="1">IFERROR(IF(AND(G126="",L126&lt;&gt;""),MAX(OFFSET($X$8,0,0,ROW()-8,1)),OFFSET('4.1(2)新規再エネ導入予定（設備情報）'!$Z$1,MATCH($G126,'4.1(2)新規再エネ導入予定（設備情報）'!$G:$G,0)-1,0)),"")</f>
        <v/>
      </c>
      <c r="Y126" s="272">
        <f t="shared" si="54"/>
        <v>0</v>
      </c>
      <c r="Z126" s="263">
        <f t="shared" ca="1" si="46"/>
        <v>0</v>
      </c>
      <c r="AA126" s="272">
        <f t="shared" si="53"/>
        <v>0</v>
      </c>
      <c r="AB126" s="264">
        <f t="shared" ca="1" si="47"/>
        <v>1</v>
      </c>
      <c r="AC126" s="177">
        <f t="shared" si="51"/>
        <v>0</v>
      </c>
      <c r="AD126" s="177">
        <f t="shared" si="52"/>
        <v>0</v>
      </c>
      <c r="AE126" s="177">
        <f t="shared" si="49"/>
        <v>0</v>
      </c>
      <c r="AF126" s="177">
        <f t="shared" si="50"/>
        <v>0</v>
      </c>
      <c r="AG126" s="177">
        <f t="shared" ca="1" si="43"/>
        <v>0</v>
      </c>
      <c r="AH126" s="177" cm="1">
        <f t="array" ref="AH126">_xlfn.IFS(COUNTIF($N126:$P126,"合意済")=3,4,OR(COUNTIF($N126:$P126,"合意済")=2,COUNTIF($N126:$P126,"合意済")=1),3,COUNTIF($N126:$P126,"合意済")=0,2)</f>
        <v>2</v>
      </c>
      <c r="AI126" s="177">
        <f t="shared" ca="1" si="45"/>
        <v>0</v>
      </c>
      <c r="AJ126" s="177" t="str">
        <f t="shared" ca="1" si="48"/>
        <v/>
      </c>
    </row>
    <row r="127" spans="2:36" s="11" customFormat="1" hidden="1">
      <c r="B127" s="21"/>
      <c r="C127" s="21"/>
      <c r="D127" s="22"/>
      <c r="E127" s="130"/>
      <c r="F127" s="714"/>
      <c r="G127" s="482"/>
      <c r="H127" s="498"/>
      <c r="I127" s="499"/>
      <c r="J127" s="500"/>
      <c r="K127" s="501"/>
      <c r="L127" s="484"/>
      <c r="M127" s="487"/>
      <c r="N127" s="487"/>
      <c r="O127" s="487"/>
      <c r="P127" s="487"/>
      <c r="Q127" s="487"/>
      <c r="R127" s="24"/>
      <c r="S127" s="21"/>
      <c r="T127" s="487"/>
      <c r="V127" s="257">
        <f t="shared" si="40"/>
        <v>120</v>
      </c>
      <c r="W127" s="131">
        <f ca="1">IF(OFFSET('4.1(2)新規再エネ導入予定（設備情報）'!$O$1,MATCH(X127,'4.1(2)新規再エネ導入予定（設備情報）'!$Z:$Z,0)-1,0)="低圧",1,0)</f>
        <v>0</v>
      </c>
      <c r="X127" s="127" t="str">
        <f ca="1">IFERROR(IF(AND(G127="",L127&lt;&gt;""),MAX(OFFSET($X$8,0,0,ROW()-8,1)),OFFSET('4.1(2)新規再エネ導入予定（設備情報）'!$Z$1,MATCH($G127,'4.1(2)新規再エネ導入予定（設備情報）'!$G:$G,0)-1,0)),"")</f>
        <v/>
      </c>
      <c r="Y127" s="226">
        <f t="shared" si="54"/>
        <v>0</v>
      </c>
      <c r="Z127" s="226">
        <f t="shared" ca="1" si="46"/>
        <v>0</v>
      </c>
      <c r="AA127" s="226">
        <f t="shared" si="53"/>
        <v>0</v>
      </c>
      <c r="AB127" s="279">
        <f t="shared" ca="1" si="47"/>
        <v>1</v>
      </c>
      <c r="AC127" s="257" t="str">
        <f t="shared" si="51"/>
        <v/>
      </c>
      <c r="AD127" s="257" t="str">
        <f t="shared" si="52"/>
        <v/>
      </c>
      <c r="AE127" s="257" t="str">
        <f t="shared" si="49"/>
        <v/>
      </c>
      <c r="AF127" s="257" t="str">
        <f t="shared" si="50"/>
        <v/>
      </c>
      <c r="AG127" s="257" t="str">
        <f t="shared" si="43"/>
        <v>E</v>
      </c>
      <c r="AH127" s="257" cm="1">
        <f t="array" ref="AH127">_xlfn.IFS(COUNTIF($N127:$P127,"合意済")=3,4,OR(COUNTIF($N127:$P127,"合意済")=2,COUNTIF($N127:$P127,"合意済")=1),3,COUNTIF($N127:$P127,"合意済")=0,2)</f>
        <v>2</v>
      </c>
      <c r="AI127" s="257" t="e">
        <f t="shared" ca="1" si="45"/>
        <v>#VALUE!</v>
      </c>
      <c r="AJ127" s="257" t="str">
        <f t="shared" ca="1" si="48"/>
        <v/>
      </c>
    </row>
    <row r="128" spans="2:36" s="11" customFormat="1">
      <c r="B128" s="21"/>
      <c r="C128" s="21"/>
      <c r="D128" s="22"/>
      <c r="E128" s="130"/>
      <c r="F128" s="492" t="str">
        <f ca="1">IFERROR(OFFSET('4.1(2)新規再エネ導入予定（設備情報）'!$F$1,MATCH(G128,'4.1(2)新規再エネ導入予定（設備情報）'!$G:$G,0)-1,0),"")</f>
        <v/>
      </c>
      <c r="G128" s="483"/>
      <c r="H128" s="494" t="str">
        <f ca="1">IFERROR(OFFSET('4.1(2)新規再エネ導入予定（設備情報）'!$H$1,MATCH(G128,'4.1(2)新規再エネ導入予定（設備情報）'!$G:$G,0)-1,0)&amp;"","")</f>
        <v/>
      </c>
      <c r="I128" s="495" t="str">
        <f ca="1">IFERROR(OFFSET('4.1(2)新規再エネ導入予定（設備情報）'!$L$1,MATCH(G128,'4.1(2)新規再エネ導入予定（設備情報）'!$G:$G,0)-1,0),"")</f>
        <v/>
      </c>
      <c r="J128" s="496" t="str">
        <f ca="1">IFERROR(OFFSET('4.1(2)新規再エネ導入予定（設備情報）'!$O$1,MATCH(G128,'4.1(2)新規再エネ導入予定（設備情報）'!$G:$G,0)-1,0),"")</f>
        <v/>
      </c>
      <c r="K128" s="497" t="str">
        <f ca="1">IFERROR(OFFSET('4.1(2)新規再エネ導入予定（設備情報）'!$P$1,MATCH(G128,'4.1(2)新規再エネ導入予定（設備情報）'!$G:$G,0)-1,0),"")</f>
        <v/>
      </c>
      <c r="L128" s="486"/>
      <c r="M128" s="489"/>
      <c r="N128" s="489"/>
      <c r="O128" s="489"/>
      <c r="P128" s="489"/>
      <c r="Q128" s="489"/>
      <c r="R128" s="24"/>
      <c r="S128" s="21"/>
      <c r="T128" s="489"/>
      <c r="V128" s="257">
        <f t="shared" si="40"/>
        <v>121</v>
      </c>
      <c r="W128" s="131">
        <f ca="1">IF(OFFSET('4.1(2)新規再エネ導入予定（設備情報）'!$O$1,MATCH(X128,'4.1(2)新規再エネ導入予定（設備情報）'!$Z:$Z,0)-1,0)="低圧",1,0)</f>
        <v>0</v>
      </c>
      <c r="X128" s="127" t="str">
        <f ca="1">IFERROR(IF(AND(G128="",L128&lt;&gt;""),MAX(OFFSET($X$8,0,0,ROW()-8,1)),OFFSET('4.1(2)新規再エネ導入予定（設備情報）'!$Z$1,MATCH($G128,'4.1(2)新規再エネ導入予定（設備情報）'!$G:$G,0)-1,0)),"")</f>
        <v/>
      </c>
      <c r="Y128" s="225">
        <f t="shared" si="54"/>
        <v>0</v>
      </c>
      <c r="Z128" s="226">
        <f t="shared" ca="1" si="46"/>
        <v>0</v>
      </c>
      <c r="AA128" s="225">
        <f t="shared" si="53"/>
        <v>0</v>
      </c>
      <c r="AB128" s="279">
        <f t="shared" ca="1" si="47"/>
        <v>1</v>
      </c>
      <c r="AC128" s="257" t="str">
        <f t="shared" si="51"/>
        <v/>
      </c>
      <c r="AD128" s="257" t="str">
        <f t="shared" si="52"/>
        <v/>
      </c>
      <c r="AE128" s="257" t="str">
        <f t="shared" si="49"/>
        <v/>
      </c>
      <c r="AF128" s="257" t="str">
        <f t="shared" si="50"/>
        <v/>
      </c>
      <c r="AG128" s="257" t="str">
        <f t="shared" si="43"/>
        <v>E</v>
      </c>
      <c r="AH128" s="257" cm="1">
        <f t="array" ref="AH128">_xlfn.IFS(COUNTIF($N128:$P128,"合意済")=3,4,OR(COUNTIF($N128:$P128,"合意済")=2,COUNTIF($N128:$P128,"合意済")=1),3,COUNTIF($N128:$P128,"合意済")=0,2)</f>
        <v>2</v>
      </c>
      <c r="AI128" s="257" t="e">
        <f t="shared" ca="1" si="45"/>
        <v>#VALUE!</v>
      </c>
      <c r="AJ128" s="257" t="str">
        <f t="shared" ca="1" si="48"/>
        <v/>
      </c>
    </row>
    <row r="129" spans="2:36" s="11" customFormat="1">
      <c r="B129" s="21"/>
      <c r="C129" s="21"/>
      <c r="D129" s="22"/>
      <c r="E129" s="130"/>
      <c r="F129" s="492" t="str">
        <f ca="1">IFERROR(OFFSET('4.1(2)新規再エネ導入予定（設備情報）'!$F$1,MATCH(G129,'4.1(2)新規再エネ導入予定（設備情報）'!$G:$G,0)-1,0),"")</f>
        <v/>
      </c>
      <c r="G129" s="483"/>
      <c r="H129" s="494" t="str">
        <f ca="1">IFERROR(OFFSET('4.1(2)新規再エネ導入予定（設備情報）'!$H$1,MATCH(G129,'4.1(2)新規再エネ導入予定（設備情報）'!$G:$G,0)-1,0)&amp;"","")</f>
        <v/>
      </c>
      <c r="I129" s="495" t="str">
        <f ca="1">IFERROR(OFFSET('4.1(2)新規再エネ導入予定（設備情報）'!$L$1,MATCH(G129,'4.1(2)新規再エネ導入予定（設備情報）'!$G:$G,0)-1,0),"")</f>
        <v/>
      </c>
      <c r="J129" s="496" t="str">
        <f ca="1">IFERROR(OFFSET('4.1(2)新規再エネ導入予定（設備情報）'!$O$1,MATCH(G129,'4.1(2)新規再エネ導入予定（設備情報）'!$G:$G,0)-1,0),"")</f>
        <v/>
      </c>
      <c r="K129" s="497" t="str">
        <f ca="1">IFERROR(OFFSET('4.1(2)新規再エネ導入予定（設備情報）'!$P$1,MATCH(G129,'4.1(2)新規再エネ導入予定（設備情報）'!$G:$G,0)-1,0),"")</f>
        <v/>
      </c>
      <c r="L129" s="486"/>
      <c r="M129" s="489"/>
      <c r="N129" s="489"/>
      <c r="O129" s="489"/>
      <c r="P129" s="489"/>
      <c r="Q129" s="489"/>
      <c r="R129" s="24"/>
      <c r="S129" s="21"/>
      <c r="T129" s="489"/>
      <c r="V129" s="257">
        <f t="shared" si="40"/>
        <v>122</v>
      </c>
      <c r="W129" s="131">
        <f ca="1">IF(OFFSET('4.1(2)新規再エネ導入予定（設備情報）'!$O$1,MATCH(X129,'4.1(2)新規再エネ導入予定（設備情報）'!$Z:$Z,0)-1,0)="低圧",1,0)</f>
        <v>0</v>
      </c>
      <c r="X129" s="127" t="str">
        <f ca="1">IFERROR(IF(AND(G129="",L129&lt;&gt;""),MAX(OFFSET($X$8,0,0,ROW()-8,1)),OFFSET('4.1(2)新規再エネ導入予定（設備情報）'!$Z$1,MATCH($G129,'4.1(2)新規再エネ導入予定（設備情報）'!$G:$G,0)-1,0)),"")</f>
        <v/>
      </c>
      <c r="Y129" s="225">
        <f t="shared" si="54"/>
        <v>0</v>
      </c>
      <c r="Z129" s="226">
        <f t="shared" ca="1" si="46"/>
        <v>0</v>
      </c>
      <c r="AA129" s="225">
        <f t="shared" si="53"/>
        <v>0</v>
      </c>
      <c r="AB129" s="279">
        <f t="shared" ca="1" si="47"/>
        <v>1</v>
      </c>
      <c r="AC129" s="257" t="str">
        <f t="shared" si="51"/>
        <v/>
      </c>
      <c r="AD129" s="257" t="str">
        <f t="shared" si="52"/>
        <v/>
      </c>
      <c r="AE129" s="257" t="str">
        <f t="shared" si="49"/>
        <v/>
      </c>
      <c r="AF129" s="257" t="str">
        <f t="shared" si="50"/>
        <v/>
      </c>
      <c r="AG129" s="257" t="str">
        <f t="shared" si="43"/>
        <v>E</v>
      </c>
      <c r="AH129" s="257" cm="1">
        <f t="array" ref="AH129">_xlfn.IFS(COUNTIF($N129:$P129,"合意済")=3,4,OR(COUNTIF($N129:$P129,"合意済")=2,COUNTIF($N129:$P129,"合意済")=1),3,COUNTIF($N129:$P129,"合意済")=0,2)</f>
        <v>2</v>
      </c>
      <c r="AI129" s="257" t="e">
        <f t="shared" ca="1" si="45"/>
        <v>#VALUE!</v>
      </c>
      <c r="AJ129" s="257" t="str">
        <f t="shared" ca="1" si="48"/>
        <v/>
      </c>
    </row>
    <row r="130" spans="2:36" s="11" customFormat="1">
      <c r="B130" s="21"/>
      <c r="C130" s="21"/>
      <c r="D130" s="22"/>
      <c r="E130" s="130"/>
      <c r="F130" s="492" t="str">
        <f ca="1">IFERROR(OFFSET('4.1(2)新規再エネ導入予定（設備情報）'!$F$1,MATCH(G130,'4.1(2)新規再エネ導入予定（設備情報）'!$G:$G,0)-1,0),"")</f>
        <v/>
      </c>
      <c r="G130" s="483"/>
      <c r="H130" s="494" t="str">
        <f ca="1">IFERROR(OFFSET('4.1(2)新規再エネ導入予定（設備情報）'!$H$1,MATCH(G130,'4.1(2)新規再エネ導入予定（設備情報）'!$G:$G,0)-1,0)&amp;"","")</f>
        <v/>
      </c>
      <c r="I130" s="495" t="str">
        <f ca="1">IFERROR(OFFSET('4.1(2)新規再エネ導入予定（設備情報）'!$L$1,MATCH(G130,'4.1(2)新規再エネ導入予定（設備情報）'!$G:$G,0)-1,0),"")</f>
        <v/>
      </c>
      <c r="J130" s="496" t="str">
        <f ca="1">IFERROR(OFFSET('4.1(2)新規再エネ導入予定（設備情報）'!$O$1,MATCH(G130,'4.1(2)新規再エネ導入予定（設備情報）'!$G:$G,0)-1,0),"")</f>
        <v/>
      </c>
      <c r="K130" s="497" t="str">
        <f ca="1">IFERROR(OFFSET('4.1(2)新規再エネ導入予定（設備情報）'!$P$1,MATCH(G130,'4.1(2)新規再エネ導入予定（設備情報）'!$G:$G,0)-1,0),"")</f>
        <v/>
      </c>
      <c r="L130" s="486"/>
      <c r="M130" s="489"/>
      <c r="N130" s="489"/>
      <c r="O130" s="489"/>
      <c r="P130" s="489"/>
      <c r="Q130" s="489"/>
      <c r="R130" s="24"/>
      <c r="S130" s="21"/>
      <c r="T130" s="489"/>
      <c r="V130" s="257">
        <f t="shared" si="40"/>
        <v>123</v>
      </c>
      <c r="W130" s="131">
        <f ca="1">IF(OFFSET('4.1(2)新規再エネ導入予定（設備情報）'!$O$1,MATCH(X130,'4.1(2)新規再エネ導入予定（設備情報）'!$Z:$Z,0)-1,0)="低圧",1,0)</f>
        <v>0</v>
      </c>
      <c r="X130" s="127" t="str">
        <f ca="1">IFERROR(IF(AND(G130="",L130&lt;&gt;""),MAX(OFFSET($X$8,0,0,ROW()-8,1)),OFFSET('4.1(2)新規再エネ導入予定（設備情報）'!$Z$1,MATCH($G130,'4.1(2)新規再エネ導入予定（設備情報）'!$G:$G,0)-1,0)),"")</f>
        <v/>
      </c>
      <c r="Y130" s="225">
        <f t="shared" si="54"/>
        <v>0</v>
      </c>
      <c r="Z130" s="226">
        <f t="shared" ca="1" si="46"/>
        <v>0</v>
      </c>
      <c r="AA130" s="225">
        <f t="shared" si="53"/>
        <v>0</v>
      </c>
      <c r="AB130" s="279">
        <f t="shared" ca="1" si="47"/>
        <v>1</v>
      </c>
      <c r="AC130" s="257" t="str">
        <f t="shared" si="51"/>
        <v/>
      </c>
      <c r="AD130" s="257" t="str">
        <f t="shared" si="52"/>
        <v/>
      </c>
      <c r="AE130" s="257" t="str">
        <f t="shared" si="49"/>
        <v/>
      </c>
      <c r="AF130" s="257" t="str">
        <f t="shared" si="50"/>
        <v/>
      </c>
      <c r="AG130" s="257" t="str">
        <f t="shared" si="43"/>
        <v>E</v>
      </c>
      <c r="AH130" s="257" cm="1">
        <f t="array" ref="AH130">_xlfn.IFS(COUNTIF($N130:$P130,"合意済")=3,4,OR(COUNTIF($N130:$P130,"合意済")=2,COUNTIF($N130:$P130,"合意済")=1),3,COUNTIF($N130:$P130,"合意済")=0,2)</f>
        <v>2</v>
      </c>
      <c r="AI130" s="257" t="e">
        <f t="shared" ca="1" si="45"/>
        <v>#VALUE!</v>
      </c>
      <c r="AJ130" s="257" t="str">
        <f t="shared" ca="1" si="48"/>
        <v/>
      </c>
    </row>
    <row r="131" spans="2:36" s="11" customFormat="1">
      <c r="B131" s="21"/>
      <c r="C131" s="21"/>
      <c r="D131" s="22"/>
      <c r="E131" s="130"/>
      <c r="F131" s="492" t="str">
        <f ca="1">IFERROR(OFFSET('4.1(2)新規再エネ導入予定（設備情報）'!$F$1,MATCH(G131,'4.1(2)新規再エネ導入予定（設備情報）'!$G:$G,0)-1,0),"")</f>
        <v/>
      </c>
      <c r="G131" s="483"/>
      <c r="H131" s="494" t="str">
        <f ca="1">IFERROR(OFFSET('4.1(2)新規再エネ導入予定（設備情報）'!$H$1,MATCH(G131,'4.1(2)新規再エネ導入予定（設備情報）'!$G:$G,0)-1,0)&amp;"","")</f>
        <v/>
      </c>
      <c r="I131" s="495" t="str">
        <f ca="1">IFERROR(OFFSET('4.1(2)新規再エネ導入予定（設備情報）'!$L$1,MATCH(G131,'4.1(2)新規再エネ導入予定（設備情報）'!$G:$G,0)-1,0),"")</f>
        <v/>
      </c>
      <c r="J131" s="496" t="str">
        <f ca="1">IFERROR(OFFSET('4.1(2)新規再エネ導入予定（設備情報）'!$O$1,MATCH(G131,'4.1(2)新規再エネ導入予定（設備情報）'!$G:$G,0)-1,0),"")</f>
        <v/>
      </c>
      <c r="K131" s="497" t="str">
        <f ca="1">IFERROR(OFFSET('4.1(2)新規再エネ導入予定（設備情報）'!$P$1,MATCH(G131,'4.1(2)新規再エネ導入予定（設備情報）'!$G:$G,0)-1,0),"")</f>
        <v/>
      </c>
      <c r="L131" s="486"/>
      <c r="M131" s="489"/>
      <c r="N131" s="489"/>
      <c r="O131" s="489"/>
      <c r="P131" s="489"/>
      <c r="Q131" s="489"/>
      <c r="R131" s="24"/>
      <c r="S131" s="21"/>
      <c r="T131" s="489"/>
      <c r="V131" s="257">
        <f t="shared" si="40"/>
        <v>124</v>
      </c>
      <c r="W131" s="131">
        <f ca="1">IF(OFFSET('4.1(2)新規再エネ導入予定（設備情報）'!$O$1,MATCH(X131,'4.1(2)新規再エネ導入予定（設備情報）'!$Z:$Z,0)-1,0)="低圧",1,0)</f>
        <v>0</v>
      </c>
      <c r="X131" s="127" t="str">
        <f ca="1">IFERROR(IF(AND(G131="",L131&lt;&gt;""),MAX(OFFSET($X$8,0,0,ROW()-8,1)),OFFSET('4.1(2)新規再エネ導入予定（設備情報）'!$Z$1,MATCH($G131,'4.1(2)新規再エネ導入予定（設備情報）'!$G:$G,0)-1,0)),"")</f>
        <v/>
      </c>
      <c r="Y131" s="225">
        <f t="shared" si="54"/>
        <v>0</v>
      </c>
      <c r="Z131" s="226">
        <f t="shared" ca="1" si="46"/>
        <v>0</v>
      </c>
      <c r="AA131" s="225">
        <f t="shared" si="53"/>
        <v>0</v>
      </c>
      <c r="AB131" s="279">
        <f t="shared" ca="1" si="47"/>
        <v>1</v>
      </c>
      <c r="AC131" s="257" t="str">
        <f t="shared" si="51"/>
        <v/>
      </c>
      <c r="AD131" s="257" t="str">
        <f t="shared" si="52"/>
        <v/>
      </c>
      <c r="AE131" s="257" t="str">
        <f t="shared" si="49"/>
        <v/>
      </c>
      <c r="AF131" s="257" t="str">
        <f t="shared" si="50"/>
        <v/>
      </c>
      <c r="AG131" s="257" t="str">
        <f t="shared" si="43"/>
        <v>E</v>
      </c>
      <c r="AH131" s="257" cm="1">
        <f t="array" ref="AH131">_xlfn.IFS(COUNTIF($N131:$P131,"合意済")=3,4,OR(COUNTIF($N131:$P131,"合意済")=2,COUNTIF($N131:$P131,"合意済")=1),3,COUNTIF($N131:$P131,"合意済")=0,2)</f>
        <v>2</v>
      </c>
      <c r="AI131" s="257" t="e">
        <f t="shared" ca="1" si="45"/>
        <v>#VALUE!</v>
      </c>
      <c r="AJ131" s="257" t="str">
        <f t="shared" ca="1" si="48"/>
        <v/>
      </c>
    </row>
    <row r="132" spans="2:36">
      <c r="D132" s="16"/>
      <c r="E132" s="274"/>
      <c r="F132" s="191" t="s">
        <v>26</v>
      </c>
      <c r="G132" s="242"/>
      <c r="H132" s="242"/>
      <c r="I132" s="275"/>
      <c r="J132" s="276"/>
      <c r="K132" s="502">
        <f ca="1">SUM(INDIRECT("K"&amp;ROW(K125)&amp;":K"&amp;ROW()-1))</f>
        <v>0</v>
      </c>
      <c r="L132" s="276"/>
      <c r="M132" s="244"/>
      <c r="N132" s="244"/>
      <c r="O132" s="244"/>
      <c r="P132" s="244"/>
      <c r="Q132" s="244"/>
      <c r="R132" s="19"/>
      <c r="T132" s="244"/>
      <c r="V132" s="177">
        <f t="shared" si="40"/>
        <v>125</v>
      </c>
      <c r="W132" s="217">
        <f ca="1">IF(OFFSET('4.1(2)新規再エネ導入予定（設備情報）'!$O$1,MATCH(X132,'4.1(2)新規再エネ導入予定（設備情報）'!$Z:$Z,0)-1,0)="低圧",1,0)</f>
        <v>0</v>
      </c>
      <c r="X132" s="127" t="str">
        <f ca="1">IFERROR(IF(AND(G132="",L132&lt;&gt;""),MAX(OFFSET($X$8,0,0,ROW()-8,1)),OFFSET('4.1(2)新規再エネ導入予定（設備情報）'!$Z$1,MATCH($G132,'4.1(2)新規再エネ導入予定（設備情報）'!$G:$G,0)-1,0)),"")</f>
        <v/>
      </c>
      <c r="Y132" s="224">
        <f t="shared" si="54"/>
        <v>0</v>
      </c>
      <c r="Z132" s="263">
        <f t="shared" ca="1" si="46"/>
        <v>0</v>
      </c>
      <c r="AA132" s="224">
        <f t="shared" si="53"/>
        <v>0</v>
      </c>
      <c r="AB132" s="264">
        <f t="shared" ca="1" si="47"/>
        <v>1</v>
      </c>
      <c r="AC132" s="177" t="str">
        <f t="shared" si="51"/>
        <v/>
      </c>
      <c r="AD132" s="177" t="str">
        <f t="shared" si="52"/>
        <v/>
      </c>
      <c r="AE132" s="177" t="str">
        <f t="shared" si="49"/>
        <v/>
      </c>
      <c r="AF132" s="177" t="str">
        <f t="shared" si="50"/>
        <v/>
      </c>
      <c r="AG132" s="177" t="str">
        <f t="shared" si="43"/>
        <v>E</v>
      </c>
      <c r="AH132" s="177" cm="1">
        <f t="array" ref="AH132">_xlfn.IFS(COUNTIF($N132:$P132,"合意済")=3,4,OR(COUNTIF($N132:$P132,"合意済")=2,COUNTIF($N132:$P132,"合意済")=1),3,COUNTIF($N132:$P132,"合意済")=0,2)</f>
        <v>2</v>
      </c>
      <c r="AI132" s="177" t="e">
        <f t="shared" ca="1" si="45"/>
        <v>#VALUE!</v>
      </c>
      <c r="AJ132" s="177" t="str">
        <f t="shared" ca="1" si="48"/>
        <v/>
      </c>
    </row>
    <row r="133" spans="2:36">
      <c r="D133" s="46"/>
      <c r="E133" s="26"/>
      <c r="F133" s="26"/>
      <c r="G133" s="4"/>
      <c r="H133" s="4"/>
      <c r="I133" s="124"/>
      <c r="J133" s="4"/>
      <c r="K133" s="4"/>
      <c r="L133" s="4"/>
      <c r="M133" s="125"/>
      <c r="N133" s="125"/>
      <c r="O133" s="125"/>
      <c r="P133" s="125"/>
      <c r="Q133" s="125"/>
      <c r="R133" s="27"/>
      <c r="S133"/>
      <c r="T133" s="249"/>
      <c r="U133" s="249"/>
      <c r="V133" s="177">
        <f t="shared" si="40"/>
        <v>126</v>
      </c>
      <c r="W133" s="217">
        <f ca="1">IF(OFFSET('4.1(2)新規再エネ導入予定（設備情報）'!$O$1,MATCH(X133,'4.1(2)新規再エネ導入予定（設備情報）'!$Z:$Z,0)-1,0)="低圧",1,0)</f>
        <v>0</v>
      </c>
      <c r="X133" s="127" t="str">
        <f ca="1">IFERROR(IF(AND(G133="",L133&lt;&gt;""),MAX(OFFSET($X$8,0,0,ROW()-8,1)),OFFSET('4.1(2)新規再エネ導入予定（設備情報）'!$Z$1,MATCH($G133,'4.1(2)新規再エネ導入予定（設備情報）'!$G:$G,0)-1,0)),"")</f>
        <v/>
      </c>
      <c r="Y133" s="224">
        <f t="shared" si="54"/>
        <v>0</v>
      </c>
      <c r="Z133" s="263">
        <f t="shared" ca="1" si="46"/>
        <v>0</v>
      </c>
      <c r="AA133" s="224">
        <f t="shared" si="53"/>
        <v>0</v>
      </c>
      <c r="AB133" s="264">
        <f t="shared" ca="1" si="47"/>
        <v>1</v>
      </c>
      <c r="AC133" s="177" t="str">
        <f t="shared" si="51"/>
        <v/>
      </c>
      <c r="AD133" s="177" t="str">
        <f t="shared" si="52"/>
        <v/>
      </c>
      <c r="AE133" s="177" t="str">
        <f t="shared" si="49"/>
        <v/>
      </c>
      <c r="AF133" s="177" t="str">
        <f t="shared" si="50"/>
        <v/>
      </c>
      <c r="AG133" s="177" t="str">
        <f t="shared" si="43"/>
        <v>E</v>
      </c>
      <c r="AH133" s="177" cm="1">
        <f t="array" ref="AH133">_xlfn.IFS(COUNTIF($N133:$P133,"合意済")=3,4,OR(COUNTIF($N133:$P133,"合意済")=2,COUNTIF($N133:$P133,"合意済")=1),3,COUNTIF($N133:$P133,"合意済")=0,2)</f>
        <v>2</v>
      </c>
      <c r="AI133" s="177" t="e">
        <f t="shared" ca="1" si="45"/>
        <v>#VALUE!</v>
      </c>
      <c r="AJ133" s="177" t="str">
        <f t="shared" ca="1" si="48"/>
        <v/>
      </c>
    </row>
    <row r="134" spans="2:36">
      <c r="F134" s="31"/>
      <c r="G134" s="31"/>
      <c r="H134" s="31"/>
      <c r="I134" s="270"/>
      <c r="J134" s="31"/>
      <c r="K134" s="31"/>
      <c r="L134" s="31"/>
      <c r="M134" s="249"/>
      <c r="N134" s="249"/>
      <c r="O134" s="249"/>
      <c r="P134" s="249"/>
      <c r="Q134" s="249"/>
      <c r="T134" s="249"/>
      <c r="U134" s="249"/>
      <c r="V134" s="177">
        <f t="shared" si="40"/>
        <v>127</v>
      </c>
      <c r="W134" s="217">
        <f ca="1">IF(OFFSET('4.1(2)新規再エネ導入予定（設備情報）'!$O$1,MATCH(X134,'4.1(2)新規再エネ導入予定（設備情報）'!$Z:$Z,0)-1,0)="低圧",1,0)</f>
        <v>0</v>
      </c>
      <c r="X134" s="127" t="str">
        <f ca="1">IFERROR(IF(AND(G134="",L134&lt;&gt;""),MAX(OFFSET($X$8,0,0,ROW()-8,1)),OFFSET('4.1(2)新規再エネ導入予定（設備情報）'!$Z$1,MATCH($G134,'4.1(2)新規再エネ導入予定（設備情報）'!$G:$G,0)-1,0)),"")</f>
        <v/>
      </c>
      <c r="Y134" s="224">
        <f t="shared" si="54"/>
        <v>0</v>
      </c>
      <c r="Z134" s="263">
        <f t="shared" ca="1" si="46"/>
        <v>0</v>
      </c>
      <c r="AA134" s="224">
        <f t="shared" si="53"/>
        <v>0</v>
      </c>
      <c r="AB134" s="264">
        <f t="shared" ca="1" si="47"/>
        <v>1</v>
      </c>
      <c r="AC134" s="177" t="str">
        <f t="shared" si="51"/>
        <v/>
      </c>
      <c r="AD134" s="177" t="str">
        <f t="shared" si="52"/>
        <v/>
      </c>
      <c r="AE134" s="177" t="str">
        <f t="shared" si="49"/>
        <v/>
      </c>
      <c r="AF134" s="177" t="str">
        <f t="shared" si="50"/>
        <v/>
      </c>
      <c r="AG134" s="177" t="str">
        <f t="shared" si="43"/>
        <v>E</v>
      </c>
      <c r="AH134" s="177" cm="1">
        <f t="array" ref="AH134">_xlfn.IFS(COUNTIF($N134:$P134,"合意済")=3,4,OR(COUNTIF($N134:$P134,"合意済")=2,COUNTIF($N134:$P134,"合意済")=1),3,COUNTIF($N134:$P134,"合意済")=0,2)</f>
        <v>2</v>
      </c>
      <c r="AI134" s="177" t="e">
        <f t="shared" ca="1" si="45"/>
        <v>#VALUE!</v>
      </c>
      <c r="AJ134" s="177" t="str">
        <f t="shared" ca="1" si="48"/>
        <v/>
      </c>
    </row>
    <row r="135" spans="2:36">
      <c r="F135" s="31"/>
      <c r="G135" s="31"/>
      <c r="H135" s="31"/>
      <c r="I135" s="270"/>
      <c r="J135" s="31"/>
      <c r="K135" s="31"/>
      <c r="L135" s="31"/>
      <c r="M135" s="249"/>
      <c r="N135" s="249"/>
      <c r="O135" s="249"/>
      <c r="P135" s="249"/>
      <c r="Q135" s="249"/>
      <c r="T135" s="249"/>
      <c r="U135" s="249"/>
      <c r="V135" s="177">
        <f t="shared" si="40"/>
        <v>128</v>
      </c>
      <c r="W135" s="217">
        <f ca="1">IF(OFFSET('4.1(2)新規再エネ導入予定（設備情報）'!$O$1,MATCH(X135,'4.1(2)新規再エネ導入予定（設備情報）'!$Z:$Z,0)-1,0)="低圧",1,0)</f>
        <v>0</v>
      </c>
      <c r="X135" s="127" t="str">
        <f ca="1">IFERROR(IF(AND(G135="",L135&lt;&gt;""),MAX(OFFSET($X$8,0,0,ROW()-8,1)),OFFSET('4.1(2)新規再エネ導入予定（設備情報）'!$Z$1,MATCH($G135,'4.1(2)新規再エネ導入予定（設備情報）'!$G:$G,0)-1,0)),"")</f>
        <v/>
      </c>
      <c r="Y135" s="224">
        <f t="shared" si="54"/>
        <v>0</v>
      </c>
      <c r="Z135" s="263">
        <f t="shared" ca="1" si="46"/>
        <v>0</v>
      </c>
      <c r="AA135" s="224">
        <f t="shared" si="53"/>
        <v>0</v>
      </c>
      <c r="AB135" s="264">
        <f t="shared" ca="1" si="47"/>
        <v>1</v>
      </c>
      <c r="AC135" s="177" t="str">
        <f t="shared" si="51"/>
        <v/>
      </c>
      <c r="AD135" s="177" t="str">
        <f t="shared" si="52"/>
        <v/>
      </c>
      <c r="AE135" s="177" t="str">
        <f t="shared" si="49"/>
        <v/>
      </c>
      <c r="AF135" s="177" t="str">
        <f t="shared" si="50"/>
        <v/>
      </c>
      <c r="AG135" s="177" t="str">
        <f t="shared" si="43"/>
        <v>E</v>
      </c>
      <c r="AH135" s="177" cm="1">
        <f t="array" ref="AH135">_xlfn.IFS(COUNTIF($N135:$P135,"合意済")=3,4,OR(COUNTIF($N135:$P135,"合意済")=2,COUNTIF($N135:$P135,"合意済")=1),3,COUNTIF($N135:$P135,"合意済")=0,2)</f>
        <v>2</v>
      </c>
      <c r="AI135" s="177" t="e">
        <f t="shared" ca="1" si="45"/>
        <v>#VALUE!</v>
      </c>
      <c r="AJ135" s="177" t="str">
        <f t="shared" ca="1" si="48"/>
        <v/>
      </c>
    </row>
    <row r="136" spans="2:36" ht="9.75" customHeight="1">
      <c r="D136" s="14"/>
      <c r="E136" s="15"/>
      <c r="F136" s="15"/>
      <c r="G136" s="250"/>
      <c r="H136" s="15"/>
      <c r="I136" s="237"/>
      <c r="J136" s="15"/>
      <c r="K136" s="15"/>
      <c r="L136" s="15"/>
      <c r="M136" s="238"/>
      <c r="N136" s="238"/>
      <c r="O136" s="238"/>
      <c r="P136" s="238"/>
      <c r="Q136" s="238"/>
      <c r="R136" s="30"/>
      <c r="T136" s="231"/>
      <c r="U136" s="231"/>
      <c r="V136" s="177">
        <f t="shared" si="40"/>
        <v>129</v>
      </c>
      <c r="W136" s="217">
        <f ca="1">IF(OFFSET('4.1(2)新規再エネ導入予定（設備情報）'!$O$1,MATCH(X136,'4.1(2)新規再エネ導入予定（設備情報）'!$Z:$Z,0)-1,0)="低圧",1,0)</f>
        <v>0</v>
      </c>
      <c r="X136" s="127" t="str">
        <f ca="1">IFERROR(IF(AND(G136="",L136&lt;&gt;""),MAX(OFFSET($X$8,0,0,ROW()-8,1)),OFFSET('4.1(2)新規再エネ導入予定（設備情報）'!$Z$1,MATCH($G136,'4.1(2)新規再エネ導入予定（設備情報）'!$G:$G,0)-1,0)),"")</f>
        <v/>
      </c>
      <c r="Y136" s="224">
        <f t="shared" si="54"/>
        <v>0</v>
      </c>
      <c r="Z136" s="263">
        <f t="shared" ref="Z136:Z171" ca="1" si="55">SUMIF($X$8:$X$171,X136,$Y$8:$Y$171)</f>
        <v>0</v>
      </c>
      <c r="AA136" s="224">
        <f t="shared" si="53"/>
        <v>0</v>
      </c>
      <c r="AB136" s="264">
        <f t="shared" ref="AB136:AB171" ca="1" si="56">IF(COUNTIFS($X$8:$X$171,X136,$Y$8:$Y$171,1)=0,1,COUNTIFS($X$8:$X$171,X136,$Y$8:$Y$171,1,$AA$8:$AA$171,1))</f>
        <v>1</v>
      </c>
      <c r="AC136" s="177" t="str">
        <f t="shared" si="51"/>
        <v/>
      </c>
      <c r="AD136" s="177" t="str">
        <f t="shared" si="52"/>
        <v/>
      </c>
      <c r="AE136" s="177" t="str">
        <f t="shared" si="49"/>
        <v/>
      </c>
      <c r="AF136" s="177" t="str">
        <f t="shared" si="50"/>
        <v/>
      </c>
      <c r="AG136" s="177" t="str">
        <f t="shared" si="43"/>
        <v>E</v>
      </c>
      <c r="AH136" s="177" cm="1">
        <f t="array" ref="AH136">_xlfn.IFS(COUNTIF($N136:$P136,"合意済")=3,4,OR(COUNTIF($N136:$P136,"合意済")=2,COUNTIF($N136:$P136,"合意済")=1),3,COUNTIF($N136:$P136,"合意済")=0,2)</f>
        <v>2</v>
      </c>
      <c r="AI136" s="177" t="e">
        <f t="shared" ca="1" si="45"/>
        <v>#VALUE!</v>
      </c>
      <c r="AJ136" s="177" t="str">
        <f t="shared" ref="AJ136:AJ171" ca="1" si="57">IFERROR(_xlfn.MINIFS($AI$8:$AI$171,$X$8:$X$171,X136),"")</f>
        <v/>
      </c>
    </row>
    <row r="137" spans="2:36" ht="21">
      <c r="D137" s="239" t="s">
        <v>92</v>
      </c>
      <c r="F137" s="239"/>
      <c r="G137" s="271"/>
      <c r="I137" s="230"/>
      <c r="R137" s="19"/>
      <c r="T137" s="231"/>
      <c r="V137" s="177">
        <f t="shared" ref="V137:V171" si="58">ROW()-7</f>
        <v>130</v>
      </c>
      <c r="W137" s="217">
        <f ca="1">IF(OFFSET('4.1(2)新規再エネ導入予定（設備情報）'!$O$1,MATCH(X137,'4.1(2)新規再エネ導入予定（設備情報）'!$Z:$Z,0)-1,0)="低圧",1,0)</f>
        <v>0</v>
      </c>
      <c r="X137" s="127" t="str">
        <f ca="1">IFERROR(IF(AND(G137="",L137&lt;&gt;""),MAX(OFFSET($X$8,0,0,ROW()-8,1)),OFFSET('4.1(2)新規再エネ導入予定（設備情報）'!$Z$1,MATCH($G137,'4.1(2)新規再エネ導入予定（設備情報）'!$G:$G,0)-1,0)),"")</f>
        <v/>
      </c>
      <c r="Y137" s="224">
        <f t="shared" si="54"/>
        <v>0</v>
      </c>
      <c r="Z137" s="263">
        <f t="shared" ca="1" si="55"/>
        <v>0</v>
      </c>
      <c r="AA137" s="224">
        <f t="shared" si="53"/>
        <v>0</v>
      </c>
      <c r="AB137" s="264">
        <f t="shared" ca="1" si="56"/>
        <v>1</v>
      </c>
      <c r="AC137" s="177" t="str">
        <f t="shared" si="51"/>
        <v/>
      </c>
      <c r="AD137" s="177" t="str">
        <f t="shared" si="52"/>
        <v/>
      </c>
      <c r="AE137" s="177" t="str">
        <f t="shared" ref="AE137:AE171" si="59">IF(O137="","",IF(OR(O137="説明済",O137="協議中",O137="合意済"),1,0))</f>
        <v/>
      </c>
      <c r="AF137" s="177" t="str">
        <f t="shared" ref="AF137:AF171" si="60">IF(P137="","",IF(OR(P137="説明済",P137="協議中",P137="合意済"),1,0))</f>
        <v/>
      </c>
      <c r="AG137" s="177" t="str">
        <f t="shared" ref="AG137:AG171" si="61">IF(COUNTBLANK(AD137:AF137)=0,IF(W137=1,AC137,PRODUCT(AD137:AF137)),"E")</f>
        <v>E</v>
      </c>
      <c r="AH137" s="177" cm="1">
        <f t="array" ref="AH137">_xlfn.IFS(COUNTIF($N137:$P137,"合意済")=3,4,OR(COUNTIF($N137:$P137,"合意済")=2,COUNTIF($N137:$P137,"合意済")=1),3,COUNTIF($N137:$P137,"合意済")=0,2)</f>
        <v>2</v>
      </c>
      <c r="AI137" s="177" t="e">
        <f t="shared" ca="1" si="45"/>
        <v>#VALUE!</v>
      </c>
      <c r="AJ137" s="177" t="str">
        <f t="shared" ca="1" si="57"/>
        <v/>
      </c>
    </row>
    <row r="138" spans="2:36" ht="21" customHeight="1">
      <c r="D138" s="239"/>
      <c r="F138" s="967" t="s">
        <v>8</v>
      </c>
      <c r="G138" s="976" t="s">
        <v>186</v>
      </c>
      <c r="H138" s="976" t="s">
        <v>181</v>
      </c>
      <c r="I138" s="974" t="s">
        <v>31</v>
      </c>
      <c r="J138" s="976" t="s">
        <v>187</v>
      </c>
      <c r="K138" s="976" t="s">
        <v>200</v>
      </c>
      <c r="L138" s="983" t="s">
        <v>184</v>
      </c>
      <c r="M138" s="947" t="s">
        <v>185</v>
      </c>
      <c r="N138" s="947"/>
      <c r="O138" s="947"/>
      <c r="P138" s="947"/>
      <c r="Q138" s="981" t="s">
        <v>306</v>
      </c>
      <c r="R138" s="19"/>
      <c r="T138" s="981" t="s">
        <v>314</v>
      </c>
      <c r="V138" s="177">
        <f t="shared" si="58"/>
        <v>131</v>
      </c>
      <c r="W138" s="217">
        <f ca="1">IF(OFFSET('4.1(2)新規再エネ導入予定（設備情報）'!$O$1,MATCH(X138,'4.1(2)新規再エネ導入予定（設備情報）'!$Z:$Z,0)-1,0)="低圧",1,0)</f>
        <v>0</v>
      </c>
      <c r="X138" s="127" t="str">
        <f ca="1">IFERROR(IF(AND(G138="",L138&lt;&gt;""),MAX(OFFSET($X$8,0,0,ROW()-8,1)),OFFSET('4.1(2)新規再エネ導入予定（設備情報）'!$Z$1,MATCH($G138,'4.1(2)新規再エネ導入予定（設備情報）'!$G:$G,0)-1,0)),"")</f>
        <v>施設
カウント</v>
      </c>
      <c r="Y138" s="272">
        <f t="shared" si="54"/>
        <v>0</v>
      </c>
      <c r="Z138" s="263">
        <f t="shared" ca="1" si="55"/>
        <v>0</v>
      </c>
      <c r="AA138" s="272">
        <f t="shared" si="53"/>
        <v>0</v>
      </c>
      <c r="AB138" s="264">
        <f t="shared" ca="1" si="56"/>
        <v>1</v>
      </c>
      <c r="AC138" s="177">
        <f t="shared" si="51"/>
        <v>0</v>
      </c>
      <c r="AD138" s="177" t="str">
        <f t="shared" si="52"/>
        <v/>
      </c>
      <c r="AE138" s="177" t="str">
        <f t="shared" si="59"/>
        <v/>
      </c>
      <c r="AF138" s="177" t="str">
        <f t="shared" si="60"/>
        <v/>
      </c>
      <c r="AG138" s="177" t="str">
        <f t="shared" si="61"/>
        <v>E</v>
      </c>
      <c r="AH138" s="177" cm="1">
        <f t="array" ref="AH138">_xlfn.IFS(COUNTIF($N138:$P138,"合意済")=3,4,OR(COUNTIF($N138:$P138,"合意済")=2,COUNTIF($N138:$P138,"合意済")=1),3,COUNTIF($N138:$P138,"合意済")=0,2)</f>
        <v>2</v>
      </c>
      <c r="AI138" s="177" t="e">
        <f t="shared" ca="1" si="45"/>
        <v>#VALUE!</v>
      </c>
      <c r="AJ138" s="177" t="str">
        <f t="shared" ca="1" si="57"/>
        <v/>
      </c>
    </row>
    <row r="139" spans="2:36" ht="42" customHeight="1">
      <c r="D139" s="16"/>
      <c r="E139" s="273"/>
      <c r="F139" s="967"/>
      <c r="G139" s="977"/>
      <c r="H139" s="977"/>
      <c r="I139" s="975"/>
      <c r="J139" s="977"/>
      <c r="K139" s="977"/>
      <c r="L139" s="984"/>
      <c r="M139" s="436" t="s">
        <v>197</v>
      </c>
      <c r="N139" s="436" t="s">
        <v>101</v>
      </c>
      <c r="O139" s="436" t="s">
        <v>196</v>
      </c>
      <c r="P139" s="367" t="s">
        <v>100</v>
      </c>
      <c r="Q139" s="982"/>
      <c r="R139" s="19"/>
      <c r="T139" s="982"/>
      <c r="V139" s="177">
        <f t="shared" si="58"/>
        <v>132</v>
      </c>
      <c r="W139" s="217">
        <f ca="1">IF(OFFSET('4.1(2)新規再エネ導入予定（設備情報）'!$O$1,MATCH(X139,'4.1(2)新規再エネ導入予定（設備情報）'!$Z:$Z,0)-1,0)="低圧",1,0)</f>
        <v>0</v>
      </c>
      <c r="X139" s="127" t="str">
        <f ca="1">IFERROR(IF(AND(G139="",L139&lt;&gt;""),MAX(OFFSET($X$8,0,0,ROW()-8,1)),OFFSET('4.1(2)新規再エネ導入予定（設備情報）'!$Z$1,MATCH($G139,'4.1(2)新規再エネ導入予定（設備情報）'!$G:$G,0)-1,0)),"")</f>
        <v/>
      </c>
      <c r="Y139" s="272">
        <f t="shared" si="54"/>
        <v>0</v>
      </c>
      <c r="Z139" s="263">
        <f t="shared" ca="1" si="55"/>
        <v>0</v>
      </c>
      <c r="AA139" s="272">
        <f t="shared" si="53"/>
        <v>0</v>
      </c>
      <c r="AB139" s="264">
        <f t="shared" ca="1" si="56"/>
        <v>1</v>
      </c>
      <c r="AC139" s="177">
        <f t="shared" si="51"/>
        <v>0</v>
      </c>
      <c r="AD139" s="177">
        <f t="shared" si="52"/>
        <v>0</v>
      </c>
      <c r="AE139" s="177">
        <f t="shared" si="59"/>
        <v>0</v>
      </c>
      <c r="AF139" s="177">
        <f t="shared" si="60"/>
        <v>0</v>
      </c>
      <c r="AG139" s="177">
        <f t="shared" ca="1" si="61"/>
        <v>0</v>
      </c>
      <c r="AH139" s="177" cm="1">
        <f t="array" ref="AH139">_xlfn.IFS(COUNTIF($N139:$P139,"合意済")=3,4,OR(COUNTIF($N139:$P139,"合意済")=2,COUNTIF($N139:$P139,"合意済")=1),3,COUNTIF($N139:$P139,"合意済")=0,2)</f>
        <v>2</v>
      </c>
      <c r="AI139" s="177">
        <f t="shared" ca="1" si="45"/>
        <v>0</v>
      </c>
      <c r="AJ139" s="177" t="str">
        <f t="shared" ca="1" si="57"/>
        <v/>
      </c>
    </row>
    <row r="140" spans="2:36" s="11" customFormat="1" hidden="1">
      <c r="B140" s="21"/>
      <c r="C140" s="21"/>
      <c r="D140" s="22"/>
      <c r="E140" s="130"/>
      <c r="F140" s="714"/>
      <c r="G140" s="482"/>
      <c r="H140" s="498"/>
      <c r="I140" s="499"/>
      <c r="J140" s="500"/>
      <c r="K140" s="501"/>
      <c r="L140" s="484"/>
      <c r="M140" s="487"/>
      <c r="N140" s="487"/>
      <c r="O140" s="487"/>
      <c r="P140" s="487"/>
      <c r="Q140" s="487"/>
      <c r="R140" s="24"/>
      <c r="S140" s="21"/>
      <c r="T140" s="487"/>
      <c r="V140" s="257">
        <f t="shared" si="58"/>
        <v>133</v>
      </c>
      <c r="W140" s="131">
        <f ca="1">IF(OFFSET('4.1(2)新規再エネ導入予定（設備情報）'!$O$1,MATCH(X140,'4.1(2)新規再エネ導入予定（設備情報）'!$Z:$Z,0)-1,0)="低圧",1,0)</f>
        <v>0</v>
      </c>
      <c r="X140" s="127" t="str">
        <f ca="1">IFERROR(IF(AND(G140="",L140&lt;&gt;""),MAX(OFFSET($X$8,0,0,ROW()-8,1)),OFFSET('4.1(2)新規再エネ導入予定（設備情報）'!$Z$1,MATCH($G140,'4.1(2)新規再エネ導入予定（設備情報）'!$G:$G,0)-1,0)),"")</f>
        <v/>
      </c>
      <c r="Y140" s="226">
        <f t="shared" si="54"/>
        <v>0</v>
      </c>
      <c r="Z140" s="226">
        <f t="shared" ca="1" si="55"/>
        <v>0</v>
      </c>
      <c r="AA140" s="226">
        <f t="shared" si="53"/>
        <v>0</v>
      </c>
      <c r="AB140" s="279">
        <f t="shared" ca="1" si="56"/>
        <v>1</v>
      </c>
      <c r="AC140" s="257" t="str">
        <f t="shared" si="51"/>
        <v/>
      </c>
      <c r="AD140" s="257" t="str">
        <f t="shared" si="52"/>
        <v/>
      </c>
      <c r="AE140" s="257" t="str">
        <f t="shared" si="59"/>
        <v/>
      </c>
      <c r="AF140" s="257" t="str">
        <f t="shared" si="60"/>
        <v/>
      </c>
      <c r="AG140" s="257" t="str">
        <f t="shared" si="61"/>
        <v>E</v>
      </c>
      <c r="AH140" s="257" cm="1">
        <f t="array" ref="AH140">_xlfn.IFS(COUNTIF($N140:$P140,"合意済")=3,4,OR(COUNTIF($N140:$P140,"合意済")=2,COUNTIF($N140:$P140,"合意済")=1),3,COUNTIF($N140:$P140,"合意済")=0,2)</f>
        <v>2</v>
      </c>
      <c r="AI140" s="257" t="e">
        <f t="shared" ca="1" si="45"/>
        <v>#VALUE!</v>
      </c>
      <c r="AJ140" s="257" t="str">
        <f t="shared" ca="1" si="57"/>
        <v/>
      </c>
    </row>
    <row r="141" spans="2:36" s="11" customFormat="1">
      <c r="B141" s="21"/>
      <c r="C141" s="21"/>
      <c r="D141" s="22"/>
      <c r="E141" s="130"/>
      <c r="F141" s="492" t="str">
        <f ca="1">IFERROR(OFFSET('4.1(2)新規再エネ導入予定（設備情報）'!$F$1,MATCH(G141,'4.1(2)新規再エネ導入予定（設備情報）'!$G:$G,0)-1,0),"")</f>
        <v/>
      </c>
      <c r="G141" s="483"/>
      <c r="H141" s="494" t="str">
        <f ca="1">IFERROR(OFFSET('4.1(2)新規再エネ導入予定（設備情報）'!$H$1,MATCH(G141,'4.1(2)新規再エネ導入予定（設備情報）'!$G:$G,0)-1,0)&amp;"","")</f>
        <v/>
      </c>
      <c r="I141" s="495" t="str">
        <f ca="1">IFERROR(OFFSET('4.1(2)新規再エネ導入予定（設備情報）'!$L$1,MATCH(G141,'4.1(2)新規再エネ導入予定（設備情報）'!$G:$G,0)-1,0),"")</f>
        <v/>
      </c>
      <c r="J141" s="496" t="str">
        <f ca="1">IFERROR(OFFSET('4.1(2)新規再エネ導入予定（設備情報）'!$O$1,MATCH(G141,'4.1(2)新規再エネ導入予定（設備情報）'!$G:$G,0)-1,0),"")</f>
        <v/>
      </c>
      <c r="K141" s="497" t="str">
        <f ca="1">IFERROR(OFFSET('4.1(2)新規再エネ導入予定（設備情報）'!$P$1,MATCH(G141,'4.1(2)新規再エネ導入予定（設備情報）'!$G:$G,0)-1,0),"")</f>
        <v/>
      </c>
      <c r="L141" s="486"/>
      <c r="M141" s="489"/>
      <c r="N141" s="489"/>
      <c r="O141" s="489"/>
      <c r="P141" s="489"/>
      <c r="Q141" s="489"/>
      <c r="R141" s="24"/>
      <c r="S141" s="21"/>
      <c r="T141" s="489"/>
      <c r="V141" s="257">
        <f t="shared" si="58"/>
        <v>134</v>
      </c>
      <c r="W141" s="131">
        <f ca="1">IF(OFFSET('4.1(2)新規再エネ導入予定（設備情報）'!$O$1,MATCH(X141,'4.1(2)新規再エネ導入予定（設備情報）'!$Z:$Z,0)-1,0)="低圧",1,0)</f>
        <v>0</v>
      </c>
      <c r="X141" s="127" t="str">
        <f ca="1">IFERROR(IF(AND(G141="",L141&lt;&gt;""),MAX(OFFSET($X$8,0,0,ROW()-8,1)),OFFSET('4.1(2)新規再エネ導入予定（設備情報）'!$Z$1,MATCH($G141,'4.1(2)新規再エネ導入予定（設備情報）'!$G:$G,0)-1,0)),"")</f>
        <v/>
      </c>
      <c r="Y141" s="225">
        <f t="shared" si="54"/>
        <v>0</v>
      </c>
      <c r="Z141" s="226">
        <f t="shared" ca="1" si="55"/>
        <v>0</v>
      </c>
      <c r="AA141" s="225">
        <f t="shared" si="53"/>
        <v>0</v>
      </c>
      <c r="AB141" s="279">
        <f t="shared" ca="1" si="56"/>
        <v>1</v>
      </c>
      <c r="AC141" s="257" t="str">
        <f t="shared" si="51"/>
        <v/>
      </c>
      <c r="AD141" s="257" t="str">
        <f t="shared" si="52"/>
        <v/>
      </c>
      <c r="AE141" s="257" t="str">
        <f t="shared" si="59"/>
        <v/>
      </c>
      <c r="AF141" s="257" t="str">
        <f t="shared" si="60"/>
        <v/>
      </c>
      <c r="AG141" s="257" t="str">
        <f t="shared" si="61"/>
        <v>E</v>
      </c>
      <c r="AH141" s="257" cm="1">
        <f t="array" ref="AH141">_xlfn.IFS(COUNTIF($N141:$P141,"合意済")=3,4,OR(COUNTIF($N141:$P141,"合意済")=2,COUNTIF($N141:$P141,"合意済")=1),3,COUNTIF($N141:$P141,"合意済")=0,2)</f>
        <v>2</v>
      </c>
      <c r="AI141" s="257" t="e">
        <f t="shared" ref="AI141:AI171" ca="1" si="62">IF(AND(W141*AA141*AC141=1,AD141*AE141*AF141=0),2,AB141*AC141*AG141*(AH141))</f>
        <v>#VALUE!</v>
      </c>
      <c r="AJ141" s="257" t="str">
        <f t="shared" ca="1" si="57"/>
        <v/>
      </c>
    </row>
    <row r="142" spans="2:36" s="11" customFormat="1">
      <c r="B142" s="21"/>
      <c r="C142" s="21"/>
      <c r="D142" s="22"/>
      <c r="E142" s="130"/>
      <c r="F142" s="492" t="str">
        <f ca="1">IFERROR(OFFSET('4.1(2)新規再エネ導入予定（設備情報）'!$F$1,MATCH(G142,'4.1(2)新規再エネ導入予定（設備情報）'!$G:$G,0)-1,0),"")</f>
        <v/>
      </c>
      <c r="G142" s="483"/>
      <c r="H142" s="494" t="str">
        <f ca="1">IFERROR(OFFSET('4.1(2)新規再エネ導入予定（設備情報）'!$H$1,MATCH(G142,'4.1(2)新規再エネ導入予定（設備情報）'!$G:$G,0)-1,0)&amp;"","")</f>
        <v/>
      </c>
      <c r="I142" s="495" t="str">
        <f ca="1">IFERROR(OFFSET('4.1(2)新規再エネ導入予定（設備情報）'!$L$1,MATCH(G142,'4.1(2)新規再エネ導入予定（設備情報）'!$G:$G,0)-1,0),"")</f>
        <v/>
      </c>
      <c r="J142" s="496" t="str">
        <f ca="1">IFERROR(OFFSET('4.1(2)新規再エネ導入予定（設備情報）'!$O$1,MATCH(G142,'4.1(2)新規再エネ導入予定（設備情報）'!$G:$G,0)-1,0),"")</f>
        <v/>
      </c>
      <c r="K142" s="497" t="str">
        <f ca="1">IFERROR(OFFSET('4.1(2)新規再エネ導入予定（設備情報）'!$P$1,MATCH(G142,'4.1(2)新規再エネ導入予定（設備情報）'!$G:$G,0)-1,0),"")</f>
        <v/>
      </c>
      <c r="L142" s="486"/>
      <c r="M142" s="489"/>
      <c r="N142" s="489"/>
      <c r="O142" s="489"/>
      <c r="P142" s="489"/>
      <c r="Q142" s="489"/>
      <c r="R142" s="24"/>
      <c r="S142" s="21"/>
      <c r="T142" s="489"/>
      <c r="V142" s="257">
        <f t="shared" si="58"/>
        <v>135</v>
      </c>
      <c r="W142" s="131">
        <f ca="1">IF(OFFSET('4.1(2)新規再エネ導入予定（設備情報）'!$O$1,MATCH(X142,'4.1(2)新規再エネ導入予定（設備情報）'!$Z:$Z,0)-1,0)="低圧",1,0)</f>
        <v>0</v>
      </c>
      <c r="X142" s="127" t="str">
        <f ca="1">IFERROR(IF(AND(G142="",L142&lt;&gt;""),MAX(OFFSET($X$8,0,0,ROW()-8,1)),OFFSET('4.1(2)新規再エネ導入予定（設備情報）'!$Z$1,MATCH($G142,'4.1(2)新規再エネ導入予定（設備情報）'!$G:$G,0)-1,0)),"")</f>
        <v/>
      </c>
      <c r="Y142" s="225">
        <f t="shared" si="54"/>
        <v>0</v>
      </c>
      <c r="Z142" s="226">
        <f t="shared" ca="1" si="55"/>
        <v>0</v>
      </c>
      <c r="AA142" s="225">
        <f t="shared" si="53"/>
        <v>0</v>
      </c>
      <c r="AB142" s="279">
        <f t="shared" ca="1" si="56"/>
        <v>1</v>
      </c>
      <c r="AC142" s="257" t="str">
        <f t="shared" si="51"/>
        <v/>
      </c>
      <c r="AD142" s="257" t="str">
        <f t="shared" si="52"/>
        <v/>
      </c>
      <c r="AE142" s="257" t="str">
        <f t="shared" si="59"/>
        <v/>
      </c>
      <c r="AF142" s="257" t="str">
        <f t="shared" si="60"/>
        <v/>
      </c>
      <c r="AG142" s="257" t="str">
        <f t="shared" si="61"/>
        <v>E</v>
      </c>
      <c r="AH142" s="257" cm="1">
        <f t="array" ref="AH142">_xlfn.IFS(COUNTIF($N142:$P142,"合意済")=3,4,OR(COUNTIF($N142:$P142,"合意済")=2,COUNTIF($N142:$P142,"合意済")=1),3,COUNTIF($N142:$P142,"合意済")=0,2)</f>
        <v>2</v>
      </c>
      <c r="AI142" s="257" t="e">
        <f t="shared" ca="1" si="62"/>
        <v>#VALUE!</v>
      </c>
      <c r="AJ142" s="257" t="str">
        <f t="shared" ca="1" si="57"/>
        <v/>
      </c>
    </row>
    <row r="143" spans="2:36" s="11" customFormat="1">
      <c r="B143" s="21"/>
      <c r="C143" s="21"/>
      <c r="D143" s="22"/>
      <c r="E143" s="130"/>
      <c r="F143" s="492" t="str">
        <f ca="1">IFERROR(OFFSET('4.1(2)新規再エネ導入予定（設備情報）'!$F$1,MATCH(G143,'4.1(2)新規再エネ導入予定（設備情報）'!$G:$G,0)-1,0),"")</f>
        <v/>
      </c>
      <c r="G143" s="483"/>
      <c r="H143" s="494" t="str">
        <f ca="1">IFERROR(OFFSET('4.1(2)新規再エネ導入予定（設備情報）'!$H$1,MATCH(G143,'4.1(2)新規再エネ導入予定（設備情報）'!$G:$G,0)-1,0)&amp;"","")</f>
        <v/>
      </c>
      <c r="I143" s="495" t="str">
        <f ca="1">IFERROR(OFFSET('4.1(2)新規再エネ導入予定（設備情報）'!$L$1,MATCH(G143,'4.1(2)新規再エネ導入予定（設備情報）'!$G:$G,0)-1,0),"")</f>
        <v/>
      </c>
      <c r="J143" s="496" t="str">
        <f ca="1">IFERROR(OFFSET('4.1(2)新規再エネ導入予定（設備情報）'!$O$1,MATCH(G143,'4.1(2)新規再エネ導入予定（設備情報）'!$G:$G,0)-1,0),"")</f>
        <v/>
      </c>
      <c r="K143" s="497" t="str">
        <f ca="1">IFERROR(OFFSET('4.1(2)新規再エネ導入予定（設備情報）'!$P$1,MATCH(G143,'4.1(2)新規再エネ導入予定（設備情報）'!$G:$G,0)-1,0),"")</f>
        <v/>
      </c>
      <c r="L143" s="486"/>
      <c r="M143" s="489"/>
      <c r="N143" s="489"/>
      <c r="O143" s="489"/>
      <c r="P143" s="489"/>
      <c r="Q143" s="489"/>
      <c r="R143" s="24"/>
      <c r="S143" s="21"/>
      <c r="T143" s="489"/>
      <c r="V143" s="257">
        <f t="shared" si="58"/>
        <v>136</v>
      </c>
      <c r="W143" s="131">
        <f ca="1">IF(OFFSET('4.1(2)新規再エネ導入予定（設備情報）'!$O$1,MATCH(X143,'4.1(2)新規再エネ導入予定（設備情報）'!$Z:$Z,0)-1,0)="低圧",1,0)</f>
        <v>0</v>
      </c>
      <c r="X143" s="127" t="str">
        <f ca="1">IFERROR(IF(AND(G143="",L143&lt;&gt;""),MAX(OFFSET($X$8,0,0,ROW()-8,1)),OFFSET('4.1(2)新規再エネ導入予定（設備情報）'!$Z$1,MATCH($G143,'4.1(2)新規再エネ導入予定（設備情報）'!$G:$G,0)-1,0)),"")</f>
        <v/>
      </c>
      <c r="Y143" s="225">
        <f t="shared" si="54"/>
        <v>0</v>
      </c>
      <c r="Z143" s="226">
        <f t="shared" ca="1" si="55"/>
        <v>0</v>
      </c>
      <c r="AA143" s="225">
        <f t="shared" si="53"/>
        <v>0</v>
      </c>
      <c r="AB143" s="279">
        <f t="shared" ca="1" si="56"/>
        <v>1</v>
      </c>
      <c r="AC143" s="257" t="str">
        <f t="shared" si="51"/>
        <v/>
      </c>
      <c r="AD143" s="257" t="str">
        <f t="shared" si="52"/>
        <v/>
      </c>
      <c r="AE143" s="257" t="str">
        <f t="shared" si="59"/>
        <v/>
      </c>
      <c r="AF143" s="257" t="str">
        <f t="shared" si="60"/>
        <v/>
      </c>
      <c r="AG143" s="257" t="str">
        <f t="shared" si="61"/>
        <v>E</v>
      </c>
      <c r="AH143" s="257" cm="1">
        <f t="array" ref="AH143">_xlfn.IFS(COUNTIF($N143:$P143,"合意済")=3,4,OR(COUNTIF($N143:$P143,"合意済")=2,COUNTIF($N143:$P143,"合意済")=1),3,COUNTIF($N143:$P143,"合意済")=0,2)</f>
        <v>2</v>
      </c>
      <c r="AI143" s="257" t="e">
        <f t="shared" ca="1" si="62"/>
        <v>#VALUE!</v>
      </c>
      <c r="AJ143" s="257" t="str">
        <f t="shared" ca="1" si="57"/>
        <v/>
      </c>
    </row>
    <row r="144" spans="2:36" s="11" customFormat="1">
      <c r="B144" s="21"/>
      <c r="C144" s="21"/>
      <c r="D144" s="22"/>
      <c r="E144" s="130"/>
      <c r="F144" s="492" t="str">
        <f ca="1">IFERROR(OFFSET('4.1(2)新規再エネ導入予定（設備情報）'!$F$1,MATCH(G144,'4.1(2)新規再エネ導入予定（設備情報）'!$G:$G,0)-1,0),"")</f>
        <v/>
      </c>
      <c r="G144" s="483"/>
      <c r="H144" s="494" t="str">
        <f ca="1">IFERROR(OFFSET('4.1(2)新規再エネ導入予定（設備情報）'!$H$1,MATCH(G144,'4.1(2)新規再エネ導入予定（設備情報）'!$G:$G,0)-1,0)&amp;"","")</f>
        <v/>
      </c>
      <c r="I144" s="495" t="str">
        <f ca="1">IFERROR(OFFSET('4.1(2)新規再エネ導入予定（設備情報）'!$L$1,MATCH(G144,'4.1(2)新規再エネ導入予定（設備情報）'!$G:$G,0)-1,0),"")</f>
        <v/>
      </c>
      <c r="J144" s="496" t="str">
        <f ca="1">IFERROR(OFFSET('4.1(2)新規再エネ導入予定（設備情報）'!$O$1,MATCH(G144,'4.1(2)新規再エネ導入予定（設備情報）'!$G:$G,0)-1,0),"")</f>
        <v/>
      </c>
      <c r="K144" s="497" t="str">
        <f ca="1">IFERROR(OFFSET('4.1(2)新規再エネ導入予定（設備情報）'!$P$1,MATCH(G144,'4.1(2)新規再エネ導入予定（設備情報）'!$G:$G,0)-1,0),"")</f>
        <v/>
      </c>
      <c r="L144" s="486"/>
      <c r="M144" s="489"/>
      <c r="N144" s="489"/>
      <c r="O144" s="489"/>
      <c r="P144" s="489"/>
      <c r="Q144" s="489"/>
      <c r="R144" s="24"/>
      <c r="S144" s="21"/>
      <c r="T144" s="489"/>
      <c r="V144" s="257">
        <f t="shared" si="58"/>
        <v>137</v>
      </c>
      <c r="W144" s="131">
        <f ca="1">IF(OFFSET('4.1(2)新規再エネ導入予定（設備情報）'!$O$1,MATCH(X144,'4.1(2)新規再エネ導入予定（設備情報）'!$Z:$Z,0)-1,0)="低圧",1,0)</f>
        <v>0</v>
      </c>
      <c r="X144" s="127" t="str">
        <f ca="1">IFERROR(IF(AND(G144="",L144&lt;&gt;""),MAX(OFFSET($X$8,0,0,ROW()-8,1)),OFFSET('4.1(2)新規再エネ導入予定（設備情報）'!$Z$1,MATCH($G144,'4.1(2)新規再エネ導入予定（設備情報）'!$G:$G,0)-1,0)),"")</f>
        <v/>
      </c>
      <c r="Y144" s="225">
        <f t="shared" si="54"/>
        <v>0</v>
      </c>
      <c r="Z144" s="226">
        <f t="shared" ca="1" si="55"/>
        <v>0</v>
      </c>
      <c r="AA144" s="225">
        <f t="shared" si="53"/>
        <v>0</v>
      </c>
      <c r="AB144" s="279">
        <f t="shared" ca="1" si="56"/>
        <v>1</v>
      </c>
      <c r="AC144" s="257" t="str">
        <f t="shared" si="51"/>
        <v/>
      </c>
      <c r="AD144" s="257" t="str">
        <f t="shared" si="52"/>
        <v/>
      </c>
      <c r="AE144" s="257" t="str">
        <f t="shared" si="59"/>
        <v/>
      </c>
      <c r="AF144" s="257" t="str">
        <f t="shared" si="60"/>
        <v/>
      </c>
      <c r="AG144" s="257" t="str">
        <f t="shared" si="61"/>
        <v>E</v>
      </c>
      <c r="AH144" s="257" cm="1">
        <f t="array" ref="AH144">_xlfn.IFS(COUNTIF($N144:$P144,"合意済")=3,4,OR(COUNTIF($N144:$P144,"合意済")=2,COUNTIF($N144:$P144,"合意済")=1),3,COUNTIF($N144:$P144,"合意済")=0,2)</f>
        <v>2</v>
      </c>
      <c r="AI144" s="257" t="e">
        <f t="shared" ca="1" si="62"/>
        <v>#VALUE!</v>
      </c>
      <c r="AJ144" s="257" t="str">
        <f t="shared" ca="1" si="57"/>
        <v/>
      </c>
    </row>
    <row r="145" spans="2:36">
      <c r="D145" s="16"/>
      <c r="E145" s="274"/>
      <c r="F145" s="191" t="s">
        <v>26</v>
      </c>
      <c r="G145" s="242"/>
      <c r="H145" s="242"/>
      <c r="I145" s="275"/>
      <c r="J145" s="276"/>
      <c r="K145" s="502">
        <f ca="1">SUM(INDIRECT("K"&amp;ROW(K138)&amp;":K"&amp;ROW()-1))</f>
        <v>0</v>
      </c>
      <c r="L145" s="276"/>
      <c r="M145" s="244"/>
      <c r="N145" s="244"/>
      <c r="O145" s="244"/>
      <c r="P145" s="244"/>
      <c r="Q145" s="244"/>
      <c r="R145" s="19"/>
      <c r="T145" s="244"/>
      <c r="V145" s="177">
        <f t="shared" si="58"/>
        <v>138</v>
      </c>
      <c r="W145" s="217">
        <f ca="1">IF(OFFSET('4.1(2)新規再エネ導入予定（設備情報）'!$O$1,MATCH(X145,'4.1(2)新規再エネ導入予定（設備情報）'!$Z:$Z,0)-1,0)="低圧",1,0)</f>
        <v>0</v>
      </c>
      <c r="X145" s="127" t="str">
        <f ca="1">IFERROR(IF(AND(G145="",L145&lt;&gt;""),MAX(OFFSET($X$8,0,0,ROW()-8,1)),OFFSET('4.1(2)新規再エネ導入予定（設備情報）'!$Z$1,MATCH($G145,'4.1(2)新規再エネ導入予定（設備情報）'!$G:$G,0)-1,0)),"")</f>
        <v/>
      </c>
      <c r="Y145" s="224">
        <f t="shared" si="54"/>
        <v>0</v>
      </c>
      <c r="Z145" s="263">
        <f t="shared" ca="1" si="55"/>
        <v>0</v>
      </c>
      <c r="AA145" s="224">
        <f t="shared" si="53"/>
        <v>0</v>
      </c>
      <c r="AB145" s="264">
        <f t="shared" ca="1" si="56"/>
        <v>1</v>
      </c>
      <c r="AC145" s="177" t="str">
        <f t="shared" si="51"/>
        <v/>
      </c>
      <c r="AD145" s="177" t="str">
        <f t="shared" si="52"/>
        <v/>
      </c>
      <c r="AE145" s="177" t="str">
        <f t="shared" si="59"/>
        <v/>
      </c>
      <c r="AF145" s="177" t="str">
        <f t="shared" si="60"/>
        <v/>
      </c>
      <c r="AG145" s="177" t="str">
        <f t="shared" si="61"/>
        <v>E</v>
      </c>
      <c r="AH145" s="177" cm="1">
        <f t="array" ref="AH145">_xlfn.IFS(COUNTIF($N145:$P145,"合意済")=3,4,OR(COUNTIF($N145:$P145,"合意済")=2,COUNTIF($N145:$P145,"合意済")=1),3,COUNTIF($N145:$P145,"合意済")=0,2)</f>
        <v>2</v>
      </c>
      <c r="AI145" s="177" t="e">
        <f t="shared" ca="1" si="62"/>
        <v>#VALUE!</v>
      </c>
      <c r="AJ145" s="177" t="str">
        <f t="shared" ca="1" si="57"/>
        <v/>
      </c>
    </row>
    <row r="146" spans="2:36">
      <c r="D146" s="46"/>
      <c r="E146" s="26"/>
      <c r="F146" s="26"/>
      <c r="G146" s="4"/>
      <c r="H146" s="4"/>
      <c r="I146" s="124"/>
      <c r="J146" s="4"/>
      <c r="K146" s="4"/>
      <c r="L146" s="4"/>
      <c r="M146" s="125"/>
      <c r="N146" s="125"/>
      <c r="O146" s="125"/>
      <c r="P146" s="125"/>
      <c r="Q146" s="125"/>
      <c r="R146" s="27"/>
      <c r="S146"/>
      <c r="T146" s="249"/>
      <c r="U146" s="249"/>
      <c r="V146" s="177">
        <f t="shared" si="58"/>
        <v>139</v>
      </c>
      <c r="W146" s="217">
        <f ca="1">IF(OFFSET('4.1(2)新規再エネ導入予定（設備情報）'!$O$1,MATCH(X146,'4.1(2)新規再エネ導入予定（設備情報）'!$Z:$Z,0)-1,0)="低圧",1,0)</f>
        <v>0</v>
      </c>
      <c r="X146" s="127" t="str">
        <f ca="1">IFERROR(IF(AND(G146="",L146&lt;&gt;""),MAX(OFFSET($X$8,0,0,ROW()-8,1)),OFFSET('4.1(2)新規再エネ導入予定（設備情報）'!$Z$1,MATCH($G146,'4.1(2)新規再エネ導入予定（設備情報）'!$G:$G,0)-1,0)),"")</f>
        <v/>
      </c>
      <c r="Y146" s="224">
        <f t="shared" si="54"/>
        <v>0</v>
      </c>
      <c r="Z146" s="263">
        <f t="shared" ca="1" si="55"/>
        <v>0</v>
      </c>
      <c r="AA146" s="224">
        <f t="shared" si="53"/>
        <v>0</v>
      </c>
      <c r="AB146" s="264">
        <f t="shared" ca="1" si="56"/>
        <v>1</v>
      </c>
      <c r="AC146" s="177" t="str">
        <f t="shared" si="51"/>
        <v/>
      </c>
      <c r="AD146" s="177" t="str">
        <f t="shared" si="52"/>
        <v/>
      </c>
      <c r="AE146" s="177" t="str">
        <f t="shared" si="59"/>
        <v/>
      </c>
      <c r="AF146" s="177" t="str">
        <f t="shared" si="60"/>
        <v/>
      </c>
      <c r="AG146" s="177" t="str">
        <f t="shared" si="61"/>
        <v>E</v>
      </c>
      <c r="AH146" s="177" cm="1">
        <f t="array" ref="AH146">_xlfn.IFS(COUNTIF($N146:$P146,"合意済")=3,4,OR(COUNTIF($N146:$P146,"合意済")=2,COUNTIF($N146:$P146,"合意済")=1),3,COUNTIF($N146:$P146,"合意済")=0,2)</f>
        <v>2</v>
      </c>
      <c r="AI146" s="177" t="e">
        <f t="shared" ca="1" si="62"/>
        <v>#VALUE!</v>
      </c>
      <c r="AJ146" s="177" t="str">
        <f t="shared" ca="1" si="57"/>
        <v/>
      </c>
    </row>
    <row r="147" spans="2:36">
      <c r="F147" s="31"/>
      <c r="G147" s="31"/>
      <c r="H147" s="31"/>
      <c r="I147" s="270"/>
      <c r="J147" s="31"/>
      <c r="K147" s="31"/>
      <c r="L147" s="31"/>
      <c r="M147" s="249"/>
      <c r="N147" s="249"/>
      <c r="O147" s="249"/>
      <c r="P147" s="249"/>
      <c r="Q147" s="249"/>
      <c r="T147" s="249"/>
      <c r="U147" s="249"/>
      <c r="V147" s="177">
        <f t="shared" si="58"/>
        <v>140</v>
      </c>
      <c r="W147" s="217">
        <f ca="1">IF(OFFSET('4.1(2)新規再エネ導入予定（設備情報）'!$O$1,MATCH(X147,'4.1(2)新規再エネ導入予定（設備情報）'!$Z:$Z,0)-1,0)="低圧",1,0)</f>
        <v>0</v>
      </c>
      <c r="X147" s="127" t="str">
        <f ca="1">IFERROR(IF(AND(G147="",L147&lt;&gt;""),MAX(OFFSET($X$8,0,0,ROW()-8,1)),OFFSET('4.1(2)新規再エネ導入予定（設備情報）'!$Z$1,MATCH($G147,'4.1(2)新規再エネ導入予定（設備情報）'!$G:$G,0)-1,0)),"")</f>
        <v/>
      </c>
      <c r="Y147" s="224">
        <f t="shared" si="54"/>
        <v>0</v>
      </c>
      <c r="Z147" s="263">
        <f t="shared" ca="1" si="55"/>
        <v>0</v>
      </c>
      <c r="AA147" s="224">
        <f t="shared" si="53"/>
        <v>0</v>
      </c>
      <c r="AB147" s="264">
        <f t="shared" ca="1" si="56"/>
        <v>1</v>
      </c>
      <c r="AC147" s="177" t="str">
        <f t="shared" si="51"/>
        <v/>
      </c>
      <c r="AD147" s="177" t="str">
        <f t="shared" si="52"/>
        <v/>
      </c>
      <c r="AE147" s="177" t="str">
        <f t="shared" si="59"/>
        <v/>
      </c>
      <c r="AF147" s="177" t="str">
        <f t="shared" si="60"/>
        <v/>
      </c>
      <c r="AG147" s="177" t="str">
        <f t="shared" si="61"/>
        <v>E</v>
      </c>
      <c r="AH147" s="177" cm="1">
        <f t="array" ref="AH147">_xlfn.IFS(COUNTIF($N147:$P147,"合意済")=3,4,OR(COUNTIF($N147:$P147,"合意済")=2,COUNTIF($N147:$P147,"合意済")=1),3,COUNTIF($N147:$P147,"合意済")=0,2)</f>
        <v>2</v>
      </c>
      <c r="AI147" s="177" t="e">
        <f t="shared" ca="1" si="62"/>
        <v>#VALUE!</v>
      </c>
      <c r="AJ147" s="177" t="str">
        <f t="shared" ca="1" si="57"/>
        <v/>
      </c>
    </row>
    <row r="148" spans="2:36">
      <c r="F148" s="31"/>
      <c r="G148" s="31"/>
      <c r="H148" s="31"/>
      <c r="I148" s="270"/>
      <c r="J148" s="31"/>
      <c r="K148" s="31"/>
      <c r="L148" s="31"/>
      <c r="M148" s="249"/>
      <c r="N148" s="249"/>
      <c r="O148" s="249"/>
      <c r="P148" s="249"/>
      <c r="Q148" s="249"/>
      <c r="T148" s="249"/>
      <c r="U148" s="249"/>
      <c r="V148" s="177">
        <f t="shared" si="58"/>
        <v>141</v>
      </c>
      <c r="W148" s="217">
        <f ca="1">IF(OFFSET('4.1(2)新規再エネ導入予定（設備情報）'!$O$1,MATCH(X148,'4.1(2)新規再エネ導入予定（設備情報）'!$Z:$Z,0)-1,0)="低圧",1,0)</f>
        <v>0</v>
      </c>
      <c r="X148" s="127" t="str">
        <f ca="1">IFERROR(IF(AND(G148="",L148&lt;&gt;""),MAX(OFFSET($X$8,0,0,ROW()-8,1)),OFFSET('4.1(2)新規再エネ導入予定（設備情報）'!$Z$1,MATCH($G148,'4.1(2)新規再エネ導入予定（設備情報）'!$G:$G,0)-1,0)),"")</f>
        <v/>
      </c>
      <c r="Y148" s="224">
        <f t="shared" si="54"/>
        <v>0</v>
      </c>
      <c r="Z148" s="263">
        <f t="shared" ca="1" si="55"/>
        <v>0</v>
      </c>
      <c r="AA148" s="224">
        <f t="shared" si="53"/>
        <v>0</v>
      </c>
      <c r="AB148" s="264">
        <f t="shared" ca="1" si="56"/>
        <v>1</v>
      </c>
      <c r="AC148" s="177" t="str">
        <f t="shared" si="51"/>
        <v/>
      </c>
      <c r="AD148" s="177" t="str">
        <f t="shared" si="52"/>
        <v/>
      </c>
      <c r="AE148" s="177" t="str">
        <f t="shared" si="59"/>
        <v/>
      </c>
      <c r="AF148" s="177" t="str">
        <f t="shared" si="60"/>
        <v/>
      </c>
      <c r="AG148" s="177" t="str">
        <f t="shared" si="61"/>
        <v>E</v>
      </c>
      <c r="AH148" s="177" cm="1">
        <f t="array" ref="AH148">_xlfn.IFS(COUNTIF($N148:$P148,"合意済")=3,4,OR(COUNTIF($N148:$P148,"合意済")=2,COUNTIF($N148:$P148,"合意済")=1),3,COUNTIF($N148:$P148,"合意済")=0,2)</f>
        <v>2</v>
      </c>
      <c r="AI148" s="177" t="e">
        <f t="shared" ca="1" si="62"/>
        <v>#VALUE!</v>
      </c>
      <c r="AJ148" s="177" t="str">
        <f t="shared" ca="1" si="57"/>
        <v/>
      </c>
    </row>
    <row r="149" spans="2:36" ht="9.75" customHeight="1">
      <c r="D149" s="14"/>
      <c r="E149" s="15"/>
      <c r="F149" s="15"/>
      <c r="G149" s="250"/>
      <c r="H149" s="15"/>
      <c r="I149" s="237"/>
      <c r="J149" s="15"/>
      <c r="K149" s="15"/>
      <c r="L149" s="15"/>
      <c r="M149" s="238"/>
      <c r="N149" s="238"/>
      <c r="O149" s="238"/>
      <c r="P149" s="238"/>
      <c r="Q149" s="238"/>
      <c r="R149" s="30"/>
      <c r="T149" s="231"/>
      <c r="U149" s="231"/>
      <c r="V149" s="177">
        <f t="shared" si="58"/>
        <v>142</v>
      </c>
      <c r="W149" s="217">
        <f ca="1">IF(OFFSET('4.1(2)新規再エネ導入予定（設備情報）'!$O$1,MATCH(X149,'4.1(2)新規再エネ導入予定（設備情報）'!$Z:$Z,0)-1,0)="低圧",1,0)</f>
        <v>0</v>
      </c>
      <c r="X149" s="127" t="str">
        <f ca="1">IFERROR(IF(AND(G149="",L149&lt;&gt;""),MAX(OFFSET($X$8,0,0,ROW()-8,1)),OFFSET('4.1(2)新規再エネ導入予定（設備情報）'!$Z$1,MATCH($G149,'4.1(2)新規再エネ導入予定（設備情報）'!$G:$G,0)-1,0)),"")</f>
        <v/>
      </c>
      <c r="Y149" s="224">
        <f t="shared" si="54"/>
        <v>0</v>
      </c>
      <c r="Z149" s="263">
        <f t="shared" ca="1" si="55"/>
        <v>0</v>
      </c>
      <c r="AA149" s="224">
        <f t="shared" si="53"/>
        <v>0</v>
      </c>
      <c r="AB149" s="264">
        <f t="shared" ca="1" si="56"/>
        <v>1</v>
      </c>
      <c r="AC149" s="177" t="str">
        <f t="shared" si="51"/>
        <v/>
      </c>
      <c r="AD149" s="177" t="str">
        <f t="shared" si="52"/>
        <v/>
      </c>
      <c r="AE149" s="177" t="str">
        <f t="shared" si="59"/>
        <v/>
      </c>
      <c r="AF149" s="177" t="str">
        <f t="shared" si="60"/>
        <v/>
      </c>
      <c r="AG149" s="177" t="str">
        <f t="shared" si="61"/>
        <v>E</v>
      </c>
      <c r="AH149" s="177" cm="1">
        <f t="array" ref="AH149">_xlfn.IFS(COUNTIF($N149:$P149,"合意済")=3,4,OR(COUNTIF($N149:$P149,"合意済")=2,COUNTIF($N149:$P149,"合意済")=1),3,COUNTIF($N149:$P149,"合意済")=0,2)</f>
        <v>2</v>
      </c>
      <c r="AI149" s="177" t="e">
        <f t="shared" ca="1" si="62"/>
        <v>#VALUE!</v>
      </c>
      <c r="AJ149" s="177" t="str">
        <f t="shared" ca="1" si="57"/>
        <v/>
      </c>
    </row>
    <row r="150" spans="2:36" ht="26.5">
      <c r="D150" s="239" t="str">
        <f>"【その他発電】"&amp;" "&amp;IF('4.1(2)新規再エネ導入予定（設備情報）'!H147="〇〇発電(こちらに発電方式を記載ください)","",'4.1(2)新規再エネ導入予定（設備情報）'!H147)</f>
        <v xml:space="preserve">【その他発電】 </v>
      </c>
      <c r="F150" s="239"/>
      <c r="G150" s="432" t="str">
        <f>IF('4.1(2)新規再エネ導入予定（設備情報）'!G147="","",'4.1(2)新規再エネ導入予定（設備情報）'!G147)</f>
        <v/>
      </c>
      <c r="I150" s="230"/>
      <c r="R150" s="19"/>
      <c r="T150" s="231"/>
      <c r="V150" s="177">
        <f t="shared" si="58"/>
        <v>143</v>
      </c>
      <c r="W150" s="217">
        <f ca="1">IF(OFFSET('4.1(2)新規再エネ導入予定（設備情報）'!$O$1,MATCH(X150,'4.1(2)新規再エネ導入予定（設備情報）'!$Z:$Z,0)-1,0)="低圧",1,0)</f>
        <v>0</v>
      </c>
      <c r="X150" s="127" t="str">
        <f ca="1">IFERROR(IF(AND(G150="",L150&lt;&gt;""),MAX(OFFSET($X$8,0,0,ROW()-8,1)),OFFSET('4.1(2)新規再エネ導入予定（設備情報）'!$Z$1,MATCH($G150,'4.1(2)新規再エネ導入予定（設備情報）'!$G:$G,0)-1,0)),"")</f>
        <v/>
      </c>
      <c r="Y150" s="224">
        <f t="shared" si="54"/>
        <v>0</v>
      </c>
      <c r="Z150" s="263">
        <f t="shared" ca="1" si="55"/>
        <v>0</v>
      </c>
      <c r="AA150" s="224">
        <f t="shared" si="53"/>
        <v>0</v>
      </c>
      <c r="AB150" s="264">
        <f t="shared" ca="1" si="56"/>
        <v>1</v>
      </c>
      <c r="AC150" s="177" t="str">
        <f t="shared" si="51"/>
        <v/>
      </c>
      <c r="AD150" s="177" t="str">
        <f t="shared" si="52"/>
        <v/>
      </c>
      <c r="AE150" s="177" t="str">
        <f t="shared" si="59"/>
        <v/>
      </c>
      <c r="AF150" s="177" t="str">
        <f t="shared" si="60"/>
        <v/>
      </c>
      <c r="AG150" s="177" t="str">
        <f t="shared" si="61"/>
        <v>E</v>
      </c>
      <c r="AH150" s="177" cm="1">
        <f t="array" ref="AH150">_xlfn.IFS(COUNTIF($N150:$P150,"合意済")=3,4,OR(COUNTIF($N150:$P150,"合意済")=2,COUNTIF($N150:$P150,"合意済")=1),3,COUNTIF($N150:$P150,"合意済")=0,2)</f>
        <v>2</v>
      </c>
      <c r="AI150" s="177" t="e">
        <f t="shared" ca="1" si="62"/>
        <v>#VALUE!</v>
      </c>
      <c r="AJ150" s="177" t="str">
        <f t="shared" ca="1" si="57"/>
        <v/>
      </c>
    </row>
    <row r="151" spans="2:36" ht="21" customHeight="1">
      <c r="D151" s="239"/>
      <c r="F151" s="967" t="s">
        <v>8</v>
      </c>
      <c r="G151" s="976" t="s">
        <v>186</v>
      </c>
      <c r="H151" s="976" t="s">
        <v>181</v>
      </c>
      <c r="I151" s="974" t="s">
        <v>31</v>
      </c>
      <c r="J151" s="976" t="s">
        <v>187</v>
      </c>
      <c r="K151" s="976" t="s">
        <v>81</v>
      </c>
      <c r="L151" s="983" t="s">
        <v>184</v>
      </c>
      <c r="M151" s="947" t="s">
        <v>185</v>
      </c>
      <c r="N151" s="947"/>
      <c r="O151" s="947"/>
      <c r="P151" s="947"/>
      <c r="Q151" s="981" t="s">
        <v>306</v>
      </c>
      <c r="R151" s="19"/>
      <c r="T151" s="981" t="s">
        <v>314</v>
      </c>
      <c r="V151" s="177">
        <f t="shared" si="58"/>
        <v>144</v>
      </c>
      <c r="W151" s="217">
        <f ca="1">IF(OFFSET('4.1(2)新規再エネ導入予定（設備情報）'!$O$1,MATCH(X151,'4.1(2)新規再エネ導入予定（設備情報）'!$Z:$Z,0)-1,0)="低圧",1,0)</f>
        <v>0</v>
      </c>
      <c r="X151" s="127" t="str">
        <f ca="1">IFERROR(IF(AND(G151="",L151&lt;&gt;""),MAX(OFFSET($X$8,0,0,ROW()-8,1)),OFFSET('4.1(2)新規再エネ導入予定（設備情報）'!$Z$1,MATCH($G151,'4.1(2)新規再エネ導入予定（設備情報）'!$G:$G,0)-1,0)),"")</f>
        <v>施設
カウント</v>
      </c>
      <c r="Y151" s="272">
        <f t="shared" si="54"/>
        <v>0</v>
      </c>
      <c r="Z151" s="263">
        <f t="shared" ca="1" si="55"/>
        <v>0</v>
      </c>
      <c r="AA151" s="272">
        <f t="shared" si="53"/>
        <v>0</v>
      </c>
      <c r="AB151" s="264">
        <f t="shared" ca="1" si="56"/>
        <v>1</v>
      </c>
      <c r="AC151" s="177">
        <f t="shared" si="51"/>
        <v>0</v>
      </c>
      <c r="AD151" s="177" t="str">
        <f t="shared" si="52"/>
        <v/>
      </c>
      <c r="AE151" s="177" t="str">
        <f t="shared" si="59"/>
        <v/>
      </c>
      <c r="AF151" s="177" t="str">
        <f t="shared" si="60"/>
        <v/>
      </c>
      <c r="AG151" s="177" t="str">
        <f t="shared" si="61"/>
        <v>E</v>
      </c>
      <c r="AH151" s="177" cm="1">
        <f t="array" ref="AH151">_xlfn.IFS(COUNTIF($N151:$P151,"合意済")=3,4,OR(COUNTIF($N151:$P151,"合意済")=2,COUNTIF($N151:$P151,"合意済")=1),3,COUNTIF($N151:$P151,"合意済")=0,2)</f>
        <v>2</v>
      </c>
      <c r="AI151" s="177" t="e">
        <f t="shared" ca="1" si="62"/>
        <v>#VALUE!</v>
      </c>
      <c r="AJ151" s="177" t="str">
        <f t="shared" ca="1" si="57"/>
        <v/>
      </c>
    </row>
    <row r="152" spans="2:36" ht="42" customHeight="1">
      <c r="D152" s="16"/>
      <c r="E152" s="273"/>
      <c r="F152" s="967"/>
      <c r="G152" s="977"/>
      <c r="H152" s="977"/>
      <c r="I152" s="975"/>
      <c r="J152" s="977"/>
      <c r="K152" s="977"/>
      <c r="L152" s="984"/>
      <c r="M152" s="436" t="s">
        <v>197</v>
      </c>
      <c r="N152" s="436" t="s">
        <v>101</v>
      </c>
      <c r="O152" s="436" t="s">
        <v>196</v>
      </c>
      <c r="P152" s="367" t="s">
        <v>100</v>
      </c>
      <c r="Q152" s="982"/>
      <c r="R152" s="19"/>
      <c r="T152" s="982"/>
      <c r="V152" s="177">
        <f t="shared" si="58"/>
        <v>145</v>
      </c>
      <c r="W152" s="217">
        <f ca="1">IF(OFFSET('4.1(2)新規再エネ導入予定（設備情報）'!$O$1,MATCH(X152,'4.1(2)新規再エネ導入予定（設備情報）'!$Z:$Z,0)-1,0)="低圧",1,0)</f>
        <v>0</v>
      </c>
      <c r="X152" s="127" t="str">
        <f ca="1">IFERROR(IF(AND(G152="",L152&lt;&gt;""),MAX(OFFSET($X$8,0,0,ROW()-8,1)),OFFSET('4.1(2)新規再エネ導入予定（設備情報）'!$Z$1,MATCH($G152,'4.1(2)新規再エネ導入予定（設備情報）'!$G:$G,0)-1,0)),"")</f>
        <v/>
      </c>
      <c r="Y152" s="272">
        <f t="shared" si="54"/>
        <v>0</v>
      </c>
      <c r="Z152" s="263">
        <f t="shared" ca="1" si="55"/>
        <v>0</v>
      </c>
      <c r="AA152" s="272">
        <f t="shared" si="53"/>
        <v>0</v>
      </c>
      <c r="AB152" s="264">
        <f t="shared" ca="1" si="56"/>
        <v>1</v>
      </c>
      <c r="AC152" s="177">
        <f t="shared" si="51"/>
        <v>0</v>
      </c>
      <c r="AD152" s="177">
        <f t="shared" si="52"/>
        <v>0</v>
      </c>
      <c r="AE152" s="177">
        <f t="shared" si="59"/>
        <v>0</v>
      </c>
      <c r="AF152" s="177">
        <f t="shared" si="60"/>
        <v>0</v>
      </c>
      <c r="AG152" s="177">
        <f t="shared" ca="1" si="61"/>
        <v>0</v>
      </c>
      <c r="AH152" s="177" cm="1">
        <f t="array" ref="AH152">_xlfn.IFS(COUNTIF($N152:$P152,"合意済")=3,4,OR(COUNTIF($N152:$P152,"合意済")=2,COUNTIF($N152:$P152,"合意済")=1),3,COUNTIF($N152:$P152,"合意済")=0,2)</f>
        <v>2</v>
      </c>
      <c r="AI152" s="177">
        <f t="shared" ca="1" si="62"/>
        <v>0</v>
      </c>
      <c r="AJ152" s="177" t="str">
        <f t="shared" ca="1" si="57"/>
        <v/>
      </c>
    </row>
    <row r="153" spans="2:36" s="11" customFormat="1" hidden="1">
      <c r="B153" s="21"/>
      <c r="C153" s="21"/>
      <c r="D153" s="22"/>
      <c r="E153" s="130"/>
      <c r="F153" s="714"/>
      <c r="G153" s="482"/>
      <c r="H153" s="498"/>
      <c r="I153" s="499"/>
      <c r="J153" s="500"/>
      <c r="K153" s="501"/>
      <c r="L153" s="484"/>
      <c r="M153" s="487"/>
      <c r="N153" s="487"/>
      <c r="O153" s="487"/>
      <c r="P153" s="487"/>
      <c r="Q153" s="487"/>
      <c r="R153" s="24"/>
      <c r="S153" s="21"/>
      <c r="T153" s="487"/>
      <c r="V153" s="257">
        <f t="shared" si="58"/>
        <v>146</v>
      </c>
      <c r="W153" s="131">
        <f ca="1">IF(OFFSET('4.1(2)新規再エネ導入予定（設備情報）'!$O$1,MATCH(X153,'4.1(2)新規再エネ導入予定（設備情報）'!$Z:$Z,0)-1,0)="低圧",1,0)</f>
        <v>0</v>
      </c>
      <c r="X153" s="127" t="str">
        <f ca="1">IFERROR(IF(AND(G153="",L153&lt;&gt;""),MAX(OFFSET($X$8,0,0,ROW()-8,1)),OFFSET('4.1(2)新規再エネ導入予定（設備情報）'!$Z$1,MATCH($G153,'4.1(2)新規再エネ導入予定（設備情報）'!$G:$G,0)-1,0)),"")</f>
        <v/>
      </c>
      <c r="Y153" s="226">
        <f t="shared" si="54"/>
        <v>0</v>
      </c>
      <c r="Z153" s="226">
        <f t="shared" ca="1" si="55"/>
        <v>0</v>
      </c>
      <c r="AA153" s="226">
        <f t="shared" si="53"/>
        <v>0</v>
      </c>
      <c r="AB153" s="279">
        <f t="shared" ca="1" si="56"/>
        <v>1</v>
      </c>
      <c r="AC153" s="257" t="str">
        <f t="shared" si="51"/>
        <v/>
      </c>
      <c r="AD153" s="257" t="str">
        <f t="shared" si="52"/>
        <v/>
      </c>
      <c r="AE153" s="257" t="str">
        <f t="shared" si="59"/>
        <v/>
      </c>
      <c r="AF153" s="257" t="str">
        <f t="shared" si="60"/>
        <v/>
      </c>
      <c r="AG153" s="257" t="str">
        <f t="shared" si="61"/>
        <v>E</v>
      </c>
      <c r="AH153" s="257" cm="1">
        <f t="array" ref="AH153">_xlfn.IFS(COUNTIF($N153:$P153,"合意済")=3,4,OR(COUNTIF($N153:$P153,"合意済")=2,COUNTIF($N153:$P153,"合意済")=1),3,COUNTIF($N153:$P153,"合意済")=0,2)</f>
        <v>2</v>
      </c>
      <c r="AI153" s="257" t="e">
        <f t="shared" ca="1" si="62"/>
        <v>#VALUE!</v>
      </c>
      <c r="AJ153" s="257" t="str">
        <f t="shared" ca="1" si="57"/>
        <v/>
      </c>
    </row>
    <row r="154" spans="2:36" s="11" customFormat="1">
      <c r="B154" s="21"/>
      <c r="C154" s="21"/>
      <c r="D154" s="22"/>
      <c r="E154" s="130"/>
      <c r="F154" s="492" t="str">
        <f ca="1">IFERROR(OFFSET('4.1(2)新規再エネ導入予定（設備情報）'!$F$1,MATCH(G154,'4.1(2)新規再エネ導入予定（設備情報）'!$G:$G,0)-1,0),"")</f>
        <v/>
      </c>
      <c r="G154" s="483"/>
      <c r="H154" s="494" t="str">
        <f ca="1">IFERROR(OFFSET('4.1(2)新規再エネ導入予定（設備情報）'!$H$1,MATCH(G154,'4.1(2)新規再エネ導入予定（設備情報）'!$G:$G,0)-1,0)&amp;"","")</f>
        <v/>
      </c>
      <c r="I154" s="495" t="str">
        <f ca="1">IFERROR(OFFSET('4.1(2)新規再エネ導入予定（設備情報）'!$L$1,MATCH(G154,'4.1(2)新規再エネ導入予定（設備情報）'!$G:$G,0)-1,0),"")</f>
        <v/>
      </c>
      <c r="J154" s="496" t="str">
        <f ca="1">IFERROR(OFFSET('4.1(2)新規再エネ導入予定（設備情報）'!$O$1,MATCH(G154,'4.1(2)新規再エネ導入予定（設備情報）'!$G:$G,0)-1,0),"")</f>
        <v/>
      </c>
      <c r="K154" s="497" t="str">
        <f ca="1">IFERROR(OFFSET('4.1(2)新規再エネ導入予定（設備情報）'!$P$1,MATCH(G154,'4.1(2)新規再エネ導入予定（設備情報）'!$G:$G,0)-1,0),"")</f>
        <v/>
      </c>
      <c r="L154" s="486"/>
      <c r="M154" s="489"/>
      <c r="N154" s="489"/>
      <c r="O154" s="489"/>
      <c r="P154" s="489"/>
      <c r="Q154" s="489"/>
      <c r="R154" s="24"/>
      <c r="S154" s="21"/>
      <c r="T154" s="489"/>
      <c r="V154" s="257">
        <f t="shared" si="58"/>
        <v>147</v>
      </c>
      <c r="W154" s="131">
        <f ca="1">IF(OFFSET('4.1(2)新規再エネ導入予定（設備情報）'!$O$1,MATCH(X154,'4.1(2)新規再エネ導入予定（設備情報）'!$Z:$Z,0)-1,0)="低圧",1,0)</f>
        <v>0</v>
      </c>
      <c r="X154" s="127" t="str">
        <f ca="1">IFERROR(IF(AND(G154="",L154&lt;&gt;""),MAX(OFFSET($X$8,0,0,ROW()-8,1)),OFFSET('4.1(2)新規再エネ導入予定（設備情報）'!$Z$1,MATCH($G154,'4.1(2)新規再エネ導入予定（設備情報）'!$G:$G,0)-1,0)),"")</f>
        <v/>
      </c>
      <c r="Y154" s="225">
        <f t="shared" si="54"/>
        <v>0</v>
      </c>
      <c r="Z154" s="226">
        <f t="shared" ca="1" si="55"/>
        <v>0</v>
      </c>
      <c r="AA154" s="225">
        <f t="shared" si="53"/>
        <v>0</v>
      </c>
      <c r="AB154" s="279">
        <f t="shared" ca="1" si="56"/>
        <v>1</v>
      </c>
      <c r="AC154" s="257" t="str">
        <f t="shared" si="51"/>
        <v/>
      </c>
      <c r="AD154" s="257" t="str">
        <f t="shared" si="52"/>
        <v/>
      </c>
      <c r="AE154" s="257" t="str">
        <f t="shared" si="59"/>
        <v/>
      </c>
      <c r="AF154" s="257" t="str">
        <f t="shared" si="60"/>
        <v/>
      </c>
      <c r="AG154" s="257" t="str">
        <f t="shared" si="61"/>
        <v>E</v>
      </c>
      <c r="AH154" s="257" cm="1">
        <f t="array" ref="AH154">_xlfn.IFS(COUNTIF($N154:$P154,"合意済")=3,4,OR(COUNTIF($N154:$P154,"合意済")=2,COUNTIF($N154:$P154,"合意済")=1),3,COUNTIF($N154:$P154,"合意済")=0,2)</f>
        <v>2</v>
      </c>
      <c r="AI154" s="257" t="e">
        <f t="shared" ca="1" si="62"/>
        <v>#VALUE!</v>
      </c>
      <c r="AJ154" s="257" t="str">
        <f t="shared" ca="1" si="57"/>
        <v/>
      </c>
    </row>
    <row r="155" spans="2:36" s="11" customFormat="1">
      <c r="B155" s="21"/>
      <c r="C155" s="21"/>
      <c r="D155" s="22"/>
      <c r="E155" s="130"/>
      <c r="F155" s="492" t="str">
        <f ca="1">IFERROR(OFFSET('4.1(2)新規再エネ導入予定（設備情報）'!$F$1,MATCH(G155,'4.1(2)新規再エネ導入予定（設備情報）'!$G:$G,0)-1,0),"")</f>
        <v/>
      </c>
      <c r="G155" s="483"/>
      <c r="H155" s="494" t="str">
        <f ca="1">IFERROR(OFFSET('4.1(2)新規再エネ導入予定（設備情報）'!$H$1,MATCH(G155,'4.1(2)新規再エネ導入予定（設備情報）'!$G:$G,0)-1,0)&amp;"","")</f>
        <v/>
      </c>
      <c r="I155" s="495" t="str">
        <f ca="1">IFERROR(OFFSET('4.1(2)新規再エネ導入予定（設備情報）'!$L$1,MATCH(G155,'4.1(2)新規再エネ導入予定（設備情報）'!$G:$G,0)-1,0),"")</f>
        <v/>
      </c>
      <c r="J155" s="496" t="str">
        <f ca="1">IFERROR(OFFSET('4.1(2)新規再エネ導入予定（設備情報）'!$O$1,MATCH(G155,'4.1(2)新規再エネ導入予定（設備情報）'!$G:$G,0)-1,0),"")</f>
        <v/>
      </c>
      <c r="K155" s="497" t="str">
        <f ca="1">IFERROR(OFFSET('4.1(2)新規再エネ導入予定（設備情報）'!$P$1,MATCH(G155,'4.1(2)新規再エネ導入予定（設備情報）'!$G:$G,0)-1,0),"")</f>
        <v/>
      </c>
      <c r="L155" s="486"/>
      <c r="M155" s="489"/>
      <c r="N155" s="489"/>
      <c r="O155" s="489"/>
      <c r="P155" s="489"/>
      <c r="Q155" s="489"/>
      <c r="R155" s="24"/>
      <c r="S155" s="21"/>
      <c r="T155" s="489"/>
      <c r="V155" s="257">
        <f t="shared" si="58"/>
        <v>148</v>
      </c>
      <c r="W155" s="131">
        <f ca="1">IF(OFFSET('4.1(2)新規再エネ導入予定（設備情報）'!$O$1,MATCH(X155,'4.1(2)新規再エネ導入予定（設備情報）'!$Z:$Z,0)-1,0)="低圧",1,0)</f>
        <v>0</v>
      </c>
      <c r="X155" s="127" t="str">
        <f ca="1">IFERROR(IF(AND(G155="",L155&lt;&gt;""),MAX(OFFSET($X$8,0,0,ROW()-8,1)),OFFSET('4.1(2)新規再エネ導入予定（設備情報）'!$Z$1,MATCH($G155,'4.1(2)新規再エネ導入予定（設備情報）'!$G:$G,0)-1,0)),"")</f>
        <v/>
      </c>
      <c r="Y155" s="225">
        <f t="shared" si="54"/>
        <v>0</v>
      </c>
      <c r="Z155" s="226">
        <f t="shared" ca="1" si="55"/>
        <v>0</v>
      </c>
      <c r="AA155" s="225">
        <f t="shared" si="53"/>
        <v>0</v>
      </c>
      <c r="AB155" s="279">
        <f t="shared" ca="1" si="56"/>
        <v>1</v>
      </c>
      <c r="AC155" s="257" t="str">
        <f t="shared" si="51"/>
        <v/>
      </c>
      <c r="AD155" s="257" t="str">
        <f t="shared" si="52"/>
        <v/>
      </c>
      <c r="AE155" s="257" t="str">
        <f t="shared" si="59"/>
        <v/>
      </c>
      <c r="AF155" s="257" t="str">
        <f t="shared" si="60"/>
        <v/>
      </c>
      <c r="AG155" s="257" t="str">
        <f t="shared" si="61"/>
        <v>E</v>
      </c>
      <c r="AH155" s="257" cm="1">
        <f t="array" ref="AH155">_xlfn.IFS(COUNTIF($N155:$P155,"合意済")=3,4,OR(COUNTIF($N155:$P155,"合意済")=2,COUNTIF($N155:$P155,"合意済")=1),3,COUNTIF($N155:$P155,"合意済")=0,2)</f>
        <v>2</v>
      </c>
      <c r="AI155" s="257" t="e">
        <f t="shared" ca="1" si="62"/>
        <v>#VALUE!</v>
      </c>
      <c r="AJ155" s="257" t="str">
        <f t="shared" ca="1" si="57"/>
        <v/>
      </c>
    </row>
    <row r="156" spans="2:36" s="11" customFormat="1">
      <c r="B156" s="21"/>
      <c r="C156" s="21"/>
      <c r="D156" s="22"/>
      <c r="E156" s="130"/>
      <c r="F156" s="492" t="str">
        <f ca="1">IFERROR(OFFSET('4.1(2)新規再エネ導入予定（設備情報）'!$F$1,MATCH(G156,'4.1(2)新規再エネ導入予定（設備情報）'!$G:$G,0)-1,0),"")</f>
        <v/>
      </c>
      <c r="G156" s="483"/>
      <c r="H156" s="494" t="str">
        <f ca="1">IFERROR(OFFSET('4.1(2)新規再エネ導入予定（設備情報）'!$H$1,MATCH(G156,'4.1(2)新規再エネ導入予定（設備情報）'!$G:$G,0)-1,0)&amp;"","")</f>
        <v/>
      </c>
      <c r="I156" s="495" t="str">
        <f ca="1">IFERROR(OFFSET('4.1(2)新規再エネ導入予定（設備情報）'!$L$1,MATCH(G156,'4.1(2)新規再エネ導入予定（設備情報）'!$G:$G,0)-1,0),"")</f>
        <v/>
      </c>
      <c r="J156" s="496" t="str">
        <f ca="1">IFERROR(OFFSET('4.1(2)新規再エネ導入予定（設備情報）'!$O$1,MATCH(G156,'4.1(2)新規再エネ導入予定（設備情報）'!$G:$G,0)-1,0),"")</f>
        <v/>
      </c>
      <c r="K156" s="497" t="str">
        <f ca="1">IFERROR(OFFSET('4.1(2)新規再エネ導入予定（設備情報）'!$P$1,MATCH(G156,'4.1(2)新規再エネ導入予定（設備情報）'!$G:$G,0)-1,0),"")</f>
        <v/>
      </c>
      <c r="L156" s="486"/>
      <c r="M156" s="489"/>
      <c r="N156" s="489"/>
      <c r="O156" s="489"/>
      <c r="P156" s="489"/>
      <c r="Q156" s="489"/>
      <c r="R156" s="24"/>
      <c r="S156" s="21"/>
      <c r="T156" s="489"/>
      <c r="V156" s="257">
        <f t="shared" si="58"/>
        <v>149</v>
      </c>
      <c r="W156" s="131">
        <f ca="1">IF(OFFSET('4.1(2)新規再エネ導入予定（設備情報）'!$O$1,MATCH(X156,'4.1(2)新規再エネ導入予定（設備情報）'!$Z:$Z,0)-1,0)="低圧",1,0)</f>
        <v>0</v>
      </c>
      <c r="X156" s="127" t="str">
        <f ca="1">IFERROR(IF(AND(G156="",L156&lt;&gt;""),MAX(OFFSET($X$8,0,0,ROW()-8,1)),OFFSET('4.1(2)新規再エネ導入予定（設備情報）'!$Z$1,MATCH($G156,'4.1(2)新規再エネ導入予定（設備情報）'!$G:$G,0)-1,0)),"")</f>
        <v/>
      </c>
      <c r="Y156" s="225">
        <f t="shared" si="54"/>
        <v>0</v>
      </c>
      <c r="Z156" s="226">
        <f t="shared" ca="1" si="55"/>
        <v>0</v>
      </c>
      <c r="AA156" s="225">
        <f t="shared" si="53"/>
        <v>0</v>
      </c>
      <c r="AB156" s="279">
        <f t="shared" ca="1" si="56"/>
        <v>1</v>
      </c>
      <c r="AC156" s="257" t="str">
        <f t="shared" si="51"/>
        <v/>
      </c>
      <c r="AD156" s="257" t="str">
        <f t="shared" si="52"/>
        <v/>
      </c>
      <c r="AE156" s="257" t="str">
        <f t="shared" si="59"/>
        <v/>
      </c>
      <c r="AF156" s="257" t="str">
        <f t="shared" si="60"/>
        <v/>
      </c>
      <c r="AG156" s="257" t="str">
        <f t="shared" si="61"/>
        <v>E</v>
      </c>
      <c r="AH156" s="257" cm="1">
        <f t="array" ref="AH156">_xlfn.IFS(COUNTIF($N156:$P156,"合意済")=3,4,OR(COUNTIF($N156:$P156,"合意済")=2,COUNTIF($N156:$P156,"合意済")=1),3,COUNTIF($N156:$P156,"合意済")=0,2)</f>
        <v>2</v>
      </c>
      <c r="AI156" s="257" t="e">
        <f t="shared" ca="1" si="62"/>
        <v>#VALUE!</v>
      </c>
      <c r="AJ156" s="257" t="str">
        <f t="shared" ca="1" si="57"/>
        <v/>
      </c>
    </row>
    <row r="157" spans="2:36" s="11" customFormat="1">
      <c r="B157" s="21"/>
      <c r="C157" s="21"/>
      <c r="D157" s="22"/>
      <c r="E157" s="130"/>
      <c r="F157" s="492" t="str">
        <f ca="1">IFERROR(OFFSET('4.1(2)新規再エネ導入予定（設備情報）'!$F$1,MATCH(G157,'4.1(2)新規再エネ導入予定（設備情報）'!$G:$G,0)-1,0),"")</f>
        <v/>
      </c>
      <c r="G157" s="483"/>
      <c r="H157" s="494" t="str">
        <f ca="1">IFERROR(OFFSET('4.1(2)新規再エネ導入予定（設備情報）'!$H$1,MATCH(G157,'4.1(2)新規再エネ導入予定（設備情報）'!$G:$G,0)-1,0)&amp;"","")</f>
        <v/>
      </c>
      <c r="I157" s="495" t="str">
        <f ca="1">IFERROR(OFFSET('4.1(2)新規再エネ導入予定（設備情報）'!$L$1,MATCH(G157,'4.1(2)新規再エネ導入予定（設備情報）'!$G:$G,0)-1,0),"")</f>
        <v/>
      </c>
      <c r="J157" s="496" t="str">
        <f ca="1">IFERROR(OFFSET('4.1(2)新規再エネ導入予定（設備情報）'!$O$1,MATCH(G157,'4.1(2)新規再エネ導入予定（設備情報）'!$G:$G,0)-1,0),"")</f>
        <v/>
      </c>
      <c r="K157" s="497" t="str">
        <f ca="1">IFERROR(OFFSET('4.1(2)新規再エネ導入予定（設備情報）'!$P$1,MATCH(G157,'4.1(2)新規再エネ導入予定（設備情報）'!$G:$G,0)-1,0),"")</f>
        <v/>
      </c>
      <c r="L157" s="486"/>
      <c r="M157" s="489"/>
      <c r="N157" s="489"/>
      <c r="O157" s="489"/>
      <c r="P157" s="489"/>
      <c r="Q157" s="489"/>
      <c r="R157" s="24"/>
      <c r="S157" s="21"/>
      <c r="T157" s="489"/>
      <c r="V157" s="257">
        <f t="shared" si="58"/>
        <v>150</v>
      </c>
      <c r="W157" s="131">
        <f ca="1">IF(OFFSET('4.1(2)新規再エネ導入予定（設備情報）'!$O$1,MATCH(X157,'4.1(2)新規再エネ導入予定（設備情報）'!$Z:$Z,0)-1,0)="低圧",1,0)</f>
        <v>0</v>
      </c>
      <c r="X157" s="127" t="str">
        <f ca="1">IFERROR(IF(AND(G157="",L157&lt;&gt;""),MAX(OFFSET($X$8,0,0,ROW()-8,1)),OFFSET('4.1(2)新規再エネ導入予定（設備情報）'!$Z$1,MATCH($G157,'4.1(2)新規再エネ導入予定（設備情報）'!$G:$G,0)-1,0)),"")</f>
        <v/>
      </c>
      <c r="Y157" s="225">
        <f t="shared" si="54"/>
        <v>0</v>
      </c>
      <c r="Z157" s="226">
        <f t="shared" ca="1" si="55"/>
        <v>0</v>
      </c>
      <c r="AA157" s="225">
        <f t="shared" si="53"/>
        <v>0</v>
      </c>
      <c r="AB157" s="279">
        <f t="shared" ca="1" si="56"/>
        <v>1</v>
      </c>
      <c r="AC157" s="257" t="str">
        <f t="shared" si="51"/>
        <v/>
      </c>
      <c r="AD157" s="257" t="str">
        <f t="shared" si="52"/>
        <v/>
      </c>
      <c r="AE157" s="257" t="str">
        <f t="shared" si="59"/>
        <v/>
      </c>
      <c r="AF157" s="257" t="str">
        <f t="shared" si="60"/>
        <v/>
      </c>
      <c r="AG157" s="257" t="str">
        <f t="shared" si="61"/>
        <v>E</v>
      </c>
      <c r="AH157" s="257" cm="1">
        <f t="array" ref="AH157">_xlfn.IFS(COUNTIF($N157:$P157,"合意済")=3,4,OR(COUNTIF($N157:$P157,"合意済")=2,COUNTIF($N157:$P157,"合意済")=1),3,COUNTIF($N157:$P157,"合意済")=0,2)</f>
        <v>2</v>
      </c>
      <c r="AI157" s="257" t="e">
        <f t="shared" ca="1" si="62"/>
        <v>#VALUE!</v>
      </c>
      <c r="AJ157" s="257" t="str">
        <f t="shared" ca="1" si="57"/>
        <v/>
      </c>
    </row>
    <row r="158" spans="2:36">
      <c r="D158" s="16"/>
      <c r="E158" s="274"/>
      <c r="F158" s="191" t="s">
        <v>26</v>
      </c>
      <c r="G158" s="242"/>
      <c r="H158" s="242"/>
      <c r="I158" s="275"/>
      <c r="J158" s="276"/>
      <c r="K158" s="502">
        <f ca="1">SUM(INDIRECT("K"&amp;ROW(K151)&amp;":K"&amp;ROW()-1))</f>
        <v>0</v>
      </c>
      <c r="L158" s="276"/>
      <c r="M158" s="244"/>
      <c r="N158" s="244"/>
      <c r="O158" s="244"/>
      <c r="P158" s="244"/>
      <c r="Q158" s="244"/>
      <c r="R158" s="19"/>
      <c r="T158" s="244"/>
      <c r="V158" s="177">
        <f t="shared" si="58"/>
        <v>151</v>
      </c>
      <c r="W158" s="217">
        <f ca="1">IF(OFFSET('4.1(2)新規再エネ導入予定（設備情報）'!$O$1,MATCH(X158,'4.1(2)新規再エネ導入予定（設備情報）'!$Z:$Z,0)-1,0)="低圧",1,0)</f>
        <v>0</v>
      </c>
      <c r="X158" s="127" t="str">
        <f ca="1">IFERROR(IF(AND(G158="",L158&lt;&gt;""),MAX(OFFSET($X$8,0,0,ROW()-8,1)),OFFSET('4.1(2)新規再エネ導入予定（設備情報）'!$Z$1,MATCH($G158,'4.1(2)新規再エネ導入予定（設備情報）'!$G:$G,0)-1,0)),"")</f>
        <v/>
      </c>
      <c r="Y158" s="224">
        <f t="shared" si="54"/>
        <v>0</v>
      </c>
      <c r="Z158" s="263">
        <f t="shared" ca="1" si="55"/>
        <v>0</v>
      </c>
      <c r="AA158" s="224">
        <f t="shared" si="53"/>
        <v>0</v>
      </c>
      <c r="AB158" s="264">
        <f t="shared" ca="1" si="56"/>
        <v>1</v>
      </c>
      <c r="AC158" s="177" t="str">
        <f t="shared" si="51"/>
        <v/>
      </c>
      <c r="AD158" s="177" t="str">
        <f t="shared" si="52"/>
        <v/>
      </c>
      <c r="AE158" s="177" t="str">
        <f t="shared" si="59"/>
        <v/>
      </c>
      <c r="AF158" s="177" t="str">
        <f t="shared" si="60"/>
        <v/>
      </c>
      <c r="AG158" s="177" t="str">
        <f t="shared" si="61"/>
        <v>E</v>
      </c>
      <c r="AH158" s="177" cm="1">
        <f t="array" ref="AH158">_xlfn.IFS(COUNTIF($N158:$P158,"合意済")=3,4,OR(COUNTIF($N158:$P158,"合意済")=2,COUNTIF($N158:$P158,"合意済")=1),3,COUNTIF($N158:$P158,"合意済")=0,2)</f>
        <v>2</v>
      </c>
      <c r="AI158" s="177" t="e">
        <f t="shared" ca="1" si="62"/>
        <v>#VALUE!</v>
      </c>
      <c r="AJ158" s="177" t="str">
        <f t="shared" ca="1" si="57"/>
        <v/>
      </c>
    </row>
    <row r="159" spans="2:36">
      <c r="D159" s="46"/>
      <c r="E159" s="26"/>
      <c r="F159" s="26"/>
      <c r="G159" s="4"/>
      <c r="H159" s="4"/>
      <c r="I159" s="124"/>
      <c r="J159" s="4"/>
      <c r="K159" s="4"/>
      <c r="L159" s="4"/>
      <c r="M159" s="125"/>
      <c r="N159" s="125"/>
      <c r="O159" s="125"/>
      <c r="P159" s="125"/>
      <c r="Q159" s="125"/>
      <c r="R159" s="27"/>
      <c r="S159"/>
      <c r="T159" s="249"/>
      <c r="U159" s="249"/>
      <c r="V159" s="177">
        <f t="shared" si="58"/>
        <v>152</v>
      </c>
      <c r="W159" s="217">
        <f ca="1">IF(OFFSET('4.1(2)新規再エネ導入予定（設備情報）'!$O$1,MATCH(X159,'4.1(2)新規再エネ導入予定（設備情報）'!$Z:$Z,0)-1,0)="低圧",1,0)</f>
        <v>0</v>
      </c>
      <c r="X159" s="127" t="str">
        <f ca="1">IFERROR(IF(AND(G159="",L159&lt;&gt;""),MAX(OFFSET($X$8,0,0,ROW()-8,1)),OFFSET('4.1(2)新規再エネ導入予定（設備情報）'!$Z$1,MATCH($G159,'4.1(2)新規再エネ導入予定（設備情報）'!$G:$G,0)-1,0)),"")</f>
        <v/>
      </c>
      <c r="Y159" s="224">
        <f t="shared" si="54"/>
        <v>0</v>
      </c>
      <c r="Z159" s="263">
        <f t="shared" ca="1" si="55"/>
        <v>0</v>
      </c>
      <c r="AA159" s="224">
        <f t="shared" si="53"/>
        <v>0</v>
      </c>
      <c r="AB159" s="264">
        <f t="shared" ca="1" si="56"/>
        <v>1</v>
      </c>
      <c r="AC159" s="177" t="str">
        <f t="shared" si="51"/>
        <v/>
      </c>
      <c r="AD159" s="177" t="str">
        <f t="shared" si="52"/>
        <v/>
      </c>
      <c r="AE159" s="177" t="str">
        <f t="shared" si="59"/>
        <v/>
      </c>
      <c r="AF159" s="177" t="str">
        <f t="shared" si="60"/>
        <v/>
      </c>
      <c r="AG159" s="177" t="str">
        <f t="shared" si="61"/>
        <v>E</v>
      </c>
      <c r="AH159" s="177" cm="1">
        <f t="array" ref="AH159">_xlfn.IFS(COUNTIF($N159:$P159,"合意済")=3,4,OR(COUNTIF($N159:$P159,"合意済")=2,COUNTIF($N159:$P159,"合意済")=1),3,COUNTIF($N159:$P159,"合意済")=0,2)</f>
        <v>2</v>
      </c>
      <c r="AI159" s="177" t="e">
        <f t="shared" ca="1" si="62"/>
        <v>#VALUE!</v>
      </c>
      <c r="AJ159" s="177" t="str">
        <f t="shared" ca="1" si="57"/>
        <v/>
      </c>
    </row>
    <row r="160" spans="2:36">
      <c r="F160" s="31"/>
      <c r="G160" s="31"/>
      <c r="H160" s="31"/>
      <c r="I160" s="270"/>
      <c r="J160" s="31"/>
      <c r="K160" s="31"/>
      <c r="L160" s="31"/>
      <c r="M160" s="249"/>
      <c r="N160" s="249"/>
      <c r="O160" s="249"/>
      <c r="P160" s="249"/>
      <c r="Q160" s="249"/>
      <c r="T160" s="249"/>
      <c r="U160" s="249"/>
      <c r="V160" s="177">
        <f t="shared" si="58"/>
        <v>153</v>
      </c>
      <c r="W160" s="217">
        <f ca="1">IF(OFFSET('4.1(2)新規再エネ導入予定（設備情報）'!$O$1,MATCH(X160,'4.1(2)新規再エネ導入予定（設備情報）'!$Z:$Z,0)-1,0)="低圧",1,0)</f>
        <v>0</v>
      </c>
      <c r="X160" s="127" t="str">
        <f ca="1">IFERROR(IF(AND(G160="",L160&lt;&gt;""),MAX(OFFSET($X$8,0,0,ROW()-8,1)),OFFSET('4.1(2)新規再エネ導入予定（設備情報）'!$Z$1,MATCH($G160,'4.1(2)新規再エネ導入予定（設備情報）'!$G:$G,0)-1,0)),"")</f>
        <v/>
      </c>
      <c r="Y160" s="224">
        <f t="shared" si="54"/>
        <v>0</v>
      </c>
      <c r="Z160" s="263">
        <f t="shared" ca="1" si="55"/>
        <v>0</v>
      </c>
      <c r="AA160" s="224">
        <f t="shared" si="53"/>
        <v>0</v>
      </c>
      <c r="AB160" s="264">
        <f t="shared" ca="1" si="56"/>
        <v>1</v>
      </c>
      <c r="AC160" s="177" t="str">
        <f t="shared" si="51"/>
        <v/>
      </c>
      <c r="AD160" s="177" t="str">
        <f t="shared" si="52"/>
        <v/>
      </c>
      <c r="AE160" s="177" t="str">
        <f t="shared" si="59"/>
        <v/>
      </c>
      <c r="AF160" s="177" t="str">
        <f t="shared" si="60"/>
        <v/>
      </c>
      <c r="AG160" s="177" t="str">
        <f t="shared" si="61"/>
        <v>E</v>
      </c>
      <c r="AH160" s="177" cm="1">
        <f t="array" ref="AH160">_xlfn.IFS(COUNTIF($N160:$P160,"合意済")=3,4,OR(COUNTIF($N160:$P160,"合意済")=2,COUNTIF($N160:$P160,"合意済")=1),3,COUNTIF($N160:$P160,"合意済")=0,2)</f>
        <v>2</v>
      </c>
      <c r="AI160" s="177" t="e">
        <f t="shared" ca="1" si="62"/>
        <v>#VALUE!</v>
      </c>
      <c r="AJ160" s="177" t="str">
        <f t="shared" ca="1" si="57"/>
        <v/>
      </c>
    </row>
    <row r="161" spans="2:36">
      <c r="F161" s="31"/>
      <c r="G161" s="31"/>
      <c r="H161" s="31"/>
      <c r="I161" s="270"/>
      <c r="J161" s="31"/>
      <c r="K161" s="31"/>
      <c r="L161" s="31"/>
      <c r="M161" s="249"/>
      <c r="N161" s="249"/>
      <c r="O161" s="249"/>
      <c r="P161" s="249"/>
      <c r="Q161" s="249"/>
      <c r="T161" s="249"/>
      <c r="U161" s="249"/>
      <c r="V161" s="177">
        <f t="shared" si="58"/>
        <v>154</v>
      </c>
      <c r="W161" s="217">
        <f ca="1">IF(OFFSET('4.1(2)新規再エネ導入予定（設備情報）'!$O$1,MATCH(X161,'4.1(2)新規再エネ導入予定（設備情報）'!$Z:$Z,0)-1,0)="低圧",1,0)</f>
        <v>0</v>
      </c>
      <c r="X161" s="127" t="str">
        <f ca="1">IFERROR(IF(AND(G161="",L161&lt;&gt;""),MAX(OFFSET($X$8,0,0,ROW()-8,1)),OFFSET('4.1(2)新規再エネ導入予定（設備情報）'!$Z$1,MATCH($G161,'4.1(2)新規再エネ導入予定（設備情報）'!$G:$G,0)-1,0)),"")</f>
        <v/>
      </c>
      <c r="Y161" s="224">
        <f t="shared" si="54"/>
        <v>0</v>
      </c>
      <c r="Z161" s="263">
        <f t="shared" ca="1" si="55"/>
        <v>0</v>
      </c>
      <c r="AA161" s="224">
        <f t="shared" si="53"/>
        <v>0</v>
      </c>
      <c r="AB161" s="264">
        <f t="shared" ca="1" si="56"/>
        <v>1</v>
      </c>
      <c r="AC161" s="177" t="str">
        <f t="shared" si="51"/>
        <v/>
      </c>
      <c r="AD161" s="177" t="str">
        <f t="shared" si="52"/>
        <v/>
      </c>
      <c r="AE161" s="177" t="str">
        <f t="shared" si="59"/>
        <v/>
      </c>
      <c r="AF161" s="177" t="str">
        <f t="shared" si="60"/>
        <v/>
      </c>
      <c r="AG161" s="177" t="str">
        <f t="shared" si="61"/>
        <v>E</v>
      </c>
      <c r="AH161" s="177" cm="1">
        <f t="array" ref="AH161">_xlfn.IFS(COUNTIF($N161:$P161,"合意済")=3,4,OR(COUNTIF($N161:$P161,"合意済")=2,COUNTIF($N161:$P161,"合意済")=1),3,COUNTIF($N161:$P161,"合意済")=0,2)</f>
        <v>2</v>
      </c>
      <c r="AI161" s="177" t="e">
        <f t="shared" ca="1" si="62"/>
        <v>#VALUE!</v>
      </c>
      <c r="AJ161" s="177" t="str">
        <f t="shared" ca="1" si="57"/>
        <v/>
      </c>
    </row>
    <row r="162" spans="2:36" ht="9.75" customHeight="1">
      <c r="D162" s="14"/>
      <c r="E162" s="15"/>
      <c r="F162" s="15"/>
      <c r="G162" s="250"/>
      <c r="H162" s="15"/>
      <c r="I162" s="237"/>
      <c r="J162" s="15"/>
      <c r="K162" s="15"/>
      <c r="L162" s="15"/>
      <c r="M162" s="238"/>
      <c r="N162" s="238"/>
      <c r="O162" s="238"/>
      <c r="P162" s="238"/>
      <c r="Q162" s="238"/>
      <c r="R162" s="30"/>
      <c r="T162" s="231"/>
      <c r="U162" s="231"/>
      <c r="V162" s="177">
        <f t="shared" si="58"/>
        <v>155</v>
      </c>
      <c r="W162" s="217">
        <f ca="1">IF(OFFSET('4.1(2)新規再エネ導入予定（設備情報）'!$O$1,MATCH(X162,'4.1(2)新規再エネ導入予定（設備情報）'!$Z:$Z,0)-1,0)="低圧",1,0)</f>
        <v>0</v>
      </c>
      <c r="X162" s="127" t="str">
        <f ca="1">IFERROR(IF(AND(G162="",L162&lt;&gt;""),MAX(OFFSET($X$8,0,0,ROW()-8,1)),OFFSET('4.1(2)新規再エネ導入予定（設備情報）'!$Z$1,MATCH($G162,'4.1(2)新規再エネ導入予定（設備情報）'!$G:$G,0)-1,0)),"")</f>
        <v/>
      </c>
      <c r="Y162" s="224">
        <f t="shared" si="54"/>
        <v>0</v>
      </c>
      <c r="Z162" s="263">
        <f t="shared" ca="1" si="55"/>
        <v>0</v>
      </c>
      <c r="AA162" s="224">
        <f t="shared" si="53"/>
        <v>0</v>
      </c>
      <c r="AB162" s="264">
        <f t="shared" ca="1" si="56"/>
        <v>1</v>
      </c>
      <c r="AC162" s="177" t="str">
        <f t="shared" si="51"/>
        <v/>
      </c>
      <c r="AD162" s="177" t="str">
        <f t="shared" si="52"/>
        <v/>
      </c>
      <c r="AE162" s="177" t="str">
        <f t="shared" si="59"/>
        <v/>
      </c>
      <c r="AF162" s="177" t="str">
        <f t="shared" si="60"/>
        <v/>
      </c>
      <c r="AG162" s="177" t="str">
        <f t="shared" si="61"/>
        <v>E</v>
      </c>
      <c r="AH162" s="177" cm="1">
        <f t="array" ref="AH162">_xlfn.IFS(COUNTIF($N162:$P162,"合意済")=3,4,OR(COUNTIF($N162:$P162,"合意済")=2,COUNTIF($N162:$P162,"合意済")=1),3,COUNTIF($N162:$P162,"合意済")=0,2)</f>
        <v>2</v>
      </c>
      <c r="AI162" s="177" t="e">
        <f t="shared" ca="1" si="62"/>
        <v>#VALUE!</v>
      </c>
      <c r="AJ162" s="177" t="str">
        <f t="shared" ca="1" si="57"/>
        <v/>
      </c>
    </row>
    <row r="163" spans="2:36" ht="21">
      <c r="D163" s="239" t="s">
        <v>321</v>
      </c>
      <c r="F163" s="239"/>
      <c r="G163" s="271"/>
      <c r="I163" s="230"/>
      <c r="R163" s="19"/>
      <c r="T163" s="231"/>
      <c r="V163" s="177">
        <f t="shared" si="58"/>
        <v>156</v>
      </c>
      <c r="W163" s="217">
        <f ca="1">IF(OFFSET('4.1(2)新規再エネ導入予定（設備情報）'!$O$1,MATCH(X163,'4.1(2)新規再エネ導入予定（設備情報）'!$Z:$Z,0)-1,0)="低圧",1,0)</f>
        <v>0</v>
      </c>
      <c r="X163" s="127" t="str">
        <f ca="1">IFERROR(IF(AND(G163="",L163&lt;&gt;""),MAX(OFFSET($X$8,0,0,ROW()-8,1)),OFFSET('4.1(2)新規再エネ導入予定（設備情報）'!$Z$1,MATCH($G163,'4.1(2)新規再エネ導入予定（設備情報）'!$G:$G,0)-1,0)),"")</f>
        <v/>
      </c>
      <c r="Y163" s="224">
        <f t="shared" si="54"/>
        <v>0</v>
      </c>
      <c r="Z163" s="263">
        <f t="shared" ca="1" si="55"/>
        <v>0</v>
      </c>
      <c r="AA163" s="224">
        <f t="shared" si="53"/>
        <v>0</v>
      </c>
      <c r="AB163" s="264">
        <f t="shared" ca="1" si="56"/>
        <v>1</v>
      </c>
      <c r="AC163" s="177" t="str">
        <f t="shared" si="51"/>
        <v/>
      </c>
      <c r="AD163" s="177" t="str">
        <f t="shared" si="52"/>
        <v/>
      </c>
      <c r="AE163" s="177" t="str">
        <f t="shared" si="59"/>
        <v/>
      </c>
      <c r="AF163" s="177" t="str">
        <f t="shared" si="60"/>
        <v/>
      </c>
      <c r="AG163" s="177" t="str">
        <f t="shared" si="61"/>
        <v>E</v>
      </c>
      <c r="AH163" s="177" cm="1">
        <f t="array" ref="AH163">_xlfn.IFS(COUNTIF($N163:$P163,"合意済")=3,4,OR(COUNTIF($N163:$P163,"合意済")=2,COUNTIF($N163:$P163,"合意済")=1),3,COUNTIF($N163:$P163,"合意済")=0,2)</f>
        <v>2</v>
      </c>
      <c r="AI163" s="177" t="e">
        <f t="shared" ca="1" si="62"/>
        <v>#VALUE!</v>
      </c>
      <c r="AJ163" s="177" t="str">
        <f t="shared" ca="1" si="57"/>
        <v/>
      </c>
    </row>
    <row r="164" spans="2:36" ht="21" customHeight="1">
      <c r="D164" s="239"/>
      <c r="F164" s="967" t="s">
        <v>8</v>
      </c>
      <c r="G164" s="976" t="s">
        <v>186</v>
      </c>
      <c r="H164" s="976" t="s">
        <v>181</v>
      </c>
      <c r="I164" s="974" t="s">
        <v>31</v>
      </c>
      <c r="J164" s="976" t="s">
        <v>187</v>
      </c>
      <c r="K164" s="976" t="s">
        <v>81</v>
      </c>
      <c r="L164" s="983" t="s">
        <v>184</v>
      </c>
      <c r="M164" s="947" t="s">
        <v>185</v>
      </c>
      <c r="N164" s="947"/>
      <c r="O164" s="947"/>
      <c r="P164" s="947"/>
      <c r="Q164" s="981" t="s">
        <v>306</v>
      </c>
      <c r="R164" s="19"/>
      <c r="T164" s="981" t="s">
        <v>314</v>
      </c>
      <c r="V164" s="177">
        <f t="shared" si="58"/>
        <v>157</v>
      </c>
      <c r="W164" s="217">
        <f ca="1">IF(OFFSET('4.1(2)新規再エネ導入予定（設備情報）'!$O$1,MATCH(X164,'4.1(2)新規再エネ導入予定（設備情報）'!$Z:$Z,0)-1,0)="低圧",1,0)</f>
        <v>0</v>
      </c>
      <c r="X164" s="127" t="str">
        <f ca="1">IFERROR(IF(AND(G164="",L164&lt;&gt;""),MAX(OFFSET($X$8,0,0,ROW()-8,1)),OFFSET('4.1(2)新規再エネ導入予定（設備情報）'!$Z$1,MATCH($G164,'4.1(2)新規再エネ導入予定（設備情報）'!$G:$G,0)-1,0)),"")</f>
        <v>施設
カウント</v>
      </c>
      <c r="Y164" s="272">
        <f t="shared" si="54"/>
        <v>0</v>
      </c>
      <c r="Z164" s="263">
        <f t="shared" ca="1" si="55"/>
        <v>0</v>
      </c>
      <c r="AA164" s="272">
        <f t="shared" si="53"/>
        <v>0</v>
      </c>
      <c r="AB164" s="264">
        <f t="shared" ca="1" si="56"/>
        <v>1</v>
      </c>
      <c r="AC164" s="177">
        <f t="shared" si="51"/>
        <v>0</v>
      </c>
      <c r="AD164" s="177" t="str">
        <f t="shared" si="52"/>
        <v/>
      </c>
      <c r="AE164" s="177" t="str">
        <f t="shared" si="59"/>
        <v/>
      </c>
      <c r="AF164" s="177" t="str">
        <f t="shared" si="60"/>
        <v/>
      </c>
      <c r="AG164" s="177" t="str">
        <f t="shared" si="61"/>
        <v>E</v>
      </c>
      <c r="AH164" s="177" cm="1">
        <f t="array" ref="AH164">_xlfn.IFS(COUNTIF($N164:$P164,"合意済")=3,4,OR(COUNTIF($N164:$P164,"合意済")=2,COUNTIF($N164:$P164,"合意済")=1),3,COUNTIF($N164:$P164,"合意済")=0,2)</f>
        <v>2</v>
      </c>
      <c r="AI164" s="177" t="e">
        <f t="shared" ca="1" si="62"/>
        <v>#VALUE!</v>
      </c>
      <c r="AJ164" s="177" t="str">
        <f t="shared" ca="1" si="57"/>
        <v/>
      </c>
    </row>
    <row r="165" spans="2:36" ht="42" customHeight="1">
      <c r="D165" s="16"/>
      <c r="E165" s="273"/>
      <c r="F165" s="967"/>
      <c r="G165" s="977"/>
      <c r="H165" s="977"/>
      <c r="I165" s="975"/>
      <c r="J165" s="977"/>
      <c r="K165" s="977"/>
      <c r="L165" s="984"/>
      <c r="M165" s="436" t="s">
        <v>197</v>
      </c>
      <c r="N165" s="436" t="s">
        <v>101</v>
      </c>
      <c r="O165" s="436" t="s">
        <v>196</v>
      </c>
      <c r="P165" s="367" t="s">
        <v>100</v>
      </c>
      <c r="Q165" s="982"/>
      <c r="R165" s="19"/>
      <c r="T165" s="982"/>
      <c r="V165" s="177">
        <f t="shared" si="58"/>
        <v>158</v>
      </c>
      <c r="W165" s="217">
        <f ca="1">IF(OFFSET('4.1(2)新規再エネ導入予定（設備情報）'!$O$1,MATCH(X165,'4.1(2)新規再エネ導入予定（設備情報）'!$Z:$Z,0)-1,0)="低圧",1,0)</f>
        <v>0</v>
      </c>
      <c r="X165" s="127" t="str">
        <f ca="1">IFERROR(IF(AND(G165="",L165&lt;&gt;""),MAX(OFFSET($X$8,0,0,ROW()-8,1)),OFFSET('4.1(2)新規再エネ導入予定（設備情報）'!$Z$1,MATCH($G165,'4.1(2)新規再エネ導入予定（設備情報）'!$G:$G,0)-1,0)),"")</f>
        <v/>
      </c>
      <c r="Y165" s="272">
        <f t="shared" si="54"/>
        <v>0</v>
      </c>
      <c r="Z165" s="263">
        <f t="shared" ca="1" si="55"/>
        <v>0</v>
      </c>
      <c r="AA165" s="272">
        <f t="shared" si="53"/>
        <v>0</v>
      </c>
      <c r="AB165" s="264">
        <f t="shared" ca="1" si="56"/>
        <v>1</v>
      </c>
      <c r="AC165" s="177">
        <f t="shared" si="51"/>
        <v>0</v>
      </c>
      <c r="AD165" s="177">
        <f t="shared" si="52"/>
        <v>0</v>
      </c>
      <c r="AE165" s="177">
        <f t="shared" si="59"/>
        <v>0</v>
      </c>
      <c r="AF165" s="177">
        <f t="shared" si="60"/>
        <v>0</v>
      </c>
      <c r="AG165" s="177">
        <f t="shared" ca="1" si="61"/>
        <v>0</v>
      </c>
      <c r="AH165" s="177" cm="1">
        <f t="array" ref="AH165">_xlfn.IFS(COUNTIF($N165:$P165,"合意済")=3,4,OR(COUNTIF($N165:$P165,"合意済")=2,COUNTIF($N165:$P165,"合意済")=1),3,COUNTIF($N165:$P165,"合意済")=0,2)</f>
        <v>2</v>
      </c>
      <c r="AI165" s="177">
        <f t="shared" ca="1" si="62"/>
        <v>0</v>
      </c>
      <c r="AJ165" s="177" t="str">
        <f t="shared" ca="1" si="57"/>
        <v/>
      </c>
    </row>
    <row r="166" spans="2:36" s="11" customFormat="1" hidden="1">
      <c r="B166" s="21"/>
      <c r="C166" s="21"/>
      <c r="D166" s="22"/>
      <c r="E166" s="130"/>
      <c r="F166" s="714"/>
      <c r="G166" s="482"/>
      <c r="H166" s="498"/>
      <c r="I166" s="499"/>
      <c r="J166" s="500"/>
      <c r="K166" s="501"/>
      <c r="L166" s="484"/>
      <c r="M166" s="487"/>
      <c r="N166" s="487"/>
      <c r="O166" s="487"/>
      <c r="P166" s="487"/>
      <c r="Q166" s="487"/>
      <c r="R166" s="24"/>
      <c r="S166" s="21"/>
      <c r="T166" s="487"/>
      <c r="V166" s="257">
        <f t="shared" si="58"/>
        <v>159</v>
      </c>
      <c r="W166" s="131">
        <f ca="1">IF(OFFSET('4.1(2)新規再エネ導入予定（設備情報）'!$O$1,MATCH(X166,'4.1(2)新規再エネ導入予定（設備情報）'!$Z:$Z,0)-1,0)="低圧",1,0)</f>
        <v>0</v>
      </c>
      <c r="X166" s="127" t="str">
        <f ca="1">IFERROR(IF(AND(G166="",L166&lt;&gt;""),MAX(OFFSET($X$8,0,0,ROW()-8,1)),OFFSET('4.1(2)新規再エネ導入予定（設備情報）'!$Z$1,MATCH($G166,'4.1(2)新規再エネ導入予定（設備情報）'!$G:$G,0)-1,0)),"")</f>
        <v/>
      </c>
      <c r="Y166" s="226">
        <f t="shared" si="54"/>
        <v>0</v>
      </c>
      <c r="Z166" s="226">
        <f t="shared" ca="1" si="55"/>
        <v>0</v>
      </c>
      <c r="AA166" s="226">
        <f t="shared" si="53"/>
        <v>0</v>
      </c>
      <c r="AB166" s="279">
        <f t="shared" ca="1" si="56"/>
        <v>1</v>
      </c>
      <c r="AC166" s="257" t="str">
        <f t="shared" ref="AC166:AC171" si="63">IF(M166="","",IF(OR(M166="説明済",M166="協議中",M166="合意済"),1,0))</f>
        <v/>
      </c>
      <c r="AD166" s="257" t="str">
        <f t="shared" ref="AD166:AD171" si="64">IF(N166="","",IF(OR(N166="説明済",N166="協議中",N166="合意済"),1,0))</f>
        <v/>
      </c>
      <c r="AE166" s="257" t="str">
        <f t="shared" si="59"/>
        <v/>
      </c>
      <c r="AF166" s="257" t="str">
        <f t="shared" si="60"/>
        <v/>
      </c>
      <c r="AG166" s="257" t="str">
        <f t="shared" si="61"/>
        <v>E</v>
      </c>
      <c r="AH166" s="257" cm="1">
        <f t="array" ref="AH166">_xlfn.IFS(COUNTIF($N166:$P166,"合意済")=3,4,OR(COUNTIF($N166:$P166,"合意済")=2,COUNTIF($N166:$P166,"合意済")=1),3,COUNTIF($N166:$P166,"合意済")=0,2)</f>
        <v>2</v>
      </c>
      <c r="AI166" s="257" t="e">
        <f t="shared" ca="1" si="62"/>
        <v>#VALUE!</v>
      </c>
      <c r="AJ166" s="257" t="str">
        <f t="shared" ca="1" si="57"/>
        <v/>
      </c>
    </row>
    <row r="167" spans="2:36" s="11" customFormat="1">
      <c r="B167" s="21"/>
      <c r="C167" s="21"/>
      <c r="D167" s="22"/>
      <c r="E167" s="130"/>
      <c r="F167" s="492" t="str">
        <f ca="1">IFERROR(OFFSET('4.1(2)新規再エネ導入予定（設備情報）'!$F$1,MATCH(G167,'4.1(2)新規再エネ導入予定（設備情報）'!$G:$G,0)-1,0),"")</f>
        <v/>
      </c>
      <c r="G167" s="483"/>
      <c r="H167" s="494" t="str">
        <f ca="1">IFERROR(OFFSET('4.1(2)新規再エネ導入予定（設備情報）'!$H$1,MATCH(G167,'4.1(2)新規再エネ導入予定（設備情報）'!$G:$G,0)-1,0)&amp;"","")</f>
        <v/>
      </c>
      <c r="I167" s="495" t="str">
        <f ca="1">IFERROR(OFFSET('4.1(2)新規再エネ導入予定（設備情報）'!$L$1,MATCH(G167,'4.1(2)新規再エネ導入予定（設備情報）'!$G:$G,0)-1,0),"")</f>
        <v/>
      </c>
      <c r="J167" s="496" t="str">
        <f ca="1">IFERROR(OFFSET('4.1(2)新規再エネ導入予定（設備情報）'!$O$1,MATCH(G167,'4.1(2)新規再エネ導入予定（設備情報）'!$G:$G,0)-1,0),"")</f>
        <v/>
      </c>
      <c r="K167" s="497" t="str">
        <f ca="1">IFERROR(OFFSET('4.1(2)新規再エネ導入予定（設備情報）'!$P$1,MATCH(G167,'4.1(2)新規再エネ導入予定（設備情報）'!$G:$G,0)-1,0),"")</f>
        <v/>
      </c>
      <c r="L167" s="486"/>
      <c r="M167" s="489"/>
      <c r="N167" s="489"/>
      <c r="O167" s="489"/>
      <c r="P167" s="489"/>
      <c r="Q167" s="489"/>
      <c r="R167" s="24"/>
      <c r="S167" s="21"/>
      <c r="T167" s="489"/>
      <c r="V167" s="257">
        <f t="shared" si="58"/>
        <v>160</v>
      </c>
      <c r="W167" s="131">
        <f ca="1">IF(OFFSET('4.1(2)新規再エネ導入予定（設備情報）'!$O$1,MATCH(X167,'4.1(2)新規再エネ導入予定（設備情報）'!$Z:$Z,0)-1,0)="低圧",1,0)</f>
        <v>0</v>
      </c>
      <c r="X167" s="127" t="str">
        <f ca="1">IFERROR(IF(AND(G167="",L167&lt;&gt;""),MAX(OFFSET($X$8,0,0,ROW()-8,1)),OFFSET('4.1(2)新規再エネ導入予定（設備情報）'!$Z$1,MATCH($G167,'4.1(2)新規再エネ導入予定（設備情報）'!$G:$G,0)-1,0)),"")</f>
        <v/>
      </c>
      <c r="Y167" s="225">
        <f t="shared" si="54"/>
        <v>0</v>
      </c>
      <c r="Z167" s="226">
        <f t="shared" ca="1" si="55"/>
        <v>0</v>
      </c>
      <c r="AA167" s="225">
        <f t="shared" si="53"/>
        <v>0</v>
      </c>
      <c r="AB167" s="279">
        <f t="shared" ca="1" si="56"/>
        <v>1</v>
      </c>
      <c r="AC167" s="257" t="str">
        <f t="shared" si="63"/>
        <v/>
      </c>
      <c r="AD167" s="257" t="str">
        <f t="shared" si="64"/>
        <v/>
      </c>
      <c r="AE167" s="257" t="str">
        <f t="shared" si="59"/>
        <v/>
      </c>
      <c r="AF167" s="257" t="str">
        <f t="shared" si="60"/>
        <v/>
      </c>
      <c r="AG167" s="257" t="str">
        <f t="shared" si="61"/>
        <v>E</v>
      </c>
      <c r="AH167" s="257" cm="1">
        <f t="array" ref="AH167">_xlfn.IFS(COUNTIF($N167:$P167,"合意済")=3,4,OR(COUNTIF($N167:$P167,"合意済")=2,COUNTIF($N167:$P167,"合意済")=1),3,COUNTIF($N167:$P167,"合意済")=0,2)</f>
        <v>2</v>
      </c>
      <c r="AI167" s="257" t="e">
        <f t="shared" ca="1" si="62"/>
        <v>#VALUE!</v>
      </c>
      <c r="AJ167" s="257" t="str">
        <f t="shared" ca="1" si="57"/>
        <v/>
      </c>
    </row>
    <row r="168" spans="2:36" s="11" customFormat="1">
      <c r="B168" s="21"/>
      <c r="C168" s="21"/>
      <c r="D168" s="22"/>
      <c r="E168" s="130"/>
      <c r="F168" s="492" t="str">
        <f ca="1">IFERROR(OFFSET('4.1(2)新規再エネ導入予定（設備情報）'!$F$1,MATCH(G168,'4.1(2)新規再エネ導入予定（設備情報）'!$G:$G,0)-1,0),"")</f>
        <v/>
      </c>
      <c r="G168" s="483"/>
      <c r="H168" s="494" t="str">
        <f ca="1">IFERROR(OFFSET('4.1(2)新規再エネ導入予定（設備情報）'!$H$1,MATCH(G168,'4.1(2)新規再エネ導入予定（設備情報）'!$G:$G,0)-1,0)&amp;"","")</f>
        <v/>
      </c>
      <c r="I168" s="495" t="str">
        <f ca="1">IFERROR(OFFSET('4.1(2)新規再エネ導入予定（設備情報）'!$L$1,MATCH(G168,'4.1(2)新規再エネ導入予定（設備情報）'!$G:$G,0)-1,0),"")</f>
        <v/>
      </c>
      <c r="J168" s="496" t="str">
        <f ca="1">IFERROR(OFFSET('4.1(2)新規再エネ導入予定（設備情報）'!$O$1,MATCH(G168,'4.1(2)新規再エネ導入予定（設備情報）'!$G:$G,0)-1,0),"")</f>
        <v/>
      </c>
      <c r="K168" s="497" t="str">
        <f ca="1">IFERROR(OFFSET('4.1(2)新規再エネ導入予定（設備情報）'!$P$1,MATCH(G168,'4.1(2)新規再エネ導入予定（設備情報）'!$G:$G,0)-1,0),"")</f>
        <v/>
      </c>
      <c r="L168" s="486"/>
      <c r="M168" s="489"/>
      <c r="N168" s="489"/>
      <c r="O168" s="489"/>
      <c r="P168" s="489"/>
      <c r="Q168" s="489"/>
      <c r="R168" s="24"/>
      <c r="S168" s="21"/>
      <c r="T168" s="489"/>
      <c r="V168" s="257">
        <f t="shared" si="58"/>
        <v>161</v>
      </c>
      <c r="W168" s="131">
        <f ca="1">IF(OFFSET('4.1(2)新規再エネ導入予定（設備情報）'!$O$1,MATCH(X168,'4.1(2)新規再エネ導入予定（設備情報）'!$Z:$Z,0)-1,0)="低圧",1,0)</f>
        <v>0</v>
      </c>
      <c r="X168" s="127" t="str">
        <f ca="1">IFERROR(IF(AND(G168="",L168&lt;&gt;""),MAX(OFFSET($X$8,0,0,ROW()-8,1)),OFFSET('4.1(2)新規再エネ導入予定（設備情報）'!$Z$1,MATCH($G168,'4.1(2)新規再エネ導入予定（設備情報）'!$G:$G,0)-1,0)),"")</f>
        <v/>
      </c>
      <c r="Y168" s="225">
        <f t="shared" ref="Y168:Y171" si="65">IF(T168="○",1,0)</f>
        <v>0</v>
      </c>
      <c r="Z168" s="226">
        <f t="shared" ca="1" si="55"/>
        <v>0</v>
      </c>
      <c r="AA168" s="225">
        <f t="shared" ref="AA168:AA171" si="66">IF($M168="合意済",1,0)</f>
        <v>0</v>
      </c>
      <c r="AB168" s="279">
        <f t="shared" ca="1" si="56"/>
        <v>1</v>
      </c>
      <c r="AC168" s="257" t="str">
        <f t="shared" si="63"/>
        <v/>
      </c>
      <c r="AD168" s="257" t="str">
        <f t="shared" si="64"/>
        <v/>
      </c>
      <c r="AE168" s="257" t="str">
        <f t="shared" si="59"/>
        <v/>
      </c>
      <c r="AF168" s="257" t="str">
        <f t="shared" si="60"/>
        <v/>
      </c>
      <c r="AG168" s="257" t="str">
        <f t="shared" si="61"/>
        <v>E</v>
      </c>
      <c r="AH168" s="257" cm="1">
        <f t="array" ref="AH168">_xlfn.IFS(COUNTIF($N168:$P168,"合意済")=3,4,OR(COUNTIF($N168:$P168,"合意済")=2,COUNTIF($N168:$P168,"合意済")=1),3,COUNTIF($N168:$P168,"合意済")=0,2)</f>
        <v>2</v>
      </c>
      <c r="AI168" s="257" t="e">
        <f t="shared" ca="1" si="62"/>
        <v>#VALUE!</v>
      </c>
      <c r="AJ168" s="257" t="str">
        <f t="shared" ca="1" si="57"/>
        <v/>
      </c>
    </row>
    <row r="169" spans="2:36" s="11" customFormat="1">
      <c r="B169" s="21"/>
      <c r="C169" s="21"/>
      <c r="D169" s="22"/>
      <c r="E169" s="130"/>
      <c r="F169" s="492" t="str">
        <f ca="1">IFERROR(OFFSET('4.1(2)新規再エネ導入予定（設備情報）'!$F$1,MATCH(G169,'4.1(2)新規再エネ導入予定（設備情報）'!$G:$G,0)-1,0),"")</f>
        <v/>
      </c>
      <c r="G169" s="483"/>
      <c r="H169" s="494" t="str">
        <f ca="1">IFERROR(OFFSET('4.1(2)新規再エネ導入予定（設備情報）'!$H$1,MATCH(G169,'4.1(2)新規再エネ導入予定（設備情報）'!$G:$G,0)-1,0)&amp;"","")</f>
        <v/>
      </c>
      <c r="I169" s="495" t="str">
        <f ca="1">IFERROR(OFFSET('4.1(2)新規再エネ導入予定（設備情報）'!$L$1,MATCH(G169,'4.1(2)新規再エネ導入予定（設備情報）'!$G:$G,0)-1,0),"")</f>
        <v/>
      </c>
      <c r="J169" s="496" t="str">
        <f ca="1">IFERROR(OFFSET('4.1(2)新規再エネ導入予定（設備情報）'!$O$1,MATCH(G169,'4.1(2)新規再エネ導入予定（設備情報）'!$G:$G,0)-1,0),"")</f>
        <v/>
      </c>
      <c r="K169" s="497" t="str">
        <f ca="1">IFERROR(OFFSET('4.1(2)新規再エネ導入予定（設備情報）'!$P$1,MATCH(G169,'4.1(2)新規再エネ導入予定（設備情報）'!$G:$G,0)-1,0),"")</f>
        <v/>
      </c>
      <c r="L169" s="486"/>
      <c r="M169" s="489"/>
      <c r="N169" s="489"/>
      <c r="O169" s="489"/>
      <c r="P169" s="489"/>
      <c r="Q169" s="489"/>
      <c r="R169" s="24"/>
      <c r="S169" s="21"/>
      <c r="T169" s="489"/>
      <c r="V169" s="257">
        <f t="shared" si="58"/>
        <v>162</v>
      </c>
      <c r="W169" s="131">
        <f ca="1">IF(OFFSET('4.1(2)新規再エネ導入予定（設備情報）'!$O$1,MATCH(X169,'4.1(2)新規再エネ導入予定（設備情報）'!$Z:$Z,0)-1,0)="低圧",1,0)</f>
        <v>0</v>
      </c>
      <c r="X169" s="127" t="str">
        <f ca="1">IFERROR(IF(AND(G169="",L169&lt;&gt;""),MAX(OFFSET($X$8,0,0,ROW()-8,1)),OFFSET('4.1(2)新規再エネ導入予定（設備情報）'!$Z$1,MATCH($G169,'4.1(2)新規再エネ導入予定（設備情報）'!$G:$G,0)-1,0)),"")</f>
        <v/>
      </c>
      <c r="Y169" s="225">
        <f t="shared" si="65"/>
        <v>0</v>
      </c>
      <c r="Z169" s="226">
        <f t="shared" ca="1" si="55"/>
        <v>0</v>
      </c>
      <c r="AA169" s="225">
        <f t="shared" si="66"/>
        <v>0</v>
      </c>
      <c r="AB169" s="279">
        <f t="shared" ca="1" si="56"/>
        <v>1</v>
      </c>
      <c r="AC169" s="257" t="str">
        <f t="shared" si="63"/>
        <v/>
      </c>
      <c r="AD169" s="257" t="str">
        <f t="shared" si="64"/>
        <v/>
      </c>
      <c r="AE169" s="257" t="str">
        <f t="shared" si="59"/>
        <v/>
      </c>
      <c r="AF169" s="257" t="str">
        <f t="shared" si="60"/>
        <v/>
      </c>
      <c r="AG169" s="257" t="str">
        <f t="shared" si="61"/>
        <v>E</v>
      </c>
      <c r="AH169" s="257" cm="1">
        <f t="array" ref="AH169">_xlfn.IFS(COUNTIF($N169:$P169,"合意済")=3,4,OR(COUNTIF($N169:$P169,"合意済")=2,COUNTIF($N169:$P169,"合意済")=1),3,COUNTIF($N169:$P169,"合意済")=0,2)</f>
        <v>2</v>
      </c>
      <c r="AI169" s="257" t="e">
        <f t="shared" ca="1" si="62"/>
        <v>#VALUE!</v>
      </c>
      <c r="AJ169" s="257" t="str">
        <f t="shared" ca="1" si="57"/>
        <v/>
      </c>
    </row>
    <row r="170" spans="2:36" s="11" customFormat="1">
      <c r="B170" s="21"/>
      <c r="C170" s="21"/>
      <c r="D170" s="22"/>
      <c r="E170" s="130"/>
      <c r="F170" s="492" t="str">
        <f ca="1">IFERROR(OFFSET('4.1(2)新規再エネ導入予定（設備情報）'!$F$1,MATCH(G170,'4.1(2)新規再エネ導入予定（設備情報）'!$G:$G,0)-1,0),"")</f>
        <v/>
      </c>
      <c r="G170" s="483"/>
      <c r="H170" s="494" t="str">
        <f ca="1">IFERROR(OFFSET('4.1(2)新規再エネ導入予定（設備情報）'!$H$1,MATCH(G170,'4.1(2)新規再エネ導入予定（設備情報）'!$G:$G,0)-1,0)&amp;"","")</f>
        <v/>
      </c>
      <c r="I170" s="495" t="str">
        <f ca="1">IFERROR(OFFSET('4.1(2)新規再エネ導入予定（設備情報）'!$L$1,MATCH(G170,'4.1(2)新規再エネ導入予定（設備情報）'!$G:$G,0)-1,0),"")</f>
        <v/>
      </c>
      <c r="J170" s="496" t="str">
        <f ca="1">IFERROR(OFFSET('4.1(2)新規再エネ導入予定（設備情報）'!$O$1,MATCH(G170,'4.1(2)新規再エネ導入予定（設備情報）'!$G:$G,0)-1,0),"")</f>
        <v/>
      </c>
      <c r="K170" s="497" t="str">
        <f ca="1">IFERROR(OFFSET('4.1(2)新規再エネ導入予定（設備情報）'!$P$1,MATCH(G170,'4.1(2)新規再エネ導入予定（設備情報）'!$G:$G,0)-1,0),"")</f>
        <v/>
      </c>
      <c r="L170" s="486"/>
      <c r="M170" s="489"/>
      <c r="N170" s="489"/>
      <c r="O170" s="489"/>
      <c r="P170" s="489"/>
      <c r="Q170" s="489"/>
      <c r="R170" s="24"/>
      <c r="S170" s="21"/>
      <c r="T170" s="489"/>
      <c r="V170" s="257">
        <f t="shared" si="58"/>
        <v>163</v>
      </c>
      <c r="W170" s="131">
        <f ca="1">IF(OFFSET('4.1(2)新規再エネ導入予定（設備情報）'!$O$1,MATCH(X170,'4.1(2)新規再エネ導入予定（設備情報）'!$Z:$Z,0)-1,0)="低圧",1,0)</f>
        <v>0</v>
      </c>
      <c r="X170" s="127" t="str">
        <f ca="1">IFERROR(IF(AND(G170="",L170&lt;&gt;""),MAX(OFFSET($X$8,0,0,ROW()-8,1)),OFFSET('4.1(2)新規再エネ導入予定（設備情報）'!$Z$1,MATCH($G170,'4.1(2)新規再エネ導入予定（設備情報）'!$G:$G,0)-1,0)),"")</f>
        <v/>
      </c>
      <c r="Y170" s="225">
        <f t="shared" si="65"/>
        <v>0</v>
      </c>
      <c r="Z170" s="226">
        <f t="shared" ca="1" si="55"/>
        <v>0</v>
      </c>
      <c r="AA170" s="225">
        <f t="shared" si="66"/>
        <v>0</v>
      </c>
      <c r="AB170" s="279">
        <f t="shared" ca="1" si="56"/>
        <v>1</v>
      </c>
      <c r="AC170" s="257" t="str">
        <f t="shared" si="63"/>
        <v/>
      </c>
      <c r="AD170" s="257" t="str">
        <f t="shared" si="64"/>
        <v/>
      </c>
      <c r="AE170" s="257" t="str">
        <f t="shared" si="59"/>
        <v/>
      </c>
      <c r="AF170" s="257" t="str">
        <f t="shared" si="60"/>
        <v/>
      </c>
      <c r="AG170" s="257" t="str">
        <f t="shared" si="61"/>
        <v>E</v>
      </c>
      <c r="AH170" s="257" cm="1">
        <f t="array" ref="AH170">_xlfn.IFS(COUNTIF($N170:$P170,"合意済")=3,4,OR(COUNTIF($N170:$P170,"合意済")=2,COUNTIF($N170:$P170,"合意済")=1),3,COUNTIF($N170:$P170,"合意済")=0,2)</f>
        <v>2</v>
      </c>
      <c r="AI170" s="257" t="e">
        <f t="shared" ca="1" si="62"/>
        <v>#VALUE!</v>
      </c>
      <c r="AJ170" s="257" t="str">
        <f t="shared" ca="1" si="57"/>
        <v/>
      </c>
    </row>
    <row r="171" spans="2:36">
      <c r="D171" s="16"/>
      <c r="E171" s="274"/>
      <c r="F171" s="191" t="s">
        <v>26</v>
      </c>
      <c r="G171" s="242"/>
      <c r="H171" s="242"/>
      <c r="I171" s="275"/>
      <c r="J171" s="276"/>
      <c r="K171" s="502">
        <f ca="1">SUM(INDIRECT("K"&amp;ROW(K164)&amp;":K"&amp;ROW()-1))</f>
        <v>0</v>
      </c>
      <c r="L171" s="276"/>
      <c r="M171" s="244"/>
      <c r="N171" s="244"/>
      <c r="O171" s="244"/>
      <c r="P171" s="244"/>
      <c r="Q171" s="244"/>
      <c r="R171" s="19"/>
      <c r="T171" s="244"/>
      <c r="V171" s="177">
        <f t="shared" si="58"/>
        <v>164</v>
      </c>
      <c r="W171" s="217">
        <f ca="1">IF(OFFSET('4.1(2)新規再エネ導入予定（設備情報）'!$O$1,MATCH(X171,'4.1(2)新規再エネ導入予定（設備情報）'!$Z:$Z,0)-1,0)="低圧",1,0)</f>
        <v>0</v>
      </c>
      <c r="X171" s="127" t="str">
        <f ca="1">IFERROR(IF(AND(G171="",L171&lt;&gt;""),MAX(OFFSET($X$8,0,0,ROW()-8,1)),OFFSET('4.1(2)新規再エネ導入予定（設備情報）'!$Z$1,MATCH($G171,'4.1(2)新規再エネ導入予定（設備情報）'!$G:$G,0)-1,0)),"")</f>
        <v/>
      </c>
      <c r="Y171" s="224">
        <f t="shared" si="65"/>
        <v>0</v>
      </c>
      <c r="Z171" s="263">
        <f t="shared" ca="1" si="55"/>
        <v>0</v>
      </c>
      <c r="AA171" s="224">
        <f t="shared" si="66"/>
        <v>0</v>
      </c>
      <c r="AB171" s="264">
        <f t="shared" ca="1" si="56"/>
        <v>1</v>
      </c>
      <c r="AC171" s="177" t="str">
        <f t="shared" si="63"/>
        <v/>
      </c>
      <c r="AD171" s="177" t="str">
        <f t="shared" si="64"/>
        <v/>
      </c>
      <c r="AE171" s="177" t="str">
        <f t="shared" si="59"/>
        <v/>
      </c>
      <c r="AF171" s="177" t="str">
        <f t="shared" si="60"/>
        <v/>
      </c>
      <c r="AG171" s="177" t="str">
        <f t="shared" si="61"/>
        <v>E</v>
      </c>
      <c r="AH171" s="177" cm="1">
        <f t="array" ref="AH171">_xlfn.IFS(COUNTIF($N171:$P171,"合意済")=3,4,OR(COUNTIF($N171:$P171,"合意済")=2,COUNTIF($N171:$P171,"合意済")=1),3,COUNTIF($N171:$P171,"合意済")=0,2)</f>
        <v>2</v>
      </c>
      <c r="AI171" s="177" t="e">
        <f t="shared" ca="1" si="62"/>
        <v>#VALUE!</v>
      </c>
      <c r="AJ171" s="177" t="str">
        <f t="shared" ca="1" si="57"/>
        <v/>
      </c>
    </row>
    <row r="172" spans="2:36">
      <c r="D172" s="46"/>
      <c r="E172" s="26"/>
      <c r="F172" s="26"/>
      <c r="G172" s="4"/>
      <c r="H172" s="4"/>
      <c r="I172" s="124"/>
      <c r="J172" s="4"/>
      <c r="K172" s="4"/>
      <c r="L172" s="4"/>
      <c r="M172" s="125"/>
      <c r="N172" s="125"/>
      <c r="O172" s="125"/>
      <c r="P172" s="125"/>
      <c r="Q172" s="125"/>
      <c r="R172" s="27"/>
      <c r="S172"/>
      <c r="V172" s="123"/>
      <c r="W172" s="277"/>
      <c r="AB172" s="123"/>
      <c r="AC172" s="123"/>
      <c r="AD172" s="123"/>
      <c r="AE172" s="123"/>
      <c r="AF172" s="123"/>
      <c r="AG172" s="123"/>
      <c r="AH172" s="123"/>
      <c r="AI172" s="123"/>
      <c r="AJ172" s="123"/>
    </row>
    <row r="173" spans="2:36">
      <c r="F173" s="31"/>
      <c r="G173" s="31"/>
      <c r="H173" s="31"/>
      <c r="I173" s="270"/>
      <c r="J173" s="31"/>
      <c r="K173" s="31"/>
      <c r="L173" s="31"/>
      <c r="M173" s="249"/>
      <c r="N173" s="249"/>
      <c r="O173" s="249"/>
      <c r="P173" s="249"/>
      <c r="Q173" s="249"/>
    </row>
    <row r="174" spans="2:36">
      <c r="F174" s="31"/>
      <c r="G174" s="31"/>
      <c r="H174" s="31"/>
      <c r="I174" s="270"/>
      <c r="J174" s="31"/>
      <c r="K174" s="31"/>
      <c r="L174" s="31"/>
      <c r="M174" s="249"/>
      <c r="N174" s="249"/>
      <c r="O174" s="249"/>
      <c r="P174" s="249"/>
      <c r="Q174" s="249"/>
    </row>
    <row r="175" spans="2:36" ht="18" customHeight="1">
      <c r="D175"/>
      <c r="E175"/>
      <c r="F175"/>
      <c r="G175"/>
      <c r="H175"/>
      <c r="I175" s="90"/>
      <c r="J175"/>
      <c r="K175"/>
      <c r="L175"/>
      <c r="M175" s="2"/>
      <c r="N175" s="2"/>
      <c r="O175" s="2"/>
      <c r="P175" s="2"/>
      <c r="Q175" s="2"/>
      <c r="R175"/>
      <c r="S175"/>
    </row>
    <row r="176" spans="2:36" ht="14.25" customHeight="1">
      <c r="I176" s="230"/>
      <c r="J176"/>
      <c r="K176"/>
      <c r="L176"/>
      <c r="M176" s="2"/>
      <c r="N176" s="2"/>
      <c r="O176" s="2"/>
      <c r="P176" s="2"/>
      <c r="Q176" s="2"/>
      <c r="R176"/>
      <c r="S176"/>
    </row>
    <row r="177" spans="4:24" ht="24" customHeight="1">
      <c r="D177" s="890" t="s">
        <v>166</v>
      </c>
      <c r="F177"/>
      <c r="G177"/>
      <c r="H177"/>
      <c r="I177" s="90"/>
      <c r="J177"/>
      <c r="K177"/>
      <c r="L177"/>
      <c r="M177" s="2"/>
      <c r="N177" s="2"/>
      <c r="O177" s="2"/>
      <c r="P177" s="2"/>
      <c r="Q177" s="2"/>
      <c r="R177"/>
      <c r="S177"/>
      <c r="X177" s="277" t="s">
        <v>425</v>
      </c>
    </row>
    <row r="178" spans="4:24">
      <c r="E178" s="963" t="s">
        <v>162</v>
      </c>
      <c r="F178" s="964"/>
      <c r="G178" s="964"/>
      <c r="H178" s="989"/>
      <c r="I178" s="987">
        <f ca="1">K80</f>
        <v>0</v>
      </c>
      <c r="J178" s="988"/>
      <c r="K178"/>
      <c r="L178"/>
      <c r="M178" s="2"/>
      <c r="N178" s="2"/>
      <c r="O178" s="2"/>
      <c r="P178" s="2"/>
      <c r="Q178" s="2"/>
      <c r="R178"/>
      <c r="S178"/>
      <c r="X178" s="123">
        <f ca="1">IF('4.1(2)新規再エネ導入予定（設備情報）'!J171=I178,1,0)</f>
        <v>1</v>
      </c>
    </row>
    <row r="179" spans="4:24">
      <c r="E179" s="963" t="s">
        <v>286</v>
      </c>
      <c r="F179" s="964"/>
      <c r="G179" s="964"/>
      <c r="H179" s="989"/>
      <c r="I179" s="987">
        <f ca="1">K93</f>
        <v>0</v>
      </c>
      <c r="J179" s="988"/>
      <c r="K179"/>
      <c r="L179"/>
      <c r="M179" s="2"/>
      <c r="N179" s="2"/>
      <c r="O179" s="2"/>
      <c r="P179" s="2"/>
      <c r="Q179" s="2"/>
      <c r="R179"/>
      <c r="S179"/>
      <c r="X179" s="123">
        <f ca="1">IF('4.1(2)新規再エネ導入予定（設備情報）'!J172=I179,1,0)</f>
        <v>1</v>
      </c>
    </row>
    <row r="180" spans="4:24">
      <c r="E180" s="963" t="s">
        <v>91</v>
      </c>
      <c r="F180" s="964"/>
      <c r="G180" s="964"/>
      <c r="H180" s="964"/>
      <c r="I180" s="985">
        <f ca="1">K106</f>
        <v>0</v>
      </c>
      <c r="J180" s="986"/>
      <c r="K180"/>
      <c r="L180"/>
      <c r="M180" s="2"/>
      <c r="N180" s="2"/>
      <c r="O180" s="2"/>
      <c r="P180" s="2"/>
      <c r="Q180" s="2"/>
      <c r="R180"/>
      <c r="S180"/>
      <c r="X180" s="123">
        <f ca="1">IF('4.1(2)新規再エネ導入予定（設備情報）'!J173=I180,1,0)</f>
        <v>1</v>
      </c>
    </row>
    <row r="181" spans="4:24">
      <c r="E181" s="963" t="s">
        <v>163</v>
      </c>
      <c r="F181" s="964"/>
      <c r="G181" s="964"/>
      <c r="H181" s="964"/>
      <c r="I181" s="985">
        <f ca="1">K119</f>
        <v>0</v>
      </c>
      <c r="J181" s="986"/>
      <c r="K181"/>
      <c r="L181"/>
      <c r="M181" s="2"/>
      <c r="N181" s="2"/>
      <c r="O181" s="2"/>
      <c r="P181" s="2"/>
      <c r="Q181" s="2"/>
      <c r="R181"/>
      <c r="S181"/>
      <c r="X181" s="123">
        <f ca="1">IF('4.1(2)新規再エネ導入予定（設備情報）'!J174=I181,1,0)</f>
        <v>1</v>
      </c>
    </row>
    <row r="182" spans="4:24">
      <c r="E182" s="963" t="s">
        <v>164</v>
      </c>
      <c r="F182" s="964"/>
      <c r="G182" s="964"/>
      <c r="H182" s="964"/>
      <c r="I182" s="985">
        <f ca="1">K132</f>
        <v>0</v>
      </c>
      <c r="J182" s="986"/>
      <c r="K182"/>
      <c r="L182"/>
      <c r="M182" s="2"/>
      <c r="N182" s="2"/>
      <c r="O182" s="2"/>
      <c r="P182" s="2"/>
      <c r="Q182" s="2"/>
      <c r="R182"/>
      <c r="S182"/>
      <c r="X182" s="123">
        <f ca="1">IF('4.1(2)新規再エネ導入予定（設備情報）'!J175=I182,1,0)</f>
        <v>1</v>
      </c>
    </row>
    <row r="183" spans="4:24">
      <c r="E183" s="963" t="s">
        <v>165</v>
      </c>
      <c r="F183" s="964"/>
      <c r="G183" s="964"/>
      <c r="H183" s="964"/>
      <c r="I183" s="985">
        <f ca="1">K145</f>
        <v>0</v>
      </c>
      <c r="J183" s="986"/>
      <c r="K183"/>
      <c r="L183"/>
      <c r="M183" s="2"/>
      <c r="N183" s="2"/>
      <c r="O183" s="2"/>
      <c r="P183" s="2"/>
      <c r="Q183" s="2"/>
      <c r="R183"/>
      <c r="S183"/>
      <c r="X183" s="123">
        <f ca="1">IF('4.1(2)新規再エネ導入予定（設備情報）'!J176=I183,1,0)</f>
        <v>1</v>
      </c>
    </row>
    <row r="184" spans="4:24">
      <c r="E184" s="963" t="s">
        <v>225</v>
      </c>
      <c r="F184" s="964"/>
      <c r="G184" s="964"/>
      <c r="H184" s="964"/>
      <c r="I184" s="985">
        <f ca="1">K158</f>
        <v>0</v>
      </c>
      <c r="J184" s="986"/>
      <c r="K184"/>
      <c r="L184"/>
      <c r="M184" s="2"/>
      <c r="N184" s="2"/>
      <c r="O184" s="2"/>
      <c r="P184" s="2"/>
      <c r="Q184" s="2"/>
      <c r="R184"/>
      <c r="S184"/>
      <c r="X184" s="123">
        <f ca="1">IF('4.1(2)新規再エネ導入予定（設備情報）'!J177=I184,1,0)</f>
        <v>1</v>
      </c>
    </row>
    <row r="185" spans="4:24">
      <c r="E185" s="963" t="s">
        <v>322</v>
      </c>
      <c r="F185" s="964"/>
      <c r="G185" s="964"/>
      <c r="H185" s="964"/>
      <c r="I185" s="985">
        <f ca="1">SUM(I178:I184)</f>
        <v>0</v>
      </c>
      <c r="J185" s="986"/>
      <c r="K185"/>
      <c r="L185"/>
      <c r="M185" s="2"/>
      <c r="N185" s="2"/>
      <c r="O185" s="2"/>
      <c r="P185" s="2"/>
      <c r="Q185" s="2"/>
      <c r="R185"/>
      <c r="S185"/>
      <c r="X185" s="123">
        <f ca="1">IF('4.1(2)新規再エネ導入予定（設備情報）'!J178=I185,1,0)</f>
        <v>1</v>
      </c>
    </row>
    <row r="186" spans="4:24">
      <c r="E186" s="963" t="s">
        <v>320</v>
      </c>
      <c r="F186" s="964"/>
      <c r="G186" s="964"/>
      <c r="H186" s="964"/>
      <c r="I186" s="985">
        <f ca="1">K171</f>
        <v>0</v>
      </c>
      <c r="J186" s="986"/>
      <c r="K186"/>
      <c r="L186"/>
      <c r="M186" s="2"/>
      <c r="N186" s="2"/>
      <c r="O186" s="2"/>
      <c r="P186" s="2"/>
      <c r="Q186" s="2"/>
      <c r="R186"/>
      <c r="S186"/>
      <c r="X186" s="123">
        <f ca="1">IF('4.1(2)新規再エネ導入予定（設備情報）'!J179=I186,1,0)</f>
        <v>1</v>
      </c>
    </row>
    <row r="187" spans="4:24" ht="18" customHeight="1">
      <c r="I187" s="230"/>
      <c r="J187"/>
      <c r="K187"/>
      <c r="L187"/>
      <c r="M187" s="2"/>
      <c r="N187" s="2"/>
      <c r="O187" s="2"/>
      <c r="P187" s="2"/>
      <c r="Q187" s="2"/>
      <c r="R187"/>
      <c r="S187"/>
      <c r="X187" s="197">
        <f ca="1">PRODUCT(X178:X186)</f>
        <v>1</v>
      </c>
    </row>
    <row r="188" spans="4:24">
      <c r="D188"/>
      <c r="E188"/>
      <c r="F188"/>
      <c r="G188"/>
      <c r="H188"/>
      <c r="I188" s="90"/>
      <c r="J188"/>
      <c r="K188"/>
      <c r="L188"/>
      <c r="M188" s="2"/>
      <c r="N188" s="2"/>
      <c r="O188" s="2"/>
      <c r="P188" s="2"/>
      <c r="Q188" s="2"/>
      <c r="R188"/>
      <c r="S188"/>
    </row>
    <row r="189" spans="4:24">
      <c r="D189"/>
      <c r="E189"/>
      <c r="F189"/>
      <c r="G189"/>
      <c r="H189"/>
      <c r="I189" s="90"/>
      <c r="J189"/>
      <c r="K189"/>
      <c r="L189"/>
      <c r="M189" s="2"/>
      <c r="N189" s="2"/>
      <c r="O189" s="2"/>
      <c r="P189" s="2"/>
      <c r="Q189" s="2"/>
      <c r="R189"/>
      <c r="S189"/>
    </row>
    <row r="190" spans="4:24">
      <c r="D190"/>
      <c r="E190"/>
      <c r="F190"/>
      <c r="G190"/>
      <c r="H190"/>
      <c r="I190" s="90"/>
      <c r="J190"/>
      <c r="K190"/>
      <c r="L190"/>
      <c r="M190" s="2"/>
      <c r="N190" s="2"/>
      <c r="O190" s="2"/>
      <c r="P190" s="2"/>
      <c r="Q190" s="2"/>
      <c r="R190"/>
      <c r="S190"/>
    </row>
    <row r="191" spans="4:24">
      <c r="D191"/>
      <c r="E191"/>
      <c r="F191"/>
      <c r="G191"/>
      <c r="H191"/>
      <c r="I191" s="90"/>
      <c r="J191"/>
      <c r="K191"/>
      <c r="L191"/>
      <c r="M191" s="2"/>
      <c r="N191" s="2"/>
      <c r="O191" s="2"/>
      <c r="P191" s="2"/>
      <c r="Q191" s="2"/>
      <c r="R191"/>
      <c r="S191"/>
    </row>
    <row r="192" spans="4:24">
      <c r="D192"/>
      <c r="E192"/>
      <c r="F192"/>
      <c r="G192"/>
      <c r="H192"/>
      <c r="I192" s="90"/>
      <c r="J192"/>
      <c r="K192"/>
      <c r="L192"/>
      <c r="M192" s="2"/>
      <c r="N192" s="2"/>
      <c r="O192" s="2"/>
      <c r="P192" s="2"/>
      <c r="Q192" s="2"/>
      <c r="R192"/>
      <c r="S192"/>
    </row>
    <row r="193" spans="4:20">
      <c r="D193"/>
      <c r="E193"/>
      <c r="F193"/>
      <c r="G193"/>
      <c r="H193"/>
      <c r="I193" s="90"/>
      <c r="J193"/>
      <c r="K193"/>
      <c r="L193"/>
      <c r="M193" s="2"/>
      <c r="N193" s="2"/>
      <c r="O193" s="2"/>
      <c r="P193" s="2"/>
      <c r="Q193" s="2"/>
    </row>
    <row r="194" spans="4:20">
      <c r="D194"/>
      <c r="E194"/>
      <c r="F194"/>
      <c r="G194"/>
      <c r="H194"/>
      <c r="I194" s="90"/>
      <c r="J194"/>
      <c r="K194"/>
      <c r="L194"/>
      <c r="M194" s="2"/>
      <c r="N194" s="2"/>
      <c r="O194" s="2"/>
      <c r="P194" s="2"/>
      <c r="Q194" s="2"/>
    </row>
    <row r="195" spans="4:20">
      <c r="D195"/>
      <c r="E195"/>
      <c r="F195"/>
      <c r="G195"/>
      <c r="H195"/>
      <c r="I195" s="90"/>
      <c r="J195"/>
      <c r="K195"/>
      <c r="L195"/>
      <c r="M195" s="2"/>
      <c r="N195" s="2"/>
      <c r="O195" s="2"/>
      <c r="P195" s="2"/>
      <c r="Q195" s="2"/>
      <c r="T195" s="231"/>
    </row>
    <row r="196" spans="4:20" ht="37.5" customHeight="1">
      <c r="D196"/>
      <c r="E196"/>
      <c r="F196"/>
      <c r="G196"/>
      <c r="H196"/>
      <c r="I196" s="90"/>
      <c r="J196"/>
      <c r="K196"/>
      <c r="L196"/>
      <c r="M196" s="2"/>
      <c r="N196" s="2"/>
      <c r="O196" s="2"/>
      <c r="P196" s="2"/>
      <c r="Q196" s="2"/>
    </row>
    <row r="197" spans="4:20">
      <c r="D197"/>
      <c r="E197"/>
      <c r="F197"/>
      <c r="G197"/>
      <c r="H197"/>
      <c r="I197" s="90"/>
      <c r="J197"/>
      <c r="K197"/>
      <c r="L197"/>
      <c r="M197" s="2"/>
      <c r="N197" s="2"/>
      <c r="O197" s="2"/>
      <c r="P197" s="2"/>
      <c r="Q197" s="2"/>
    </row>
    <row r="198" spans="4:20">
      <c r="D198"/>
      <c r="E198"/>
      <c r="F198"/>
      <c r="G198"/>
      <c r="H198"/>
      <c r="I198" s="90"/>
      <c r="J198"/>
      <c r="K198"/>
      <c r="L198"/>
      <c r="M198" s="2"/>
      <c r="N198" s="2"/>
      <c r="O198" s="2"/>
      <c r="P198" s="2"/>
      <c r="Q198" s="2"/>
    </row>
    <row r="199" spans="4:20">
      <c r="D199"/>
      <c r="E199"/>
      <c r="F199"/>
      <c r="G199"/>
      <c r="H199"/>
      <c r="I199" s="90"/>
      <c r="J199"/>
      <c r="K199"/>
      <c r="L199"/>
      <c r="M199" s="2"/>
      <c r="N199" s="2"/>
      <c r="O199" s="2"/>
      <c r="P199" s="2"/>
      <c r="Q199" s="2"/>
    </row>
    <row r="200" spans="4:20">
      <c r="D200"/>
      <c r="E200"/>
      <c r="F200"/>
      <c r="G200"/>
      <c r="H200"/>
      <c r="I200" s="90"/>
      <c r="J200"/>
      <c r="K200"/>
      <c r="L200"/>
      <c r="M200" s="2"/>
      <c r="N200" s="2"/>
      <c r="O200" s="2"/>
      <c r="P200" s="2"/>
      <c r="Q200" s="2"/>
    </row>
    <row r="201" spans="4:20">
      <c r="D201"/>
      <c r="E201"/>
      <c r="F201"/>
      <c r="G201"/>
      <c r="H201"/>
      <c r="I201" s="90"/>
      <c r="J201"/>
      <c r="K201"/>
      <c r="L201"/>
      <c r="M201" s="2"/>
      <c r="N201" s="2"/>
      <c r="O201" s="2"/>
      <c r="P201" s="2"/>
      <c r="Q201" s="2"/>
    </row>
    <row r="202" spans="4:20">
      <c r="D202"/>
      <c r="E202"/>
      <c r="F202"/>
      <c r="G202"/>
      <c r="H202"/>
      <c r="I202" s="90"/>
      <c r="J202"/>
      <c r="K202"/>
      <c r="L202"/>
      <c r="M202" s="2"/>
      <c r="N202" s="2"/>
      <c r="O202" s="2"/>
      <c r="P202" s="2"/>
      <c r="Q202" s="2"/>
    </row>
    <row r="203" spans="4:20">
      <c r="D203"/>
      <c r="E203"/>
      <c r="F203"/>
      <c r="G203"/>
      <c r="H203"/>
      <c r="I203" s="90"/>
      <c r="J203"/>
      <c r="K203"/>
      <c r="L203"/>
      <c r="M203" s="2"/>
      <c r="N203" s="2"/>
      <c r="O203" s="2"/>
      <c r="P203" s="2"/>
      <c r="Q203" s="2"/>
    </row>
    <row r="204" spans="4:20">
      <c r="D204"/>
      <c r="E204"/>
      <c r="F204"/>
      <c r="G204"/>
      <c r="H204"/>
      <c r="I204" s="90"/>
      <c r="J204"/>
      <c r="K204"/>
      <c r="L204"/>
      <c r="M204" s="2"/>
      <c r="N204" s="2"/>
      <c r="O204" s="2"/>
      <c r="P204" s="2"/>
      <c r="Q204" s="2"/>
    </row>
    <row r="205" spans="4:20">
      <c r="D205"/>
      <c r="E205"/>
      <c r="F205"/>
      <c r="G205"/>
      <c r="H205"/>
      <c r="I205" s="90"/>
      <c r="J205"/>
      <c r="K205"/>
      <c r="L205"/>
      <c r="M205" s="2"/>
      <c r="N205" s="2"/>
      <c r="O205" s="2"/>
      <c r="P205" s="2"/>
      <c r="Q205" s="2"/>
      <c r="T205" s="231"/>
    </row>
    <row r="206" spans="4:20">
      <c r="D206"/>
      <c r="E206"/>
      <c r="F206"/>
      <c r="G206"/>
      <c r="H206"/>
      <c r="I206" s="90"/>
      <c r="J206"/>
      <c r="K206"/>
      <c r="L206"/>
      <c r="M206" s="2"/>
      <c r="N206" s="2"/>
      <c r="O206" s="2"/>
      <c r="P206" s="2"/>
      <c r="Q206" s="2"/>
      <c r="T206" s="231"/>
    </row>
    <row r="207" spans="4:20">
      <c r="D207"/>
      <c r="E207"/>
      <c r="F207"/>
      <c r="G207"/>
      <c r="H207"/>
      <c r="I207" s="90"/>
      <c r="J207"/>
      <c r="K207"/>
      <c r="L207"/>
      <c r="M207" s="2"/>
      <c r="N207" s="2"/>
      <c r="O207" s="2"/>
      <c r="P207" s="2"/>
      <c r="Q207" s="2"/>
      <c r="T207" s="231"/>
    </row>
    <row r="208" spans="4:20" ht="37.5" customHeight="1">
      <c r="D208"/>
      <c r="E208"/>
      <c r="F208"/>
      <c r="G208"/>
      <c r="H208"/>
      <c r="I208" s="90"/>
      <c r="J208"/>
      <c r="K208"/>
      <c r="L208"/>
      <c r="M208" s="2"/>
      <c r="N208" s="2"/>
      <c r="O208" s="2"/>
      <c r="P208" s="2"/>
      <c r="Q208" s="2"/>
    </row>
    <row r="209" spans="4:20">
      <c r="D209"/>
      <c r="E209"/>
      <c r="F209"/>
      <c r="G209"/>
      <c r="H209"/>
      <c r="I209" s="90"/>
      <c r="J209"/>
      <c r="K209"/>
      <c r="L209"/>
      <c r="M209" s="2"/>
      <c r="N209" s="2"/>
      <c r="O209" s="2"/>
      <c r="P209" s="2"/>
      <c r="Q209" s="2"/>
    </row>
    <row r="210" spans="4:20">
      <c r="D210"/>
      <c r="E210"/>
      <c r="F210"/>
      <c r="G210"/>
      <c r="H210"/>
      <c r="I210" s="90"/>
      <c r="J210"/>
      <c r="K210"/>
      <c r="L210"/>
      <c r="M210" s="2"/>
      <c r="N210" s="2"/>
      <c r="O210" s="2"/>
      <c r="P210" s="2"/>
      <c r="Q210" s="2"/>
    </row>
    <row r="211" spans="4:20">
      <c r="D211"/>
      <c r="E211"/>
      <c r="F211"/>
      <c r="G211"/>
      <c r="H211"/>
      <c r="I211" s="90"/>
      <c r="J211"/>
      <c r="K211"/>
      <c r="L211"/>
      <c r="M211" s="2"/>
      <c r="N211" s="2"/>
      <c r="O211" s="2"/>
      <c r="P211" s="2"/>
      <c r="Q211" s="2"/>
    </row>
    <row r="212" spans="4:20">
      <c r="D212"/>
      <c r="E212"/>
      <c r="F212"/>
      <c r="G212"/>
      <c r="H212"/>
      <c r="I212" s="90"/>
      <c r="J212"/>
      <c r="K212"/>
      <c r="L212"/>
      <c r="M212" s="2"/>
      <c r="N212" s="2"/>
      <c r="O212" s="2"/>
      <c r="P212" s="2"/>
      <c r="Q212" s="2"/>
    </row>
    <row r="213" spans="4:20">
      <c r="D213"/>
      <c r="E213"/>
      <c r="F213"/>
      <c r="G213"/>
      <c r="H213"/>
      <c r="I213" s="90"/>
      <c r="J213"/>
      <c r="K213"/>
      <c r="L213"/>
      <c r="M213" s="2"/>
      <c r="N213" s="2"/>
      <c r="O213" s="2"/>
      <c r="P213" s="2"/>
      <c r="Q213" s="2"/>
    </row>
    <row r="214" spans="4:20">
      <c r="D214"/>
      <c r="E214"/>
      <c r="F214"/>
      <c r="G214"/>
      <c r="H214"/>
      <c r="I214" s="90"/>
      <c r="J214"/>
      <c r="K214"/>
      <c r="L214"/>
      <c r="M214" s="2"/>
      <c r="N214" s="2"/>
      <c r="O214" s="2"/>
      <c r="P214" s="2"/>
      <c r="Q214" s="2"/>
    </row>
    <row r="215" spans="4:20">
      <c r="E215"/>
      <c r="F215"/>
      <c r="G215"/>
      <c r="H215"/>
      <c r="I215" s="278"/>
      <c r="J215"/>
      <c r="K215"/>
      <c r="L215"/>
      <c r="M215" s="2"/>
      <c r="N215" s="2"/>
      <c r="O215" s="2"/>
      <c r="P215" s="2"/>
      <c r="Q215" s="2"/>
    </row>
    <row r="216" spans="4:20">
      <c r="E216"/>
      <c r="F216"/>
      <c r="G216"/>
      <c r="H216"/>
      <c r="I216" s="278"/>
      <c r="J216"/>
      <c r="K216"/>
      <c r="L216"/>
      <c r="M216" s="2"/>
      <c r="N216" s="2"/>
      <c r="O216" s="2"/>
      <c r="P216" s="2"/>
      <c r="Q216" s="2"/>
    </row>
    <row r="217" spans="4:20">
      <c r="E217"/>
      <c r="F217"/>
      <c r="G217"/>
      <c r="H217"/>
      <c r="I217" s="278"/>
      <c r="J217"/>
      <c r="K217"/>
      <c r="L217"/>
      <c r="M217" s="2"/>
      <c r="N217" s="2"/>
      <c r="O217" s="2"/>
      <c r="P217" s="2"/>
      <c r="Q217" s="2"/>
      <c r="T217" s="231"/>
    </row>
    <row r="218" spans="4:20">
      <c r="E218"/>
      <c r="F218"/>
      <c r="G218"/>
      <c r="H218"/>
      <c r="I218" s="278"/>
      <c r="J218"/>
      <c r="K218"/>
      <c r="L218"/>
      <c r="M218" s="2"/>
      <c r="N218" s="2"/>
      <c r="O218" s="2"/>
      <c r="P218" s="2"/>
      <c r="Q218" s="2"/>
    </row>
  </sheetData>
  <sheetProtection algorithmName="SHA-512" hashValue="sfTd18iLm4esXY27cz5G0/PZ0/dTCmIK2D0kEhQyyuKCkeJ1OUA0GCURpPwtwLv8qeRgJWwIt4H1GFDadjRmKQ==" saltValue="AFwDomw5mhlBrCZil+Ixyw==" spinCount="100000" sheet="1" formatCells="0" insertRows="0" deleteRows="0"/>
  <mergeCells count="114">
    <mergeCell ref="V6:V7"/>
    <mergeCell ref="AI6:AI7"/>
    <mergeCell ref="AJ6:AJ7"/>
    <mergeCell ref="AG6:AG7"/>
    <mergeCell ref="K164:K165"/>
    <mergeCell ref="L164:L165"/>
    <mergeCell ref="M164:P164"/>
    <mergeCell ref="AB6:AB7"/>
    <mergeCell ref="AC6:AC7"/>
    <mergeCell ref="AD6:AD7"/>
    <mergeCell ref="AE6:AE7"/>
    <mergeCell ref="AF6:AF7"/>
    <mergeCell ref="AH6:AH7"/>
    <mergeCell ref="Q6:Q7"/>
    <mergeCell ref="M112:P112"/>
    <mergeCell ref="Q112:Q113"/>
    <mergeCell ref="Q125:Q126"/>
    <mergeCell ref="L138:L139"/>
    <mergeCell ref="M138:P138"/>
    <mergeCell ref="Q138:Q139"/>
    <mergeCell ref="M151:P151"/>
    <mergeCell ref="T6:T7"/>
    <mergeCell ref="AA6:AA7"/>
    <mergeCell ref="T86:T87"/>
    <mergeCell ref="I6:I7"/>
    <mergeCell ref="J6:J7"/>
    <mergeCell ref="K6:K7"/>
    <mergeCell ref="L6:L7"/>
    <mergeCell ref="M6:P6"/>
    <mergeCell ref="E6:F7"/>
    <mergeCell ref="G6:G7"/>
    <mergeCell ref="H6:H7"/>
    <mergeCell ref="Q99:Q100"/>
    <mergeCell ref="M99:P99"/>
    <mergeCell ref="F86:F87"/>
    <mergeCell ref="G86:G87"/>
    <mergeCell ref="H86:H87"/>
    <mergeCell ref="I86:I87"/>
    <mergeCell ref="J86:J87"/>
    <mergeCell ref="K86:K87"/>
    <mergeCell ref="L86:L87"/>
    <mergeCell ref="M86:P86"/>
    <mergeCell ref="Q86:Q87"/>
    <mergeCell ref="J112:J113"/>
    <mergeCell ref="K112:K113"/>
    <mergeCell ref="L112:L113"/>
    <mergeCell ref="F99:F100"/>
    <mergeCell ref="G99:G100"/>
    <mergeCell ref="H99:H100"/>
    <mergeCell ref="I99:I100"/>
    <mergeCell ref="J99:J100"/>
    <mergeCell ref="K99:K100"/>
    <mergeCell ref="L99:L100"/>
    <mergeCell ref="F112:F113"/>
    <mergeCell ref="G112:G113"/>
    <mergeCell ref="H112:H113"/>
    <mergeCell ref="I112:I113"/>
    <mergeCell ref="J138:J139"/>
    <mergeCell ref="K151:K152"/>
    <mergeCell ref="L151:L152"/>
    <mergeCell ref="H151:H152"/>
    <mergeCell ref="I151:I152"/>
    <mergeCell ref="J151:J152"/>
    <mergeCell ref="T138:T139"/>
    <mergeCell ref="E185:H185"/>
    <mergeCell ref="E178:H178"/>
    <mergeCell ref="E179:H179"/>
    <mergeCell ref="E180:H180"/>
    <mergeCell ref="E181:H181"/>
    <mergeCell ref="E182:H182"/>
    <mergeCell ref="E183:H183"/>
    <mergeCell ref="E184:H184"/>
    <mergeCell ref="K138:K139"/>
    <mergeCell ref="F138:F139"/>
    <mergeCell ref="G138:G139"/>
    <mergeCell ref="E186:H186"/>
    <mergeCell ref="I186:J186"/>
    <mergeCell ref="F164:F165"/>
    <mergeCell ref="G164:G165"/>
    <mergeCell ref="H164:H165"/>
    <mergeCell ref="I164:I165"/>
    <mergeCell ref="J164:J165"/>
    <mergeCell ref="I183:J183"/>
    <mergeCell ref="I184:J184"/>
    <mergeCell ref="I185:J185"/>
    <mergeCell ref="I178:J178"/>
    <mergeCell ref="I179:J179"/>
    <mergeCell ref="I180:J180"/>
    <mergeCell ref="I181:J181"/>
    <mergeCell ref="I182:J182"/>
    <mergeCell ref="W6:W7"/>
    <mergeCell ref="Z6:Z7"/>
    <mergeCell ref="Y6:Y7"/>
    <mergeCell ref="T164:T165"/>
    <mergeCell ref="T99:T100"/>
    <mergeCell ref="T112:T113"/>
    <mergeCell ref="X6:X7"/>
    <mergeCell ref="A2:S2"/>
    <mergeCell ref="Q164:Q165"/>
    <mergeCell ref="Q151:Q152"/>
    <mergeCell ref="T125:T126"/>
    <mergeCell ref="T151:T152"/>
    <mergeCell ref="F125:F126"/>
    <mergeCell ref="G125:G126"/>
    <mergeCell ref="H125:H126"/>
    <mergeCell ref="I125:I126"/>
    <mergeCell ref="J125:J126"/>
    <mergeCell ref="K125:K126"/>
    <mergeCell ref="L125:L126"/>
    <mergeCell ref="M125:P125"/>
    <mergeCell ref="F151:F152"/>
    <mergeCell ref="G151:G152"/>
    <mergeCell ref="H138:H139"/>
    <mergeCell ref="I138:I139"/>
  </mergeCells>
  <phoneticPr fontId="1"/>
  <conditionalFormatting sqref="E178:H184 E186:H186">
    <cfRule type="expression" dxfId="1725" priority="1">
      <formula>$X178&lt;&gt;1</formula>
    </cfRule>
  </conditionalFormatting>
  <conditionalFormatting sqref="E8:T80">
    <cfRule type="expression" dxfId="1724" priority="76">
      <formula>$V8=""</formula>
    </cfRule>
  </conditionalFormatting>
  <conditionalFormatting sqref="F8:F80">
    <cfRule type="expression" dxfId="1723" priority="6">
      <formula>$E8&lt;&gt;""</formula>
    </cfRule>
  </conditionalFormatting>
  <conditionalFormatting sqref="F86:G87 F99:G100 F112:G113 F125:G126 F138:G139 F151:G152 F164:G165">
    <cfRule type="notContainsBlanks" dxfId="1722" priority="5">
      <formula>LEN(TRIM(F86))&gt;0</formula>
    </cfRule>
  </conditionalFormatting>
  <conditionalFormatting sqref="F9:K80">
    <cfRule type="expression" dxfId="1721" priority="79">
      <formula>$L9&lt;&gt;""</formula>
    </cfRule>
    <cfRule type="expression" dxfId="1720" priority="283">
      <formula>$G9&lt;&gt;""</formula>
    </cfRule>
  </conditionalFormatting>
  <conditionalFormatting sqref="F88:K92">
    <cfRule type="expression" dxfId="1719" priority="74">
      <formula>$G88&lt;&gt;""</formula>
    </cfRule>
    <cfRule type="expression" dxfId="1718" priority="73">
      <formula>$L88&lt;&gt;""</formula>
    </cfRule>
  </conditionalFormatting>
  <conditionalFormatting sqref="F101:K105">
    <cfRule type="expression" dxfId="1717" priority="60">
      <formula>$G101&lt;&gt;""</formula>
    </cfRule>
    <cfRule type="expression" dxfId="1716" priority="59">
      <formula>$L101&lt;&gt;""</formula>
    </cfRule>
  </conditionalFormatting>
  <conditionalFormatting sqref="F114:K118">
    <cfRule type="expression" dxfId="1715" priority="51">
      <formula>$G114&lt;&gt;""</formula>
    </cfRule>
    <cfRule type="expression" dxfId="1714" priority="50">
      <formula>$L114&lt;&gt;""</formula>
    </cfRule>
  </conditionalFormatting>
  <conditionalFormatting sqref="F127:K131">
    <cfRule type="expression" dxfId="1713" priority="42">
      <formula>$G127&lt;&gt;""</formula>
    </cfRule>
    <cfRule type="expression" dxfId="1712" priority="41">
      <formula>$L127&lt;&gt;""</formula>
    </cfRule>
  </conditionalFormatting>
  <conditionalFormatting sqref="F140:K144">
    <cfRule type="expression" dxfId="1711" priority="32">
      <formula>$L140&lt;&gt;""</formula>
    </cfRule>
    <cfRule type="expression" dxfId="1710" priority="33">
      <formula>$G140&lt;&gt;""</formula>
    </cfRule>
  </conditionalFormatting>
  <conditionalFormatting sqref="F153:K157">
    <cfRule type="expression" dxfId="1709" priority="23">
      <formula>$L153&lt;&gt;""</formula>
    </cfRule>
    <cfRule type="expression" dxfId="1708" priority="24">
      <formula>$G153&lt;&gt;""</formula>
    </cfRule>
  </conditionalFormatting>
  <conditionalFormatting sqref="F166:K170">
    <cfRule type="expression" dxfId="1707" priority="14">
      <formula>$L166&lt;&gt;""</formula>
    </cfRule>
    <cfRule type="expression" dxfId="1706" priority="15">
      <formula>$G166&lt;&gt;""</formula>
    </cfRule>
  </conditionalFormatting>
  <conditionalFormatting sqref="F88:T92">
    <cfRule type="expression" dxfId="1705" priority="70">
      <formula>$V88=""</formula>
    </cfRule>
  </conditionalFormatting>
  <conditionalFormatting sqref="F101:T105">
    <cfRule type="expression" dxfId="1704" priority="56">
      <formula>$V101=""</formula>
    </cfRule>
  </conditionalFormatting>
  <conditionalFormatting sqref="F114:T118">
    <cfRule type="expression" dxfId="1703" priority="47">
      <formula>$V114=""</formula>
    </cfRule>
  </conditionalFormatting>
  <conditionalFormatting sqref="F127:T131">
    <cfRule type="expression" dxfId="1702" priority="38">
      <formula>$V127=""</formula>
    </cfRule>
  </conditionalFormatting>
  <conditionalFormatting sqref="F140:T144">
    <cfRule type="expression" dxfId="1701" priority="29">
      <formula>$V140=""</formula>
    </cfRule>
  </conditionalFormatting>
  <conditionalFormatting sqref="F153:T157">
    <cfRule type="expression" dxfId="1700" priority="20">
      <formula>$V153=""</formula>
    </cfRule>
  </conditionalFormatting>
  <conditionalFormatting sqref="F166:T170">
    <cfRule type="expression" dxfId="1699" priority="11">
      <formula>$V166=""</formula>
    </cfRule>
  </conditionalFormatting>
  <conditionalFormatting sqref="I178:J186">
    <cfRule type="cellIs" dxfId="1698" priority="4" operator="notEqual">
      <formula>0</formula>
    </cfRule>
  </conditionalFormatting>
  <conditionalFormatting sqref="K80">
    <cfRule type="cellIs" dxfId="1697" priority="75" operator="notEqual">
      <formula>0</formula>
    </cfRule>
  </conditionalFormatting>
  <conditionalFormatting sqref="K93">
    <cfRule type="cellIs" dxfId="1696" priority="61" operator="notEqual">
      <formula>0</formula>
    </cfRule>
    <cfRule type="expression" dxfId="1695" priority="64">
      <formula>$G93&lt;&gt;""</formula>
    </cfRule>
    <cfRule type="expression" dxfId="1694" priority="63">
      <formula>$L93&lt;&gt;""</formula>
    </cfRule>
    <cfRule type="expression" dxfId="1693" priority="62">
      <formula>$V93=""</formula>
    </cfRule>
  </conditionalFormatting>
  <conditionalFormatting sqref="K106">
    <cfRule type="expression" dxfId="1692" priority="53">
      <formula>$V106=""</formula>
    </cfRule>
    <cfRule type="expression" dxfId="1691" priority="54">
      <formula>$L106&lt;&gt;""</formula>
    </cfRule>
    <cfRule type="expression" dxfId="1690" priority="55">
      <formula>$G106&lt;&gt;""</formula>
    </cfRule>
    <cfRule type="cellIs" dxfId="1689" priority="52" operator="notEqual">
      <formula>0</formula>
    </cfRule>
  </conditionalFormatting>
  <conditionalFormatting sqref="K119">
    <cfRule type="expression" dxfId="1688" priority="46">
      <formula>$G119&lt;&gt;""</formula>
    </cfRule>
    <cfRule type="cellIs" dxfId="1687" priority="43" operator="notEqual">
      <formula>0</formula>
    </cfRule>
    <cfRule type="expression" dxfId="1686" priority="44">
      <formula>$V119=""</formula>
    </cfRule>
    <cfRule type="expression" dxfId="1685" priority="45">
      <formula>$L119&lt;&gt;""</formula>
    </cfRule>
  </conditionalFormatting>
  <conditionalFormatting sqref="K132">
    <cfRule type="expression" dxfId="1684" priority="36">
      <formula>$L132&lt;&gt;""</formula>
    </cfRule>
    <cfRule type="expression" dxfId="1683" priority="35">
      <formula>$V132=""</formula>
    </cfRule>
    <cfRule type="expression" dxfId="1682" priority="37">
      <formula>$G132&lt;&gt;""</formula>
    </cfRule>
    <cfRule type="cellIs" dxfId="1681" priority="34" operator="notEqual">
      <formula>0</formula>
    </cfRule>
  </conditionalFormatting>
  <conditionalFormatting sqref="K145">
    <cfRule type="expression" dxfId="1680" priority="28">
      <formula>$G145&lt;&gt;""</formula>
    </cfRule>
    <cfRule type="expression" dxfId="1679" priority="27">
      <formula>$L145&lt;&gt;""</formula>
    </cfRule>
    <cfRule type="cellIs" dxfId="1678" priority="25" operator="notEqual">
      <formula>0</formula>
    </cfRule>
    <cfRule type="expression" dxfId="1677" priority="26">
      <formula>$V145=""</formula>
    </cfRule>
  </conditionalFormatting>
  <conditionalFormatting sqref="K158">
    <cfRule type="cellIs" dxfId="1676" priority="16" operator="notEqual">
      <formula>0</formula>
    </cfRule>
    <cfRule type="expression" dxfId="1675" priority="19">
      <formula>$G158&lt;&gt;""</formula>
    </cfRule>
    <cfRule type="expression" dxfId="1674" priority="18">
      <formula>$L158&lt;&gt;""</formula>
    </cfRule>
    <cfRule type="expression" dxfId="1673" priority="17">
      <formula>$V158=""</formula>
    </cfRule>
  </conditionalFormatting>
  <conditionalFormatting sqref="K171">
    <cfRule type="cellIs" dxfId="1672" priority="7" operator="notEqual">
      <formula>0</formula>
    </cfRule>
    <cfRule type="expression" dxfId="1671" priority="8">
      <formula>$V171=""</formula>
    </cfRule>
    <cfRule type="expression" dxfId="1670" priority="9">
      <formula>$L171&lt;&gt;""</formula>
    </cfRule>
    <cfRule type="expression" dxfId="1669" priority="10">
      <formula>$G171&lt;&gt;""</formula>
    </cfRule>
  </conditionalFormatting>
  <conditionalFormatting sqref="L88:Q92">
    <cfRule type="notContainsBlanks" dxfId="1668" priority="72">
      <formula>LEN(TRIM(L88))&gt;0</formula>
    </cfRule>
  </conditionalFormatting>
  <conditionalFormatting sqref="L101:Q105">
    <cfRule type="notContainsBlanks" dxfId="1667" priority="58">
      <formula>LEN(TRIM(L101))&gt;0</formula>
    </cfRule>
  </conditionalFormatting>
  <conditionalFormatting sqref="L114:Q118">
    <cfRule type="notContainsBlanks" dxfId="1666" priority="49">
      <formula>LEN(TRIM(L114))&gt;0</formula>
    </cfRule>
  </conditionalFormatting>
  <conditionalFormatting sqref="L127:Q131">
    <cfRule type="notContainsBlanks" dxfId="1665" priority="40">
      <formula>LEN(TRIM(L127))&gt;0</formula>
    </cfRule>
  </conditionalFormatting>
  <conditionalFormatting sqref="L140:Q144">
    <cfRule type="notContainsBlanks" dxfId="1664" priority="31">
      <formula>LEN(TRIM(L140))&gt;0</formula>
    </cfRule>
  </conditionalFormatting>
  <conditionalFormatting sqref="L153:Q157">
    <cfRule type="notContainsBlanks" dxfId="1663" priority="22">
      <formula>LEN(TRIM(L153))&gt;0</formula>
    </cfRule>
  </conditionalFormatting>
  <conditionalFormatting sqref="L166:Q170">
    <cfRule type="notContainsBlanks" dxfId="1662" priority="13">
      <formula>LEN(TRIM(L166))&gt;0</formula>
    </cfRule>
  </conditionalFormatting>
  <conditionalFormatting sqref="R86:S87 R93:S100 R106:S113 R119:S126 R132:S139 R145:S152 R158:S165 R171:S171">
    <cfRule type="expression" dxfId="1661" priority="269">
      <formula>$V86=""</formula>
    </cfRule>
  </conditionalFormatting>
  <conditionalFormatting sqref="T8:T80 L9:Q79">
    <cfRule type="notContainsBlanks" dxfId="1660" priority="78">
      <formula>LEN(TRIM(L8))&gt;0</formula>
    </cfRule>
  </conditionalFormatting>
  <conditionalFormatting sqref="T88:T92">
    <cfRule type="notContainsBlanks" dxfId="1659" priority="71">
      <formula>LEN(TRIM(T88))&gt;0</formula>
    </cfRule>
  </conditionalFormatting>
  <conditionalFormatting sqref="T101:T105">
    <cfRule type="notContainsBlanks" dxfId="1658" priority="57">
      <formula>LEN(TRIM(T101))&gt;0</formula>
    </cfRule>
  </conditionalFormatting>
  <conditionalFormatting sqref="T114:T118">
    <cfRule type="notContainsBlanks" dxfId="1657" priority="48">
      <formula>LEN(TRIM(T114))&gt;0</formula>
    </cfRule>
  </conditionalFormatting>
  <conditionalFormatting sqref="T127:T131">
    <cfRule type="notContainsBlanks" dxfId="1656" priority="39">
      <formula>LEN(TRIM(T127))&gt;0</formula>
    </cfRule>
  </conditionalFormatting>
  <conditionalFormatting sqref="T140:T144">
    <cfRule type="notContainsBlanks" dxfId="1655" priority="30">
      <formula>LEN(TRIM(T140))&gt;0</formula>
    </cfRule>
  </conditionalFormatting>
  <conditionalFormatting sqref="T153:T157">
    <cfRule type="notContainsBlanks" dxfId="1654" priority="21">
      <formula>LEN(TRIM(T153))&gt;0</formula>
    </cfRule>
  </conditionalFormatting>
  <conditionalFormatting sqref="T166:T170">
    <cfRule type="notContainsBlanks" dxfId="1653" priority="12">
      <formula>LEN(TRIM(T166))&gt;0</formula>
    </cfRule>
  </conditionalFormatting>
  <dataValidations count="6">
    <dataValidation type="list" allowBlank="1" showInputMessage="1" showErrorMessage="1" sqref="I93 I106 I119 I132 I145 I158 I171" xr:uid="{30EEB213-2C41-4D87-95D8-A8F6A1958E48}">
      <formula1>"オンサイト,オフサイト"</formula1>
    </dataValidation>
    <dataValidation type="decimal" operator="greaterThanOrEqual" allowBlank="1" showInputMessage="1" showErrorMessage="1" error="数値で入力してください" sqref="E80 M8:Q8 M14:Q14 K56:L57 K50:L51 K44:L45 K38:L39 K32:L33 M26:Q26 T74 M20:Q20 K153:L153 K8:L9 K62:L63 M56:Q56 M50:Q50 M38:Q38 K26:L27 K14:L15 K68:L69 T8 K166:L166 M44:Q44 M32:Q32 M62:Q62 K88:L88 K101:L101 K114:L114 K127:L127 K140:L140 T20 T62 T14 M68:Q68 T68 T26 T32 T38 T44 T50 T56 K74:L75 M74:Q74 K20:L21" xr:uid="{2F51D88D-137D-4308-B20C-17738908D386}">
      <formula1>0</formula1>
    </dataValidation>
    <dataValidation type="list" allowBlank="1" showInputMessage="1" showErrorMessage="1" sqref="M27:P31 M33:P37 M39:P43 M15:P19 M45:P49 M51:P55 M57:P61 M75:P79 M88:P92 M63:P67 M9:P13 M69:P73 M101:P105 M114:P118 M127:P131 M140:P144 M153:P157 M166:P170 M21:P25" xr:uid="{E9C22828-930E-48FB-BDCF-81828008E377}">
      <formula1>"未実施,説明済,協議中,合意済"</formula1>
    </dataValidation>
    <dataValidation type="list" allowBlank="1" showInputMessage="1" showErrorMessage="1" sqref="Q15:Q19 Q75:Q79 Q57:Q61 Q51:Q55 Q45:Q49 Q39:Q43 Q33:Q37 Q27:Q31 Q88:Q92 Q63:Q67 Q9:Q13 Q69:Q73 Q101:Q105 Q114:Q118 Q127:Q131 Q140:Q144 Q153:Q157 Q166:Q170 Q21:Q25" xr:uid="{8DDE281F-0308-4B3F-9FAE-F6B92C51B3C8}">
      <formula1>"未実施,協議中,合意済"</formula1>
    </dataValidation>
    <dataValidation type="list" allowBlank="1" showInputMessage="1" showErrorMessage="1" sqref="T15:T19 T27:T31 T33:T37 T39:T43 T45:T49 T51:T55 T57:T61 T75:T80 T88:T93 T63:T67 T166:T171 T69:T73 T101:T106 T114:T119 T127:T132 T140:T145 T153:T158 T9:T13 T21:T25" xr:uid="{2C0EC54A-A57F-4E43-8AA4-3934151C0902}">
      <formula1>"○"</formula1>
    </dataValidation>
    <dataValidation type="textLength" operator="lessThan" allowBlank="1" showInputMessage="1" showErrorMessage="1" sqref="E8:E79" xr:uid="{F3A3B674-B286-40A5-A0DD-4DF88CFED31C}">
      <formula1>1</formula1>
    </dataValidation>
  </dataValidations>
  <pageMargins left="0.7" right="0.7" top="0.75" bottom="0.75" header="0.3" footer="0.3"/>
  <pageSetup paperSize="8" scale="21" orientation="landscape"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19">
        <x14:dataValidation type="list" allowBlank="1" showInputMessage="1" showErrorMessage="1" xr:uid="{AD0BEFAF-90F4-4E2C-8F86-4121431F44F9}">
          <x14:formula1>
            <xm:f>OFFSET('4.1(2)新規再エネ導入予定（設備情報）'!$AC$7,'4.1(2)新規再エネ導入予定（設備情報）'!$Z$172,0,'4.1(2)新規再エネ導入予定（設備情報）'!$Y$172,1)</xm:f>
          </x14:formula1>
          <xm:sqref>G15:G19</xm:sqref>
        </x14:dataValidation>
        <x14:dataValidation type="list" allowBlank="1" showInputMessage="1" showErrorMessage="1" xr:uid="{D8555288-BC0F-4068-9E37-AA1EEDC0D600}">
          <x14:formula1>
            <xm:f>OFFSET('4.1(2)新規再エネ導入予定（設備情報）'!$AC$7,'4.1(2)新規再エネ導入予定（設備情報）'!$Z$174,0,'4.1(2)新規再エネ導入予定（設備情報）'!$Y$174,1)</xm:f>
          </x14:formula1>
          <xm:sqref>G27:G31</xm:sqref>
        </x14:dataValidation>
        <x14:dataValidation type="list" allowBlank="1" showInputMessage="1" showErrorMessage="1" xr:uid="{A38BF9D4-F456-42E5-961B-8D4E570D9D1E}">
          <x14:formula1>
            <xm:f>OFFSET('4.1(2)新規再エネ導入予定（設備情報）'!$AC$7,'4.1(2)新規再エネ導入予定（設備情報）'!$Z$175,0,'4.1(2)新規再エネ導入予定（設備情報）'!$Y$175,1)</xm:f>
          </x14:formula1>
          <xm:sqref>G33:G37</xm:sqref>
        </x14:dataValidation>
        <x14:dataValidation type="list" allowBlank="1" showInputMessage="1" showErrorMessage="1" xr:uid="{93DE4A3E-4DD4-42E3-9354-2708961D7CE6}">
          <x14:formula1>
            <xm:f>OFFSET('4.1(2)新規再エネ導入予定（設備情報）'!$AC$7,'4.1(2)新規再エネ導入予定（設備情報）'!$Z$176,0,'4.1(2)新規再エネ導入予定（設備情報）'!$Y$176,1)</xm:f>
          </x14:formula1>
          <xm:sqref>G39:G43</xm:sqref>
        </x14:dataValidation>
        <x14:dataValidation type="list" allowBlank="1" showInputMessage="1" showErrorMessage="1" xr:uid="{ECB2C1C3-2DE3-473F-A9FB-6076F56224BE}">
          <x14:formula1>
            <xm:f>OFFSET('4.1(2)新規再エネ導入予定（設備情報）'!$AC$7,'4.1(2)新規再エネ導入予定（設備情報）'!$Z$177,0,'4.1(2)新規再エネ導入予定（設備情報）'!$Y$177,1)</xm:f>
          </x14:formula1>
          <xm:sqref>G45:G49</xm:sqref>
        </x14:dataValidation>
        <x14:dataValidation type="list" allowBlank="1" showInputMessage="1" showErrorMessage="1" xr:uid="{D382C158-42AF-47A5-A4DA-324DF67011E6}">
          <x14:formula1>
            <xm:f>OFFSET('4.1(2)新規再エネ導入予定（設備情報）'!$AC$7,'4.1(2)新規再エネ導入予定（設備情報）'!$Z$178,0,'4.1(2)新規再エネ導入予定（設備情報）'!$Y$178,1)</xm:f>
          </x14:formula1>
          <xm:sqref>G51:G55</xm:sqref>
        </x14:dataValidation>
        <x14:dataValidation type="list" allowBlank="1" showInputMessage="1" showErrorMessage="1" xr:uid="{6DFF0474-5BF9-4FED-A930-8ED1A9902473}">
          <x14:formula1>
            <xm:f>OFFSET('4.1(2)新規再エネ導入予定（設備情報）'!$AC$7,'4.1(2)新規再エネ導入予定（設備情報）'!$Z$179,0,'4.1(2)新規再エネ導入予定（設備情報）'!$Y$179,1)</xm:f>
          </x14:formula1>
          <xm:sqref>G57:G61</xm:sqref>
        </x14:dataValidation>
        <x14:dataValidation type="list" allowBlank="1" showInputMessage="1" showErrorMessage="1" xr:uid="{63E15A19-B084-4F94-820D-B3ABAE56AA4E}">
          <x14:formula1>
            <xm:f>OFFSET('4.1(2)新規再エネ導入予定（設備情報）'!$AC$7,'4.1(2)新規再エネ導入予定（設備情報）'!$Z$182,0,'4.1(2)新規再エネ導入予定（設備情報）'!$Y$182,1)</xm:f>
          </x14:formula1>
          <xm:sqref>G75:G79</xm:sqref>
        </x14:dataValidation>
        <x14:dataValidation type="list" allowBlank="1" showInputMessage="1" showErrorMessage="1" xr:uid="{7F0DFD0A-4598-4284-83BA-0381CF800287}">
          <x14:formula1>
            <xm:f>OFFSET('4.1(2)新規再エネ導入予定（設備情報）'!$AC$7,'4.1(2)新規再エネ導入予定（設備情報）'!$Z$183,0,'4.1(2)新規再エネ導入予定（設備情報）'!$Y$183,1)</xm:f>
          </x14:formula1>
          <xm:sqref>G89:G92 G88</xm:sqref>
        </x14:dataValidation>
        <x14:dataValidation type="list" allowBlank="1" showInputMessage="1" showErrorMessage="1" xr:uid="{F6414E9C-E1DA-4965-AE02-8DFE494352A7}">
          <x14:formula1>
            <xm:f>OFFSET('4.1(2)新規再エネ導入予定（設備情報）'!$AC$7,'4.1(2)新規再エネ導入予定（設備情報）'!$Z$181,0,'4.1(2)新規再エネ導入予定（設備情報）'!$Y$181,1)</xm:f>
          </x14:formula1>
          <xm:sqref>G69:G73</xm:sqref>
        </x14:dataValidation>
        <x14:dataValidation type="list" allowBlank="1" showInputMessage="1" showErrorMessage="1" xr:uid="{1602B1D2-6DA7-4903-A080-CF26775B0B39}">
          <x14:formula1>
            <xm:f>OFFSET('4.1(2)新規再エネ導入予定（設備情報）'!$AC$7,'4.1(2)新規再エネ導入予定（設備情報）'!$Z$180,0,'4.1(2)新規再エネ導入予定（設備情報）'!$Y$180,1)</xm:f>
          </x14:formula1>
          <xm:sqref>G63:G67</xm:sqref>
        </x14:dataValidation>
        <x14:dataValidation type="list" allowBlank="1" showInputMessage="1" showErrorMessage="1" xr:uid="{703ADA31-FCE8-482D-87A1-6C2F135386F2}">
          <x14:formula1>
            <xm:f>OFFSET('4.1(2)新規再エネ導入予定（設備情報）'!$AC$7,'4.1(2)新規再エネ導入予定（設備情報）'!$Z$171,0,'4.1(2)新規再エネ導入予定（設備情報）'!$Y$171,1)</xm:f>
          </x14:formula1>
          <xm:sqref>G9:G13</xm:sqref>
        </x14:dataValidation>
        <x14:dataValidation type="list" allowBlank="1" showInputMessage="1" showErrorMessage="1" xr:uid="{B43A5BE4-F7CB-48E9-A45D-542A3EA5CAB3}">
          <x14:formula1>
            <xm:f>OFFSET('4.1(2)新規再エネ導入予定（設備情報）'!$AC$7,'4.1(2)新規再エネ導入予定（設備情報）'!$Z$184,0,'4.1(2)新規再エネ導入予定（設備情報）'!$Y$184,1)</xm:f>
          </x14:formula1>
          <xm:sqref>G102:G105 G101</xm:sqref>
        </x14:dataValidation>
        <x14:dataValidation type="list" allowBlank="1" showInputMessage="1" showErrorMessage="1" xr:uid="{9C068CEB-EE90-4D40-9C32-5504F42AAE2E}">
          <x14:formula1>
            <xm:f>OFFSET('4.1(2)新規再エネ導入予定（設備情報）'!$AC$7,'4.1(2)新規再エネ導入予定（設備情報）'!$Z$185,0,'4.1(2)新規再エネ導入予定（設備情報）'!$Y$185,1)</xm:f>
          </x14:formula1>
          <xm:sqref>G114:G118</xm:sqref>
        </x14:dataValidation>
        <x14:dataValidation type="list" allowBlank="1" showInputMessage="1" showErrorMessage="1" xr:uid="{803696F3-CAD4-4A73-A475-3175897724FE}">
          <x14:formula1>
            <xm:f>OFFSET('4.1(2)新規再エネ導入予定（設備情報）'!$AC$7,'4.1(2)新規再エネ導入予定（設備情報）'!$Z$186,0,'4.1(2)新規再エネ導入予定（設備情報）'!$Y$186,1)</xm:f>
          </x14:formula1>
          <xm:sqref>G127:G131</xm:sqref>
        </x14:dataValidation>
        <x14:dataValidation type="list" allowBlank="1" showInputMessage="1" showErrorMessage="1" xr:uid="{9647D74E-AAAB-4E72-8F21-70A75DC3AF60}">
          <x14:formula1>
            <xm:f>OFFSET('4.1(2)新規再エネ導入予定（設備情報）'!$AC$7,'4.1(2)新規再エネ導入予定（設備情報）'!$Z$187,0,'4.1(2)新規再エネ導入予定（設備情報）'!$Y$187,1)</xm:f>
          </x14:formula1>
          <xm:sqref>G140:G144</xm:sqref>
        </x14:dataValidation>
        <x14:dataValidation type="list" allowBlank="1" showInputMessage="1" showErrorMessage="1" xr:uid="{4BB87A04-FE0F-4B24-A141-D8DB72127074}">
          <x14:formula1>
            <xm:f>OFFSET('4.1(2)新規再エネ導入予定（設備情報）'!$AC$7,'4.1(2)新規再エネ導入予定（設備情報）'!$Z$188,0,'4.1(2)新規再エネ導入予定（設備情報）'!$Y$188,1)</xm:f>
          </x14:formula1>
          <xm:sqref>G153:G157</xm:sqref>
        </x14:dataValidation>
        <x14:dataValidation type="list" allowBlank="1" showInputMessage="1" showErrorMessage="1" xr:uid="{D44647E9-9350-4764-ACE7-78DDC2B84F2E}">
          <x14:formula1>
            <xm:f>OFFSET('4.1(2)新規再エネ導入予定（設備情報）'!$AC$7,'4.1(2)新規再エネ導入予定（設備情報）'!$Z$189,0,'4.1(2)新規再エネ導入予定（設備情報）'!$Y$189,1)</xm:f>
          </x14:formula1>
          <xm:sqref>G166:G170</xm:sqref>
        </x14:dataValidation>
        <x14:dataValidation type="list" allowBlank="1" showInputMessage="1" showErrorMessage="1" xr:uid="{025A3073-27ED-45D9-9BC5-F6AA9E5975CA}">
          <x14:formula1>
            <xm:f>OFFSET('4.1(2)新規再エネ導入予定（設備情報）'!$AC$7,'4.1(2)新規再エネ導入予定（設備情報）'!$Z$173,0,'4.1(2)新規再エネ導入予定（設備情報）'!$Y$173,1)</xm:f>
          </x14:formula1>
          <xm:sqref>G21:G25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9B195-0E61-4F32-A13D-BE76A0C52311}">
  <sheetPr codeName="Sheet6">
    <tabColor theme="7" tint="0.79998168889431442"/>
    <pageSetUpPr autoPageBreaks="0" fitToPage="1"/>
  </sheetPr>
  <dimension ref="A1:J569"/>
  <sheetViews>
    <sheetView showGridLines="0" showZeros="0" zoomScaleNormal="100" zoomScaleSheetLayoutView="80" workbookViewId="0"/>
  </sheetViews>
  <sheetFormatPr defaultColWidth="9" defaultRowHeight="13"/>
  <cols>
    <col min="1" max="1" width="3.33203125" style="201" customWidth="1"/>
    <col min="2" max="8" width="20.25" style="201" customWidth="1"/>
    <col min="9" max="9" width="20.25" style="293" customWidth="1"/>
    <col min="10" max="10" width="10.08203125" style="201" customWidth="1"/>
    <col min="11" max="11" width="13.08203125" style="201" customWidth="1"/>
    <col min="12" max="12" width="12.33203125" style="201" customWidth="1"/>
    <col min="13" max="16384" width="9" style="201"/>
  </cols>
  <sheetData>
    <row r="1" spans="2:9" ht="19">
      <c r="B1" s="200" t="s">
        <v>218</v>
      </c>
    </row>
    <row r="2" spans="2:9" ht="23.5">
      <c r="B2" s="202" t="s">
        <v>27</v>
      </c>
      <c r="C2" s="202" t="str">
        <f ca="1">IFERROR(OFFSET('4.1(2)新規再エネ導入予定（設備情報）'!$X$1,MATCH(COUNTIF($B$1:B2,"発電方式"),'4.1(2)新規再エネ導入予定（設備情報）'!$AK:$AK,0)-1,0),"")</f>
        <v/>
      </c>
      <c r="D2" s="203"/>
    </row>
    <row r="3" spans="2:9" ht="39.75" customHeight="1">
      <c r="B3" s="204" t="s">
        <v>8</v>
      </c>
      <c r="C3" s="204" t="s">
        <v>182</v>
      </c>
      <c r="D3" s="205" t="s">
        <v>181</v>
      </c>
      <c r="E3" s="204" t="s">
        <v>9</v>
      </c>
      <c r="F3" s="206" t="s">
        <v>10</v>
      </c>
      <c r="G3" s="205" t="s">
        <v>31</v>
      </c>
      <c r="H3" s="204" t="s">
        <v>13</v>
      </c>
      <c r="I3" s="206" t="s">
        <v>81</v>
      </c>
    </row>
    <row r="4" spans="2:9" ht="36" customHeight="1">
      <c r="B4" s="535" t="str">
        <f ca="1">IFERROR(OFFSET('4.1(2)新規再エネ導入予定（設備情報）'!$F$1,MATCH($C4,'4.1(2)新規再エネ導入予定（設備情報）'!$G:$G,0)-1,0),"")</f>
        <v/>
      </c>
      <c r="C4" s="536" t="str">
        <f ca="1">IFERROR(OFFSET('4.1(2)新規再エネ導入予定（設備情報）'!$G$7,MATCH(COUNTIF($B$1:B2,"発電方式"),'4.1(2)新規再エネ導入予定（設備情報）'!$AK$8:$AK$1000,0),0),"")</f>
        <v/>
      </c>
      <c r="D4" s="535" t="str">
        <f ca="1">IFERROR(OFFSET('4.1(2)新規再エネ導入予定（設備情報）'!$H$1,MATCH($C4,'4.1(2)新規再エネ導入予定（設備情報）'!$G:$G,0)-1,0),"")</f>
        <v/>
      </c>
      <c r="E4" s="537" t="str">
        <f ca="1">IFERROR(OFFSET('4.1(2)新規再エネ導入予定（設備情報）'!$I$1,MATCH($C4,'4.1(2)新規再エネ導入予定（設備情報）'!$G:$G,0)-1,0),"")</f>
        <v/>
      </c>
      <c r="F4" s="537" t="str">
        <f ca="1">IFERROR(OFFSET('4.1(2)新規再エネ導入予定（設備情報）'!$J$1,MATCH($C4,'4.1(2)新規再エネ導入予定（設備情報）'!$G:$G,0)-1,0),"")</f>
        <v/>
      </c>
      <c r="G4" s="536" t="str">
        <f ca="1">IFERROR(OFFSET('4.1(2)新規再エネ導入予定（設備情報）'!$L$1,MATCH($C4,'4.1(2)新規再エネ導入予定（設備情報）'!$G:$G,0)-1,0),"")</f>
        <v/>
      </c>
      <c r="H4" s="536" t="str">
        <f ca="1">IFERROR(OFFSET('4.1(2)新規再エネ導入予定（設備情報）'!$M$1,MATCH($C4,'4.1(2)新規再エネ導入予定（設備情報）'!$G:$G,0)-1,0),"")</f>
        <v/>
      </c>
      <c r="I4" s="538" t="str">
        <f ca="1">IFERROR(OFFSET('4.1(2)新規再エネ導入予定（設備情報）'!$P$1,MATCH($C4,'4.1(2)新規再エネ導入予定（設備情報）'!$G:$G,0)-1,0),"")</f>
        <v/>
      </c>
    </row>
    <row r="5" spans="2:9" ht="16.5" customHeight="1">
      <c r="B5" s="1000" t="s">
        <v>178</v>
      </c>
      <c r="C5" s="1002" t="s">
        <v>14</v>
      </c>
      <c r="D5" s="1004" t="s">
        <v>217</v>
      </c>
      <c r="E5" s="1006" t="s">
        <v>216</v>
      </c>
      <c r="F5" s="1007"/>
      <c r="G5" s="1008"/>
      <c r="H5" s="1006" t="s">
        <v>108</v>
      </c>
      <c r="I5" s="1008"/>
    </row>
    <row r="6" spans="2:9" ht="42.75" customHeight="1">
      <c r="B6" s="1001"/>
      <c r="C6" s="1003"/>
      <c r="D6" s="1005"/>
      <c r="E6" s="207" t="s">
        <v>289</v>
      </c>
      <c r="F6" s="208" t="s">
        <v>109</v>
      </c>
      <c r="G6" s="208" t="s">
        <v>110</v>
      </c>
      <c r="H6" s="208" t="s">
        <v>276</v>
      </c>
      <c r="I6" s="207" t="s">
        <v>243</v>
      </c>
    </row>
    <row r="7" spans="2:9" ht="46.5" customHeight="1">
      <c r="B7" s="536" t="str">
        <f ca="1">IFERROR(OFFSET('4.1(2)新規再エネ導入予定（設備情報）'!$O$1,MATCH($C4,'4.1(2)新規再エネ導入予定（設備情報）'!$G:$G,0)-1,0),"")</f>
        <v/>
      </c>
      <c r="C7" s="536" t="str">
        <f ca="1">IFERROR(OFFSET('4.1(2)新規再エネ導入予定（設備情報）'!$R$1,MATCH($C4,'4.1(2)新規再エネ導入予定（設備情報）'!$G:$G,0)-1,0),"")</f>
        <v/>
      </c>
      <c r="D7" s="536" t="str">
        <f ca="1">IFERROR(OFFSET('4.1(2)新規再エネ導入予定（設備情報）'!$S$1,MATCH($C4,'4.1(2)新規再エネ導入予定（設備情報）'!$G:$G,0)-1,0),"")</f>
        <v/>
      </c>
      <c r="E7" s="536" t="str">
        <f ca="1">IF($C4="","",IFERROR(OFFSET('4.1(2)新規再エネ導入予定(FS調査、系統接続検討状況)'!$L$1,MATCH($C4,'4.1(2)新規再エネ導入予定(FS調査、系統接続検討状況)'!$G:$G,0)-1,0),""))</f>
        <v/>
      </c>
      <c r="F7" s="536" t="str">
        <f ca="1">IF($C4="","",IFERROR(OFFSET('4.1(2)新規再エネ導入予定(FS調査、系統接続検討状況)'!$M$1,MATCH($C4,'4.1(2)新規再エネ導入予定(FS調査、系統接続検討状況)'!$G:$G,0)-1,0),""))</f>
        <v/>
      </c>
      <c r="G7" s="536" t="str">
        <f ca="1">IF($C4="","",IFERROR(OFFSET('4.1(2)新規再エネ導入予定(FS調査、系統接続検討状況)'!$N$1,MATCH($C4,'4.1(2)新規再エネ導入予定(FS調査、系統接続検討状況)'!$G:$G,0)-1,0),""))</f>
        <v/>
      </c>
      <c r="H7" s="536" t="str" cm="1">
        <f t="array" aca="1" ref="H7" ca="1">IFERROR(_xlfn.IFS(OR(I7="検討不要",I7="検討未実施",I7="(低圧)申込完了",I7="(低圧)申込準備開始",I7="(低圧)申込準備完了"),"－",COUNTIF(OFFSET('4.1(2)新規再エネ導入予定(FS調査、系統接続検討状況)'!$O$1,MATCH($C4,'4.1(2)新規再エネ導入予定(FS調査、系統接続検討状況)'!$G:$G,0)-1,0),"*単独*")=1,"単独",COUNTIF(OFFSET('4.1(2)新規再エネ導入予定(FS調査、系統接続検討状況)'!$O$1,MATCH($C4,'4.1(2)新規再エネ導入予定(FS調査、系統接続検討状況)'!$G:$G,0)-1,0),"*一括*")=1,"一括検討"),"")</f>
        <v/>
      </c>
      <c r="I7" s="539" t="str">
        <f ca="1">IFERROR(SUBSTITUTE(SUBSTITUTE(OFFSET('4.1(2)新規再エネ導入予定(FS調査、系統接続検討状況)'!$O$1,MATCH($C4,'4.1(2)新規再エネ導入予定(FS調査、系統接続検討状況)'!$G:$G,0)-1,0),"(一括)",""),"(単独)",""),"")</f>
        <v/>
      </c>
    </row>
    <row r="9" spans="2:9" ht="19">
      <c r="B9" s="200" t="s">
        <v>215</v>
      </c>
    </row>
    <row r="10" spans="2:9" ht="21">
      <c r="B10" s="209" t="str">
        <f ca="1">IFERROR(_xlfn.TEXTJOIN(" ",1,C2,B4,C4),"")</f>
        <v/>
      </c>
      <c r="C10" s="210"/>
      <c r="D10" s="210"/>
    </row>
    <row r="11" spans="2:9" ht="28.5" customHeight="1">
      <c r="B11" s="211" t="s">
        <v>214</v>
      </c>
      <c r="C11" s="211"/>
      <c r="D11" s="211" t="s">
        <v>213</v>
      </c>
      <c r="E11" s="211"/>
      <c r="F11" s="211" t="s">
        <v>227</v>
      </c>
      <c r="G11" s="211"/>
      <c r="H11" s="211"/>
      <c r="I11" s="294"/>
    </row>
    <row r="12" spans="2:9" ht="114.65" customHeight="1">
      <c r="B12" s="997" t="s">
        <v>212</v>
      </c>
      <c r="C12" s="212" t="s">
        <v>211</v>
      </c>
      <c r="D12" s="995" t="s">
        <v>210</v>
      </c>
      <c r="E12" s="996"/>
      <c r="F12" s="992"/>
      <c r="G12" s="993"/>
      <c r="H12" s="993"/>
      <c r="I12" s="994"/>
    </row>
    <row r="13" spans="2:9" ht="114.65" customHeight="1">
      <c r="B13" s="997"/>
      <c r="C13" s="213" t="s">
        <v>209</v>
      </c>
      <c r="D13" s="995" t="s">
        <v>208</v>
      </c>
      <c r="E13" s="996"/>
      <c r="F13" s="992"/>
      <c r="G13" s="993"/>
      <c r="H13" s="993"/>
      <c r="I13" s="994"/>
    </row>
    <row r="14" spans="2:9" ht="114.65" customHeight="1">
      <c r="B14" s="998">
        <v>2</v>
      </c>
      <c r="C14" s="998"/>
      <c r="D14" s="995" t="s">
        <v>207</v>
      </c>
      <c r="E14" s="996"/>
      <c r="F14" s="992"/>
      <c r="G14" s="993"/>
      <c r="H14" s="993"/>
      <c r="I14" s="994"/>
    </row>
    <row r="15" spans="2:9" ht="114.65" customHeight="1">
      <c r="B15" s="999">
        <v>3</v>
      </c>
      <c r="C15" s="213" t="s">
        <v>206</v>
      </c>
      <c r="D15" s="995" t="s">
        <v>205</v>
      </c>
      <c r="E15" s="996"/>
      <c r="F15" s="992"/>
      <c r="G15" s="993"/>
      <c r="H15" s="993"/>
      <c r="I15" s="994"/>
    </row>
    <row r="16" spans="2:9" ht="114.65" customHeight="1">
      <c r="B16" s="999"/>
      <c r="C16" s="213" t="s">
        <v>204</v>
      </c>
      <c r="D16" s="995" t="s">
        <v>203</v>
      </c>
      <c r="E16" s="996"/>
      <c r="F16" s="992"/>
      <c r="G16" s="993"/>
      <c r="H16" s="993"/>
      <c r="I16" s="994"/>
    </row>
    <row r="17" spans="1:10" ht="115" customHeight="1">
      <c r="B17" s="998">
        <v>4</v>
      </c>
      <c r="C17" s="998"/>
      <c r="D17" s="995" t="s">
        <v>202</v>
      </c>
      <c r="E17" s="996"/>
      <c r="F17" s="992"/>
      <c r="G17" s="993"/>
      <c r="H17" s="993"/>
      <c r="I17" s="994"/>
    </row>
    <row r="18" spans="1:10" ht="132" customHeight="1">
      <c r="B18" s="998">
        <v>5</v>
      </c>
      <c r="C18" s="998"/>
      <c r="D18" s="995" t="s">
        <v>201</v>
      </c>
      <c r="E18" s="996"/>
      <c r="F18" s="992"/>
      <c r="G18" s="993"/>
      <c r="H18" s="993"/>
      <c r="I18" s="994"/>
    </row>
    <row r="20" spans="1:10">
      <c r="A20" s="214"/>
      <c r="B20" s="214"/>
      <c r="C20" s="214"/>
      <c r="D20" s="214"/>
      <c r="E20" s="214"/>
      <c r="F20" s="214"/>
      <c r="G20" s="214"/>
      <c r="H20" s="214"/>
      <c r="I20" s="295"/>
      <c r="J20" s="214"/>
    </row>
    <row r="21" spans="1:10" ht="23.5">
      <c r="B21" s="202" t="s">
        <v>27</v>
      </c>
      <c r="C21" s="202" t="str">
        <f ca="1">IFERROR(OFFSET('4.1(2)新規再エネ導入予定（設備情報）'!$X$1,MATCH(COUNTIF($B$1:B21,"発電方式"),'4.1(2)新規再エネ導入予定（設備情報）'!$AK:$AK,0)-1,0),"")</f>
        <v/>
      </c>
      <c r="D21" s="203"/>
    </row>
    <row r="22" spans="1:10" ht="39.75" customHeight="1">
      <c r="B22" s="204" t="s">
        <v>8</v>
      </c>
      <c r="C22" s="204" t="s">
        <v>182</v>
      </c>
      <c r="D22" s="205" t="s">
        <v>181</v>
      </c>
      <c r="E22" s="204" t="s">
        <v>9</v>
      </c>
      <c r="F22" s="206" t="s">
        <v>10</v>
      </c>
      <c r="G22" s="205" t="s">
        <v>31</v>
      </c>
      <c r="H22" s="204" t="s">
        <v>13</v>
      </c>
      <c r="I22" s="206" t="s">
        <v>81</v>
      </c>
    </row>
    <row r="23" spans="1:10" ht="36" customHeight="1">
      <c r="B23" s="535" t="str">
        <f ca="1">IFERROR(OFFSET('4.1(2)新規再エネ導入予定（設備情報）'!$F$1,MATCH($C23,'4.1(2)新規再エネ導入予定（設備情報）'!$G:$G,0)-1,0),"")</f>
        <v/>
      </c>
      <c r="C23" s="536" t="str">
        <f ca="1">IFERROR(OFFSET('4.1(2)新規再エネ導入予定（設備情報）'!$G$7,MATCH(COUNTIF($B$1:B21,"発電方式"),'4.1(2)新規再エネ導入予定（設備情報）'!$AK$8:$AK$1000,0),0),"")</f>
        <v/>
      </c>
      <c r="D23" s="535" t="str">
        <f ca="1">IFERROR(OFFSET('4.1(2)新規再エネ導入予定（設備情報）'!$H$1,MATCH($C23,'4.1(2)新規再エネ導入予定（設備情報）'!$G:$G,0)-1,0),"")</f>
        <v/>
      </c>
      <c r="E23" s="537" t="str">
        <f ca="1">IFERROR(OFFSET('4.1(2)新規再エネ導入予定（設備情報）'!$I$1,MATCH($C23,'4.1(2)新規再エネ導入予定（設備情報）'!$G:$G,0)-1,0),"")</f>
        <v/>
      </c>
      <c r="F23" s="537" t="str">
        <f ca="1">IFERROR(OFFSET('4.1(2)新規再エネ導入予定（設備情報）'!$J$1,MATCH($C23,'4.1(2)新規再エネ導入予定（設備情報）'!$G:$G,0)-1,0),"")</f>
        <v/>
      </c>
      <c r="G23" s="536" t="str">
        <f ca="1">IFERROR(OFFSET('4.1(2)新規再エネ導入予定（設備情報）'!$L$1,MATCH($C23,'4.1(2)新規再エネ導入予定（設備情報）'!$G:$G,0)-1,0),"")</f>
        <v/>
      </c>
      <c r="H23" s="536" t="str">
        <f ca="1">IFERROR(OFFSET('4.1(2)新規再エネ導入予定（設備情報）'!$M$1,MATCH($C23,'4.1(2)新規再エネ導入予定（設備情報）'!$G:$G,0)-1,0),"")</f>
        <v/>
      </c>
      <c r="I23" s="538" t="str">
        <f ca="1">IFERROR(OFFSET('4.1(2)新規再エネ導入予定（設備情報）'!$P$1,MATCH($C23,'4.1(2)新規再エネ導入予定（設備情報）'!$G:$G,0)-1,0),"")</f>
        <v/>
      </c>
    </row>
    <row r="24" spans="1:10" ht="16.5" customHeight="1">
      <c r="B24" s="1000" t="s">
        <v>178</v>
      </c>
      <c r="C24" s="1002" t="s">
        <v>14</v>
      </c>
      <c r="D24" s="1004" t="s">
        <v>217</v>
      </c>
      <c r="E24" s="1006" t="s">
        <v>216</v>
      </c>
      <c r="F24" s="1007"/>
      <c r="G24" s="1008"/>
      <c r="H24" s="1006" t="s">
        <v>108</v>
      </c>
      <c r="I24" s="1008"/>
    </row>
    <row r="25" spans="1:10" ht="42.75" customHeight="1">
      <c r="B25" s="1001"/>
      <c r="C25" s="1003"/>
      <c r="D25" s="1005"/>
      <c r="E25" s="207" t="s">
        <v>289</v>
      </c>
      <c r="F25" s="208" t="s">
        <v>109</v>
      </c>
      <c r="G25" s="208" t="s">
        <v>110</v>
      </c>
      <c r="H25" s="208" t="s">
        <v>276</v>
      </c>
      <c r="I25" s="207" t="s">
        <v>243</v>
      </c>
    </row>
    <row r="26" spans="1:10" ht="46.5" customHeight="1">
      <c r="B26" s="536" t="str">
        <f ca="1">IFERROR(OFFSET('4.1(2)新規再エネ導入予定（設備情報）'!$O$1,MATCH($C23,'4.1(2)新規再エネ導入予定（設備情報）'!$G:$G,0)-1,0),"")</f>
        <v/>
      </c>
      <c r="C26" s="536" t="str">
        <f ca="1">IFERROR(OFFSET('4.1(2)新規再エネ導入予定（設備情報）'!$R$1,MATCH($C23,'4.1(2)新規再エネ導入予定（設備情報）'!$G:$G,0)-1,0),"")</f>
        <v/>
      </c>
      <c r="D26" s="536" t="str">
        <f ca="1">IFERROR(OFFSET('4.1(2)新規再エネ導入予定（設備情報）'!$S$1,MATCH($C23,'4.1(2)新規再エネ導入予定（設備情報）'!$G:$G,0)-1,0),"")</f>
        <v/>
      </c>
      <c r="E26" s="536" t="str">
        <f ca="1">IF($C23="","",IFERROR(OFFSET('4.1(2)新規再エネ導入予定(FS調査、系統接続検討状況)'!$L$1,MATCH($C23,'4.1(2)新規再エネ導入予定(FS調査、系統接続検討状況)'!$G:$G,0)-1,0),""))</f>
        <v/>
      </c>
      <c r="F26" s="536" t="str">
        <f ca="1">IF($C23="","",IFERROR(OFFSET('4.1(2)新規再エネ導入予定(FS調査、系統接続検討状況)'!$M$1,MATCH($C23,'4.1(2)新規再エネ導入予定(FS調査、系統接続検討状況)'!$G:$G,0)-1,0),""))</f>
        <v/>
      </c>
      <c r="G26" s="536" t="str">
        <f ca="1">IF($C23="","",IFERROR(OFFSET('4.1(2)新規再エネ導入予定(FS調査、系統接続検討状況)'!$N$1,MATCH($C23,'4.1(2)新規再エネ導入予定(FS調査、系統接続検討状況)'!$G:$G,0)-1,0),""))</f>
        <v/>
      </c>
      <c r="H26" s="536" t="str" cm="1">
        <f t="array" aca="1" ref="H26" ca="1">IFERROR(_xlfn.IFS(OR(I26="検討不要",I26="検討未実施",I26="(低圧)申込完了",I26="(低圧)申込準備開始",I26="(低圧)申込準備完了"),"－",COUNTIF(OFFSET('4.1(2)新規再エネ導入予定(FS調査、系統接続検討状況)'!$O$1,MATCH($C23,'4.1(2)新規再エネ導入予定(FS調査、系統接続検討状況)'!$G:$G,0)-1,0),"*単独*")=1,"単独",COUNTIF(OFFSET('4.1(2)新規再エネ導入予定(FS調査、系統接続検討状況)'!$O$1,MATCH($C23,'4.1(2)新規再エネ導入予定(FS調査、系統接続検討状況)'!$G:$G,0)-1,0),"*一括*")=1,"一括検討"),"")</f>
        <v/>
      </c>
      <c r="I26" s="539" t="str">
        <f ca="1">IFERROR(SUBSTITUTE(SUBSTITUTE(OFFSET('4.1(2)新規再エネ導入予定(FS調査、系統接続検討状況)'!$O$1,MATCH($C23,'4.1(2)新規再エネ導入予定(FS調査、系統接続検討状況)'!$G:$G,0)-1,0),"(一括)",""),"(単独)",""),"")</f>
        <v/>
      </c>
    </row>
    <row r="28" spans="1:10" ht="18.75" customHeight="1">
      <c r="B28" s="200" t="s">
        <v>215</v>
      </c>
    </row>
    <row r="29" spans="1:10" ht="21">
      <c r="B29" s="209" t="str">
        <f ca="1">IFERROR(_xlfn.TEXTJOIN(" ",1,C21,B23,C23),"")</f>
        <v/>
      </c>
      <c r="C29" s="210"/>
      <c r="D29" s="210"/>
    </row>
    <row r="30" spans="1:10" ht="28.5" customHeight="1">
      <c r="B30" s="211" t="s">
        <v>214</v>
      </c>
      <c r="C30" s="211"/>
      <c r="D30" s="211" t="s">
        <v>213</v>
      </c>
      <c r="E30" s="211"/>
      <c r="F30" s="211" t="s">
        <v>227</v>
      </c>
      <c r="G30" s="211"/>
      <c r="H30" s="211"/>
      <c r="I30" s="294"/>
    </row>
    <row r="31" spans="1:10" ht="114.65" customHeight="1">
      <c r="B31" s="997" t="s">
        <v>212</v>
      </c>
      <c r="C31" s="212" t="s">
        <v>211</v>
      </c>
      <c r="D31" s="995" t="s">
        <v>210</v>
      </c>
      <c r="E31" s="996"/>
      <c r="F31" s="992"/>
      <c r="G31" s="993"/>
      <c r="H31" s="993"/>
      <c r="I31" s="994"/>
    </row>
    <row r="32" spans="1:10" ht="114.65" customHeight="1">
      <c r="B32" s="997"/>
      <c r="C32" s="213" t="s">
        <v>209</v>
      </c>
      <c r="D32" s="995" t="s">
        <v>208</v>
      </c>
      <c r="E32" s="996"/>
      <c r="F32" s="992"/>
      <c r="G32" s="993"/>
      <c r="H32" s="993"/>
      <c r="I32" s="994"/>
    </row>
    <row r="33" spans="1:10" ht="114.65" customHeight="1">
      <c r="B33" s="998">
        <v>2</v>
      </c>
      <c r="C33" s="998"/>
      <c r="D33" s="995" t="s">
        <v>207</v>
      </c>
      <c r="E33" s="996"/>
      <c r="F33" s="992"/>
      <c r="G33" s="993"/>
      <c r="H33" s="993"/>
      <c r="I33" s="994"/>
    </row>
    <row r="34" spans="1:10" ht="114.65" customHeight="1">
      <c r="B34" s="999">
        <v>3</v>
      </c>
      <c r="C34" s="213" t="s">
        <v>206</v>
      </c>
      <c r="D34" s="995" t="s">
        <v>205</v>
      </c>
      <c r="E34" s="996"/>
      <c r="F34" s="992"/>
      <c r="G34" s="993"/>
      <c r="H34" s="993"/>
      <c r="I34" s="994"/>
    </row>
    <row r="35" spans="1:10" ht="114.65" customHeight="1">
      <c r="B35" s="999"/>
      <c r="C35" s="213" t="s">
        <v>204</v>
      </c>
      <c r="D35" s="995" t="s">
        <v>203</v>
      </c>
      <c r="E35" s="996"/>
      <c r="F35" s="992"/>
      <c r="G35" s="993"/>
      <c r="H35" s="993"/>
      <c r="I35" s="994"/>
    </row>
    <row r="36" spans="1:10" ht="115" customHeight="1">
      <c r="B36" s="998">
        <v>4</v>
      </c>
      <c r="C36" s="998"/>
      <c r="D36" s="995" t="s">
        <v>202</v>
      </c>
      <c r="E36" s="996"/>
      <c r="F36" s="992"/>
      <c r="G36" s="993"/>
      <c r="H36" s="993"/>
      <c r="I36" s="994"/>
    </row>
    <row r="37" spans="1:10" ht="132" customHeight="1">
      <c r="B37" s="998">
        <v>5</v>
      </c>
      <c r="C37" s="998"/>
      <c r="D37" s="995" t="s">
        <v>201</v>
      </c>
      <c r="E37" s="996"/>
      <c r="F37" s="992"/>
      <c r="G37" s="993"/>
      <c r="H37" s="993"/>
      <c r="I37" s="994"/>
    </row>
    <row r="39" spans="1:10">
      <c r="A39" s="214"/>
      <c r="B39" s="214"/>
      <c r="C39" s="214"/>
      <c r="D39" s="214"/>
      <c r="E39" s="214"/>
      <c r="F39" s="214"/>
      <c r="G39" s="214"/>
      <c r="H39" s="214"/>
      <c r="I39" s="295"/>
      <c r="J39" s="214"/>
    </row>
    <row r="40" spans="1:10" ht="23.5">
      <c r="B40" s="202" t="s">
        <v>27</v>
      </c>
      <c r="C40" s="202" t="str">
        <f ca="1">IFERROR(OFFSET('4.1(2)新規再エネ導入予定（設備情報）'!$X$1,MATCH(COUNTIF($B$1:B40,"発電方式"),'4.1(2)新規再エネ導入予定（設備情報）'!$AK:$AK,0)-1,0),"")</f>
        <v/>
      </c>
      <c r="D40" s="203"/>
    </row>
    <row r="41" spans="1:10" ht="39.75" customHeight="1">
      <c r="B41" s="204" t="s">
        <v>8</v>
      </c>
      <c r="C41" s="204" t="s">
        <v>182</v>
      </c>
      <c r="D41" s="205" t="s">
        <v>181</v>
      </c>
      <c r="E41" s="204" t="s">
        <v>9</v>
      </c>
      <c r="F41" s="206" t="s">
        <v>10</v>
      </c>
      <c r="G41" s="205" t="s">
        <v>31</v>
      </c>
      <c r="H41" s="204" t="s">
        <v>13</v>
      </c>
      <c r="I41" s="206" t="s">
        <v>81</v>
      </c>
    </row>
    <row r="42" spans="1:10" ht="36" customHeight="1">
      <c r="B42" s="535" t="str">
        <f ca="1">IFERROR(OFFSET('4.1(2)新規再エネ導入予定（設備情報）'!$F$1,MATCH($C42,'4.1(2)新規再エネ導入予定（設備情報）'!$G:$G,0)-1,0),"")</f>
        <v/>
      </c>
      <c r="C42" s="536" t="str">
        <f ca="1">IFERROR(OFFSET('4.1(2)新規再エネ導入予定（設備情報）'!$G$7,MATCH(COUNTIF($B$1:B40,"発電方式"),'4.1(2)新規再エネ導入予定（設備情報）'!$AK$8:$AK$1000,0),0),"")</f>
        <v/>
      </c>
      <c r="D42" s="535" t="str">
        <f ca="1">IFERROR(OFFSET('4.1(2)新規再エネ導入予定（設備情報）'!$H$1,MATCH($C42,'4.1(2)新規再エネ導入予定（設備情報）'!$G:$G,0)-1,0),"")</f>
        <v/>
      </c>
      <c r="E42" s="537" t="str">
        <f ca="1">IFERROR(OFFSET('4.1(2)新規再エネ導入予定（設備情報）'!$I$1,MATCH($C42,'4.1(2)新規再エネ導入予定（設備情報）'!$G:$G,0)-1,0),"")</f>
        <v/>
      </c>
      <c r="F42" s="537" t="str">
        <f ca="1">IFERROR(OFFSET('4.1(2)新規再エネ導入予定（設備情報）'!$J$1,MATCH($C42,'4.1(2)新規再エネ導入予定（設備情報）'!$G:$G,0)-1,0),"")</f>
        <v/>
      </c>
      <c r="G42" s="536" t="str">
        <f ca="1">IFERROR(OFFSET('4.1(2)新規再エネ導入予定（設備情報）'!$L$1,MATCH($C42,'4.1(2)新規再エネ導入予定（設備情報）'!$G:$G,0)-1,0),"")</f>
        <v/>
      </c>
      <c r="H42" s="536" t="str">
        <f ca="1">IFERROR(OFFSET('4.1(2)新規再エネ導入予定（設備情報）'!$M$1,MATCH($C42,'4.1(2)新規再エネ導入予定（設備情報）'!$G:$G,0)-1,0),"")</f>
        <v/>
      </c>
      <c r="I42" s="538" t="str">
        <f ca="1">IFERROR(OFFSET('4.1(2)新規再エネ導入予定（設備情報）'!$P$1,MATCH($C42,'4.1(2)新規再エネ導入予定（設備情報）'!$G:$G,0)-1,0),"")</f>
        <v/>
      </c>
    </row>
    <row r="43" spans="1:10" ht="16.5" customHeight="1">
      <c r="B43" s="1000" t="s">
        <v>178</v>
      </c>
      <c r="C43" s="1002" t="s">
        <v>14</v>
      </c>
      <c r="D43" s="1004" t="s">
        <v>217</v>
      </c>
      <c r="E43" s="1006" t="s">
        <v>216</v>
      </c>
      <c r="F43" s="1007"/>
      <c r="G43" s="1008"/>
      <c r="H43" s="1006" t="s">
        <v>108</v>
      </c>
      <c r="I43" s="1008"/>
    </row>
    <row r="44" spans="1:10" ht="42.75" customHeight="1">
      <c r="B44" s="1001"/>
      <c r="C44" s="1003"/>
      <c r="D44" s="1005"/>
      <c r="E44" s="207" t="s">
        <v>289</v>
      </c>
      <c r="F44" s="208" t="s">
        <v>109</v>
      </c>
      <c r="G44" s="208" t="s">
        <v>110</v>
      </c>
      <c r="H44" s="208" t="s">
        <v>276</v>
      </c>
      <c r="I44" s="207" t="s">
        <v>243</v>
      </c>
    </row>
    <row r="45" spans="1:10" ht="46.5" customHeight="1">
      <c r="B45" s="536" t="str">
        <f ca="1">IFERROR(OFFSET('4.1(2)新規再エネ導入予定（設備情報）'!$O$1,MATCH($C42,'4.1(2)新規再エネ導入予定（設備情報）'!$G:$G,0)-1,0),"")</f>
        <v/>
      </c>
      <c r="C45" s="536" t="str">
        <f ca="1">IFERROR(OFFSET('4.1(2)新規再エネ導入予定（設備情報）'!$R$1,MATCH($C42,'4.1(2)新規再エネ導入予定（設備情報）'!$G:$G,0)-1,0),"")</f>
        <v/>
      </c>
      <c r="D45" s="536" t="str">
        <f ca="1">IFERROR(OFFSET('4.1(2)新規再エネ導入予定（設備情報）'!$S$1,MATCH($C42,'4.1(2)新規再エネ導入予定（設備情報）'!$G:$G,0)-1,0),"")</f>
        <v/>
      </c>
      <c r="E45" s="536" t="str">
        <f ca="1">IF($C42="","",IFERROR(OFFSET('4.1(2)新規再エネ導入予定(FS調査、系統接続検討状況)'!$L$1,MATCH($C42,'4.1(2)新規再エネ導入予定(FS調査、系統接続検討状況)'!$G:$G,0)-1,0),""))</f>
        <v/>
      </c>
      <c r="F45" s="536" t="str">
        <f ca="1">IF($C42="","",IFERROR(OFFSET('4.1(2)新規再エネ導入予定(FS調査、系統接続検討状況)'!$M$1,MATCH($C42,'4.1(2)新規再エネ導入予定(FS調査、系統接続検討状況)'!$G:$G,0)-1,0),""))</f>
        <v/>
      </c>
      <c r="G45" s="536" t="str">
        <f ca="1">IF($C42="","",IFERROR(OFFSET('4.1(2)新規再エネ導入予定(FS調査、系統接続検討状況)'!$N$1,MATCH($C42,'4.1(2)新規再エネ導入予定(FS調査、系統接続検討状況)'!$G:$G,0)-1,0),""))</f>
        <v/>
      </c>
      <c r="H45" s="536" t="str" cm="1">
        <f t="array" aca="1" ref="H45" ca="1">IFERROR(_xlfn.IFS(OR(I45="検討不要",I45="検討未実施",I45="(低圧)申込完了",I45="(低圧)申込準備開始",I45="(低圧)申込準備完了"),"－",COUNTIF(OFFSET('4.1(2)新規再エネ導入予定(FS調査、系統接続検討状況)'!$O$1,MATCH($C42,'4.1(2)新規再エネ導入予定(FS調査、系統接続検討状況)'!$G:$G,0)-1,0),"*単独*")=1,"単独",COUNTIF(OFFSET('4.1(2)新規再エネ導入予定(FS調査、系統接続検討状況)'!$O$1,MATCH($C42,'4.1(2)新規再エネ導入予定(FS調査、系統接続検討状況)'!$G:$G,0)-1,0),"*一括*")=1,"一括検討"),"")</f>
        <v/>
      </c>
      <c r="I45" s="539" t="str">
        <f ca="1">IFERROR(SUBSTITUTE(SUBSTITUTE(OFFSET('4.1(2)新規再エネ導入予定(FS調査、系統接続検討状況)'!$O$1,MATCH($C42,'4.1(2)新規再エネ導入予定(FS調査、系統接続検討状況)'!$G:$G,0)-1,0),"(一括)",""),"(単独)",""),"")</f>
        <v/>
      </c>
    </row>
    <row r="47" spans="1:10" ht="19">
      <c r="B47" s="200" t="s">
        <v>215</v>
      </c>
    </row>
    <row r="48" spans="1:10" ht="21">
      <c r="B48" s="209" t="str">
        <f ca="1">IFERROR(_xlfn.TEXTJOIN(" ",1,C40,B42,C42),"")</f>
        <v/>
      </c>
      <c r="C48" s="210"/>
      <c r="D48" s="210"/>
    </row>
    <row r="49" spans="1:10" ht="28.5" customHeight="1">
      <c r="B49" s="211" t="s">
        <v>214</v>
      </c>
      <c r="C49" s="211"/>
      <c r="D49" s="211" t="s">
        <v>213</v>
      </c>
      <c r="E49" s="211"/>
      <c r="F49" s="211" t="s">
        <v>227</v>
      </c>
      <c r="G49" s="211"/>
      <c r="H49" s="211"/>
      <c r="I49" s="294"/>
    </row>
    <row r="50" spans="1:10" ht="114.65" customHeight="1">
      <c r="B50" s="997" t="s">
        <v>212</v>
      </c>
      <c r="C50" s="212" t="s">
        <v>211</v>
      </c>
      <c r="D50" s="995" t="s">
        <v>210</v>
      </c>
      <c r="E50" s="996"/>
      <c r="F50" s="992"/>
      <c r="G50" s="993"/>
      <c r="H50" s="993"/>
      <c r="I50" s="994"/>
    </row>
    <row r="51" spans="1:10" ht="114.65" customHeight="1">
      <c r="B51" s="997"/>
      <c r="C51" s="213" t="s">
        <v>209</v>
      </c>
      <c r="D51" s="995" t="s">
        <v>208</v>
      </c>
      <c r="E51" s="996"/>
      <c r="F51" s="992"/>
      <c r="G51" s="993"/>
      <c r="H51" s="993"/>
      <c r="I51" s="994"/>
    </row>
    <row r="52" spans="1:10" ht="114.65" customHeight="1">
      <c r="B52" s="998">
        <v>2</v>
      </c>
      <c r="C52" s="998"/>
      <c r="D52" s="995" t="s">
        <v>207</v>
      </c>
      <c r="E52" s="996"/>
      <c r="F52" s="992"/>
      <c r="G52" s="993"/>
      <c r="H52" s="993"/>
      <c r="I52" s="994"/>
    </row>
    <row r="53" spans="1:10" ht="114.65" customHeight="1">
      <c r="B53" s="999">
        <v>3</v>
      </c>
      <c r="C53" s="213" t="s">
        <v>206</v>
      </c>
      <c r="D53" s="995" t="s">
        <v>205</v>
      </c>
      <c r="E53" s="996"/>
      <c r="F53" s="992"/>
      <c r="G53" s="993"/>
      <c r="H53" s="993"/>
      <c r="I53" s="994"/>
    </row>
    <row r="54" spans="1:10" ht="114.65" customHeight="1">
      <c r="B54" s="999"/>
      <c r="C54" s="213" t="s">
        <v>204</v>
      </c>
      <c r="D54" s="995" t="s">
        <v>203</v>
      </c>
      <c r="E54" s="996"/>
      <c r="F54" s="992"/>
      <c r="G54" s="993"/>
      <c r="H54" s="993"/>
      <c r="I54" s="994"/>
    </row>
    <row r="55" spans="1:10" ht="115" customHeight="1">
      <c r="B55" s="998">
        <v>4</v>
      </c>
      <c r="C55" s="998"/>
      <c r="D55" s="995" t="s">
        <v>202</v>
      </c>
      <c r="E55" s="996"/>
      <c r="F55" s="992"/>
      <c r="G55" s="993"/>
      <c r="H55" s="993"/>
      <c r="I55" s="994"/>
    </row>
    <row r="56" spans="1:10" ht="132" customHeight="1">
      <c r="B56" s="998">
        <v>5</v>
      </c>
      <c r="C56" s="998"/>
      <c r="D56" s="995" t="s">
        <v>201</v>
      </c>
      <c r="E56" s="996"/>
      <c r="F56" s="992"/>
      <c r="G56" s="993"/>
      <c r="H56" s="993"/>
      <c r="I56" s="994"/>
    </row>
    <row r="58" spans="1:10">
      <c r="A58" s="214"/>
      <c r="B58" s="214"/>
      <c r="C58" s="214"/>
      <c r="D58" s="214"/>
      <c r="E58" s="214"/>
      <c r="F58" s="214"/>
      <c r="G58" s="214"/>
      <c r="H58" s="214"/>
      <c r="I58" s="295"/>
      <c r="J58" s="214"/>
    </row>
    <row r="59" spans="1:10" ht="23.5">
      <c r="B59" s="202" t="s">
        <v>27</v>
      </c>
      <c r="C59" s="202" t="str">
        <f ca="1">IFERROR(OFFSET('4.1(2)新規再エネ導入予定（設備情報）'!$X$1,MATCH(COUNTIF($B$1:B59,"発電方式"),'4.1(2)新規再エネ導入予定（設備情報）'!$AK:$AK,0)-1,0),"")</f>
        <v/>
      </c>
      <c r="D59" s="203"/>
    </row>
    <row r="60" spans="1:10" ht="39.75" customHeight="1">
      <c r="B60" s="204" t="s">
        <v>8</v>
      </c>
      <c r="C60" s="204" t="s">
        <v>182</v>
      </c>
      <c r="D60" s="205" t="s">
        <v>181</v>
      </c>
      <c r="E60" s="204" t="s">
        <v>9</v>
      </c>
      <c r="F60" s="206" t="s">
        <v>10</v>
      </c>
      <c r="G60" s="205" t="s">
        <v>31</v>
      </c>
      <c r="H60" s="204" t="s">
        <v>13</v>
      </c>
      <c r="I60" s="206" t="s">
        <v>81</v>
      </c>
    </row>
    <row r="61" spans="1:10" ht="36" customHeight="1">
      <c r="B61" s="535" t="str">
        <f ca="1">IFERROR(OFFSET('4.1(2)新規再エネ導入予定（設備情報）'!$F$1,MATCH($C61,'4.1(2)新規再エネ導入予定（設備情報）'!$G:$G,0)-1,0),"")</f>
        <v/>
      </c>
      <c r="C61" s="536" t="str">
        <f ca="1">IFERROR(OFFSET('4.1(2)新規再エネ導入予定（設備情報）'!$G$7,MATCH(COUNTIF($B$1:B59,"発電方式"),'4.1(2)新規再エネ導入予定（設備情報）'!$AK$8:$AK$1000,0),0),"")</f>
        <v/>
      </c>
      <c r="D61" s="535" t="str">
        <f ca="1">IFERROR(OFFSET('4.1(2)新規再エネ導入予定（設備情報）'!$H$1,MATCH($C61,'4.1(2)新規再エネ導入予定（設備情報）'!$G:$G,0)-1,0),"")</f>
        <v/>
      </c>
      <c r="E61" s="537" t="str">
        <f ca="1">IFERROR(OFFSET('4.1(2)新規再エネ導入予定（設備情報）'!$I$1,MATCH($C61,'4.1(2)新規再エネ導入予定（設備情報）'!$G:$G,0)-1,0),"")</f>
        <v/>
      </c>
      <c r="F61" s="537" t="str">
        <f ca="1">IFERROR(OFFSET('4.1(2)新規再エネ導入予定（設備情報）'!$J$1,MATCH($C61,'4.1(2)新規再エネ導入予定（設備情報）'!$G:$G,0)-1,0),"")</f>
        <v/>
      </c>
      <c r="G61" s="536" t="str">
        <f ca="1">IFERROR(OFFSET('4.1(2)新規再エネ導入予定（設備情報）'!$L$1,MATCH($C61,'4.1(2)新規再エネ導入予定（設備情報）'!$G:$G,0)-1,0),"")</f>
        <v/>
      </c>
      <c r="H61" s="536" t="str">
        <f ca="1">IFERROR(OFFSET('4.1(2)新規再エネ導入予定（設備情報）'!$M$1,MATCH($C61,'4.1(2)新規再エネ導入予定（設備情報）'!$G:$G,0)-1,0),"")</f>
        <v/>
      </c>
      <c r="I61" s="538" t="str">
        <f ca="1">IFERROR(OFFSET('4.1(2)新規再エネ導入予定（設備情報）'!$P$1,MATCH($C61,'4.1(2)新規再エネ導入予定（設備情報）'!$G:$G,0)-1,0),"")</f>
        <v/>
      </c>
    </row>
    <row r="62" spans="1:10" ht="16.5" customHeight="1">
      <c r="B62" s="1000" t="s">
        <v>178</v>
      </c>
      <c r="C62" s="1002" t="s">
        <v>14</v>
      </c>
      <c r="D62" s="1004" t="s">
        <v>217</v>
      </c>
      <c r="E62" s="1006" t="s">
        <v>216</v>
      </c>
      <c r="F62" s="1007"/>
      <c r="G62" s="1008"/>
      <c r="H62" s="1006" t="s">
        <v>108</v>
      </c>
      <c r="I62" s="1008"/>
    </row>
    <row r="63" spans="1:10" ht="42.75" customHeight="1">
      <c r="B63" s="1001"/>
      <c r="C63" s="1003"/>
      <c r="D63" s="1005"/>
      <c r="E63" s="207" t="s">
        <v>289</v>
      </c>
      <c r="F63" s="208" t="s">
        <v>109</v>
      </c>
      <c r="G63" s="208" t="s">
        <v>110</v>
      </c>
      <c r="H63" s="208" t="s">
        <v>276</v>
      </c>
      <c r="I63" s="207" t="s">
        <v>243</v>
      </c>
    </row>
    <row r="64" spans="1:10" ht="46.5" customHeight="1">
      <c r="B64" s="536" t="str">
        <f ca="1">IFERROR(OFFSET('4.1(2)新規再エネ導入予定（設備情報）'!$O$1,MATCH($C61,'4.1(2)新規再エネ導入予定（設備情報）'!$G:$G,0)-1,0),"")</f>
        <v/>
      </c>
      <c r="C64" s="536" t="str">
        <f ca="1">IFERROR(OFFSET('4.1(2)新規再エネ導入予定（設備情報）'!$R$1,MATCH($C61,'4.1(2)新規再エネ導入予定（設備情報）'!$G:$G,0)-1,0),"")</f>
        <v/>
      </c>
      <c r="D64" s="536" t="str">
        <f ca="1">IFERROR(OFFSET('4.1(2)新規再エネ導入予定（設備情報）'!$S$1,MATCH($C61,'4.1(2)新規再エネ導入予定（設備情報）'!$G:$G,0)-1,0),"")</f>
        <v/>
      </c>
      <c r="E64" s="536" t="str">
        <f ca="1">IF($C61="","",IFERROR(OFFSET('4.1(2)新規再エネ導入予定(FS調査、系統接続検討状況)'!$L$1,MATCH($C61,'4.1(2)新規再エネ導入予定(FS調査、系統接続検討状況)'!$G:$G,0)-1,0),""))</f>
        <v/>
      </c>
      <c r="F64" s="536" t="str">
        <f ca="1">IF($C61="","",IFERROR(OFFSET('4.1(2)新規再エネ導入予定(FS調査、系統接続検討状況)'!$M$1,MATCH($C61,'4.1(2)新規再エネ導入予定(FS調査、系統接続検討状況)'!$G:$G,0)-1,0),""))</f>
        <v/>
      </c>
      <c r="G64" s="536" t="str">
        <f ca="1">IF($C61="","",IFERROR(OFFSET('4.1(2)新規再エネ導入予定(FS調査、系統接続検討状況)'!$N$1,MATCH($C61,'4.1(2)新規再エネ導入予定(FS調査、系統接続検討状況)'!$G:$G,0)-1,0),""))</f>
        <v/>
      </c>
      <c r="H64" s="536" t="str" cm="1">
        <f t="array" aca="1" ref="H64" ca="1">IFERROR(_xlfn.IFS(OR(I64="検討不要",I64="検討未実施",I64="(低圧)申込完了",I64="(低圧)申込準備開始",I64="(低圧)申込準備完了"),"－",COUNTIF(OFFSET('4.1(2)新規再エネ導入予定(FS調査、系統接続検討状況)'!$O$1,MATCH($C61,'4.1(2)新規再エネ導入予定(FS調査、系統接続検討状況)'!$G:$G,0)-1,0),"*単独*")=1,"単独",COUNTIF(OFFSET('4.1(2)新規再エネ導入予定(FS調査、系統接続検討状況)'!$O$1,MATCH($C61,'4.1(2)新規再エネ導入予定(FS調査、系統接続検討状況)'!$G:$G,0)-1,0),"*一括*")=1,"一括検討"),"")</f>
        <v/>
      </c>
      <c r="I64" s="539" t="str">
        <f ca="1">IFERROR(SUBSTITUTE(SUBSTITUTE(OFFSET('4.1(2)新規再エネ導入予定(FS調査、系統接続検討状況)'!$O$1,MATCH($C61,'4.1(2)新規再エネ導入予定(FS調査、系統接続検討状況)'!$G:$G,0)-1,0),"(一括)",""),"(単独)",""),"")</f>
        <v/>
      </c>
    </row>
    <row r="66" spans="1:10" ht="19">
      <c r="B66" s="200" t="s">
        <v>215</v>
      </c>
    </row>
    <row r="67" spans="1:10" ht="21">
      <c r="B67" s="209" t="str">
        <f ca="1">IFERROR(_xlfn.TEXTJOIN(" ",1,C59,B61,C61),"")</f>
        <v/>
      </c>
      <c r="C67" s="210"/>
      <c r="D67" s="210"/>
    </row>
    <row r="68" spans="1:10" ht="28.5" customHeight="1">
      <c r="B68" s="211" t="s">
        <v>214</v>
      </c>
      <c r="C68" s="211"/>
      <c r="D68" s="211" t="s">
        <v>213</v>
      </c>
      <c r="E68" s="211"/>
      <c r="F68" s="211" t="s">
        <v>227</v>
      </c>
      <c r="G68" s="211"/>
      <c r="H68" s="211"/>
      <c r="I68" s="294"/>
    </row>
    <row r="69" spans="1:10" ht="114.65" customHeight="1">
      <c r="B69" s="997" t="s">
        <v>212</v>
      </c>
      <c r="C69" s="212" t="s">
        <v>211</v>
      </c>
      <c r="D69" s="995" t="s">
        <v>210</v>
      </c>
      <c r="E69" s="996"/>
      <c r="F69" s="992"/>
      <c r="G69" s="993"/>
      <c r="H69" s="993"/>
      <c r="I69" s="994"/>
    </row>
    <row r="70" spans="1:10" ht="114.65" customHeight="1">
      <c r="B70" s="997"/>
      <c r="C70" s="213" t="s">
        <v>209</v>
      </c>
      <c r="D70" s="995" t="s">
        <v>208</v>
      </c>
      <c r="E70" s="996"/>
      <c r="F70" s="992"/>
      <c r="G70" s="993"/>
      <c r="H70" s="993"/>
      <c r="I70" s="994"/>
    </row>
    <row r="71" spans="1:10" ht="114.65" customHeight="1">
      <c r="B71" s="998">
        <v>2</v>
      </c>
      <c r="C71" s="998"/>
      <c r="D71" s="995" t="s">
        <v>207</v>
      </c>
      <c r="E71" s="996"/>
      <c r="F71" s="992"/>
      <c r="G71" s="993"/>
      <c r="H71" s="993"/>
      <c r="I71" s="994"/>
    </row>
    <row r="72" spans="1:10" ht="114.65" customHeight="1">
      <c r="B72" s="999">
        <v>3</v>
      </c>
      <c r="C72" s="213" t="s">
        <v>206</v>
      </c>
      <c r="D72" s="995" t="s">
        <v>205</v>
      </c>
      <c r="E72" s="996"/>
      <c r="F72" s="992"/>
      <c r="G72" s="993"/>
      <c r="H72" s="993"/>
      <c r="I72" s="994"/>
    </row>
    <row r="73" spans="1:10" ht="114.65" customHeight="1">
      <c r="B73" s="999"/>
      <c r="C73" s="213" t="s">
        <v>204</v>
      </c>
      <c r="D73" s="995" t="s">
        <v>203</v>
      </c>
      <c r="E73" s="996"/>
      <c r="F73" s="992"/>
      <c r="G73" s="993"/>
      <c r="H73" s="993"/>
      <c r="I73" s="994"/>
    </row>
    <row r="74" spans="1:10" ht="115" customHeight="1">
      <c r="B74" s="998">
        <v>4</v>
      </c>
      <c r="C74" s="998"/>
      <c r="D74" s="995" t="s">
        <v>202</v>
      </c>
      <c r="E74" s="996"/>
      <c r="F74" s="992"/>
      <c r="G74" s="993"/>
      <c r="H74" s="993"/>
      <c r="I74" s="994"/>
    </row>
    <row r="75" spans="1:10" ht="132" customHeight="1">
      <c r="B75" s="998">
        <v>5</v>
      </c>
      <c r="C75" s="998"/>
      <c r="D75" s="995" t="s">
        <v>201</v>
      </c>
      <c r="E75" s="996"/>
      <c r="F75" s="992"/>
      <c r="G75" s="993"/>
      <c r="H75" s="993"/>
      <c r="I75" s="994"/>
    </row>
    <row r="77" spans="1:10">
      <c r="A77" s="214"/>
      <c r="B77" s="214"/>
      <c r="C77" s="214"/>
      <c r="D77" s="214"/>
      <c r="E77" s="214"/>
      <c r="F77" s="214"/>
      <c r="G77" s="214"/>
      <c r="H77" s="214"/>
      <c r="I77" s="295"/>
      <c r="J77" s="214"/>
    </row>
    <row r="78" spans="1:10" ht="23.5">
      <c r="B78" s="202" t="s">
        <v>27</v>
      </c>
      <c r="C78" s="202" t="str">
        <f ca="1">IFERROR(OFFSET('4.1(2)新規再エネ導入予定（設備情報）'!$X$1,MATCH(COUNTIF($B$1:B78,"発電方式"),'4.1(2)新規再エネ導入予定（設備情報）'!$AK:$AK,0)-1,0),"")</f>
        <v/>
      </c>
      <c r="D78" s="203"/>
    </row>
    <row r="79" spans="1:10" ht="39.75" customHeight="1">
      <c r="B79" s="204" t="s">
        <v>8</v>
      </c>
      <c r="C79" s="204" t="s">
        <v>182</v>
      </c>
      <c r="D79" s="205" t="s">
        <v>181</v>
      </c>
      <c r="E79" s="204" t="s">
        <v>9</v>
      </c>
      <c r="F79" s="206" t="s">
        <v>10</v>
      </c>
      <c r="G79" s="205" t="s">
        <v>31</v>
      </c>
      <c r="H79" s="204" t="s">
        <v>13</v>
      </c>
      <c r="I79" s="206" t="s">
        <v>81</v>
      </c>
    </row>
    <row r="80" spans="1:10" ht="36" customHeight="1">
      <c r="B80" s="535" t="str">
        <f ca="1">IFERROR(OFFSET('4.1(2)新規再エネ導入予定（設備情報）'!$F$1,MATCH($C80,'4.1(2)新規再エネ導入予定（設備情報）'!$G:$G,0)-1,0),"")</f>
        <v/>
      </c>
      <c r="C80" s="536" t="str">
        <f ca="1">IFERROR(OFFSET('4.1(2)新規再エネ導入予定（設備情報）'!$G$7,MATCH(COUNTIF($B$1:B78,"発電方式"),'4.1(2)新規再エネ導入予定（設備情報）'!$AK$8:$AK$1000,0),0),"")</f>
        <v/>
      </c>
      <c r="D80" s="535" t="str">
        <f ca="1">IFERROR(OFFSET('4.1(2)新規再エネ導入予定（設備情報）'!$H$1,MATCH($C80,'4.1(2)新規再エネ導入予定（設備情報）'!$G:$G,0)-1,0),"")</f>
        <v/>
      </c>
      <c r="E80" s="537" t="str">
        <f ca="1">IFERROR(OFFSET('4.1(2)新規再エネ導入予定（設備情報）'!$I$1,MATCH($C80,'4.1(2)新規再エネ導入予定（設備情報）'!$G:$G,0)-1,0),"")</f>
        <v/>
      </c>
      <c r="F80" s="537" t="str">
        <f ca="1">IFERROR(OFFSET('4.1(2)新規再エネ導入予定（設備情報）'!$J$1,MATCH($C80,'4.1(2)新規再エネ導入予定（設備情報）'!$G:$G,0)-1,0),"")</f>
        <v/>
      </c>
      <c r="G80" s="536" t="str">
        <f ca="1">IFERROR(OFFSET('4.1(2)新規再エネ導入予定（設備情報）'!$L$1,MATCH($C80,'4.1(2)新規再エネ導入予定（設備情報）'!$G:$G,0)-1,0),"")</f>
        <v/>
      </c>
      <c r="H80" s="536" t="str">
        <f ca="1">IFERROR(OFFSET('4.1(2)新規再エネ導入予定（設備情報）'!$M$1,MATCH($C80,'4.1(2)新規再エネ導入予定（設備情報）'!$G:$G,0)-1,0),"")</f>
        <v/>
      </c>
      <c r="I80" s="538" t="str">
        <f ca="1">IFERROR(OFFSET('4.1(2)新規再エネ導入予定（設備情報）'!$P$1,MATCH($C80,'4.1(2)新規再エネ導入予定（設備情報）'!$G:$G,0)-1,0),"")</f>
        <v/>
      </c>
    </row>
    <row r="81" spans="1:10" ht="16.5" customHeight="1">
      <c r="B81" s="1000" t="s">
        <v>178</v>
      </c>
      <c r="C81" s="1002" t="s">
        <v>14</v>
      </c>
      <c r="D81" s="1004" t="s">
        <v>217</v>
      </c>
      <c r="E81" s="1006" t="s">
        <v>216</v>
      </c>
      <c r="F81" s="1007"/>
      <c r="G81" s="1008"/>
      <c r="H81" s="1006" t="s">
        <v>108</v>
      </c>
      <c r="I81" s="1008"/>
    </row>
    <row r="82" spans="1:10" ht="42.75" customHeight="1">
      <c r="B82" s="1001"/>
      <c r="C82" s="1003"/>
      <c r="D82" s="1005"/>
      <c r="E82" s="207" t="s">
        <v>289</v>
      </c>
      <c r="F82" s="208" t="s">
        <v>109</v>
      </c>
      <c r="G82" s="208" t="s">
        <v>110</v>
      </c>
      <c r="H82" s="208" t="s">
        <v>276</v>
      </c>
      <c r="I82" s="207" t="s">
        <v>243</v>
      </c>
    </row>
    <row r="83" spans="1:10" ht="46.5" customHeight="1">
      <c r="B83" s="536" t="str">
        <f ca="1">IFERROR(OFFSET('4.1(2)新規再エネ導入予定（設備情報）'!$O$1,MATCH($C80,'4.1(2)新規再エネ導入予定（設備情報）'!$G:$G,0)-1,0),"")</f>
        <v/>
      </c>
      <c r="C83" s="536" t="str">
        <f ca="1">IFERROR(OFFSET('4.1(2)新規再エネ導入予定（設備情報）'!$R$1,MATCH($C80,'4.1(2)新規再エネ導入予定（設備情報）'!$G:$G,0)-1,0),"")</f>
        <v/>
      </c>
      <c r="D83" s="536" t="str">
        <f ca="1">IFERROR(OFFSET('4.1(2)新規再エネ導入予定（設備情報）'!$S$1,MATCH($C80,'4.1(2)新規再エネ導入予定（設備情報）'!$G:$G,0)-1,0),"")</f>
        <v/>
      </c>
      <c r="E83" s="536" t="str">
        <f ca="1">IF($C80="","",IFERROR(OFFSET('4.1(2)新規再エネ導入予定(FS調査、系統接続検討状況)'!$L$1,MATCH($C80,'4.1(2)新規再エネ導入予定(FS調査、系統接続検討状況)'!$G:$G,0)-1,0),""))</f>
        <v/>
      </c>
      <c r="F83" s="536" t="str">
        <f ca="1">IF($C80="","",IFERROR(OFFSET('4.1(2)新規再エネ導入予定(FS調査、系統接続検討状況)'!$M$1,MATCH($C80,'4.1(2)新規再エネ導入予定(FS調査、系統接続検討状況)'!$G:$G,0)-1,0),""))</f>
        <v/>
      </c>
      <c r="G83" s="536" t="str">
        <f ca="1">IF($C80="","",IFERROR(OFFSET('4.1(2)新規再エネ導入予定(FS調査、系統接続検討状況)'!$N$1,MATCH($C80,'4.1(2)新規再エネ導入予定(FS調査、系統接続検討状況)'!$G:$G,0)-1,0),""))</f>
        <v/>
      </c>
      <c r="H83" s="536" t="str" cm="1">
        <f t="array" aca="1" ref="H83" ca="1">IFERROR(_xlfn.IFS(OR(I83="検討不要",I83="検討未実施",I83="(低圧)申込完了",I83="(低圧)申込準備開始",I83="(低圧)申込準備完了"),"－",COUNTIF(OFFSET('4.1(2)新規再エネ導入予定(FS調査、系統接続検討状況)'!$O$1,MATCH($C80,'4.1(2)新規再エネ導入予定(FS調査、系統接続検討状況)'!$G:$G,0)-1,0),"*単独*")=1,"単独",COUNTIF(OFFSET('4.1(2)新規再エネ導入予定(FS調査、系統接続検討状況)'!$O$1,MATCH($C80,'4.1(2)新規再エネ導入予定(FS調査、系統接続検討状況)'!$G:$G,0)-1,0),"*一括*")=1,"一括検討"),"")</f>
        <v/>
      </c>
      <c r="I83" s="539" t="str">
        <f ca="1">IFERROR(SUBSTITUTE(SUBSTITUTE(OFFSET('4.1(2)新規再エネ導入予定(FS調査、系統接続検討状況)'!$O$1,MATCH($C80,'4.1(2)新規再エネ導入予定(FS調査、系統接続検討状況)'!$G:$G,0)-1,0),"(一括)",""),"(単独)",""),"")</f>
        <v/>
      </c>
    </row>
    <row r="85" spans="1:10" ht="19">
      <c r="B85" s="200" t="s">
        <v>215</v>
      </c>
    </row>
    <row r="86" spans="1:10" ht="21">
      <c r="B86" s="209" t="str">
        <f ca="1">IFERROR(_xlfn.TEXTJOIN(" ",1,C78,B80,C80),"")</f>
        <v/>
      </c>
      <c r="C86" s="210"/>
      <c r="D86" s="210"/>
    </row>
    <row r="87" spans="1:10" ht="28.5" customHeight="1">
      <c r="B87" s="211" t="s">
        <v>214</v>
      </c>
      <c r="C87" s="211"/>
      <c r="D87" s="211" t="s">
        <v>213</v>
      </c>
      <c r="E87" s="211"/>
      <c r="F87" s="211" t="s">
        <v>227</v>
      </c>
      <c r="G87" s="211"/>
      <c r="H87" s="211"/>
      <c r="I87" s="294"/>
    </row>
    <row r="88" spans="1:10" ht="114.65" customHeight="1">
      <c r="B88" s="997" t="s">
        <v>212</v>
      </c>
      <c r="C88" s="212" t="s">
        <v>211</v>
      </c>
      <c r="D88" s="995" t="s">
        <v>210</v>
      </c>
      <c r="E88" s="996"/>
      <c r="F88" s="992"/>
      <c r="G88" s="993"/>
      <c r="H88" s="993"/>
      <c r="I88" s="994"/>
    </row>
    <row r="89" spans="1:10" ht="114.65" customHeight="1">
      <c r="B89" s="997"/>
      <c r="C89" s="213" t="s">
        <v>209</v>
      </c>
      <c r="D89" s="995" t="s">
        <v>208</v>
      </c>
      <c r="E89" s="996"/>
      <c r="F89" s="992"/>
      <c r="G89" s="993"/>
      <c r="H89" s="993"/>
      <c r="I89" s="994"/>
    </row>
    <row r="90" spans="1:10" ht="114.65" customHeight="1">
      <c r="B90" s="998">
        <v>2</v>
      </c>
      <c r="C90" s="998"/>
      <c r="D90" s="995" t="s">
        <v>207</v>
      </c>
      <c r="E90" s="996"/>
      <c r="F90" s="992"/>
      <c r="G90" s="993"/>
      <c r="H90" s="993"/>
      <c r="I90" s="994"/>
    </row>
    <row r="91" spans="1:10" ht="114.65" customHeight="1">
      <c r="B91" s="999">
        <v>3</v>
      </c>
      <c r="C91" s="213" t="s">
        <v>206</v>
      </c>
      <c r="D91" s="995" t="s">
        <v>205</v>
      </c>
      <c r="E91" s="996"/>
      <c r="F91" s="992"/>
      <c r="G91" s="993"/>
      <c r="H91" s="993"/>
      <c r="I91" s="994"/>
    </row>
    <row r="92" spans="1:10" ht="114.65" customHeight="1">
      <c r="B92" s="999"/>
      <c r="C92" s="213" t="s">
        <v>204</v>
      </c>
      <c r="D92" s="995" t="s">
        <v>203</v>
      </c>
      <c r="E92" s="996"/>
      <c r="F92" s="992"/>
      <c r="G92" s="993"/>
      <c r="H92" s="993"/>
      <c r="I92" s="994"/>
    </row>
    <row r="93" spans="1:10" ht="115" customHeight="1">
      <c r="B93" s="998">
        <v>4</v>
      </c>
      <c r="C93" s="998"/>
      <c r="D93" s="995" t="s">
        <v>202</v>
      </c>
      <c r="E93" s="996"/>
      <c r="F93" s="992"/>
      <c r="G93" s="993"/>
      <c r="H93" s="993"/>
      <c r="I93" s="994"/>
    </row>
    <row r="94" spans="1:10" ht="132" customHeight="1">
      <c r="B94" s="998">
        <v>5</v>
      </c>
      <c r="C94" s="998"/>
      <c r="D94" s="995" t="s">
        <v>201</v>
      </c>
      <c r="E94" s="996"/>
      <c r="F94" s="992"/>
      <c r="G94" s="993"/>
      <c r="H94" s="993"/>
      <c r="I94" s="994"/>
    </row>
    <row r="96" spans="1:10">
      <c r="A96" s="214"/>
      <c r="B96" s="214"/>
      <c r="C96" s="214"/>
      <c r="D96" s="214"/>
      <c r="E96" s="214"/>
      <c r="F96" s="214"/>
      <c r="G96" s="214"/>
      <c r="H96" s="214"/>
      <c r="I96" s="295"/>
      <c r="J96" s="214"/>
    </row>
    <row r="97" spans="2:9" ht="23.5">
      <c r="B97" s="202" t="s">
        <v>27</v>
      </c>
      <c r="C97" s="202" t="str">
        <f ca="1">IFERROR(OFFSET('4.1(2)新規再エネ導入予定（設備情報）'!$X$1,MATCH(COUNTIF($B$1:B97,"発電方式"),'4.1(2)新規再エネ導入予定（設備情報）'!$AK:$AK,0)-1,0),"")</f>
        <v/>
      </c>
      <c r="D97" s="203"/>
    </row>
    <row r="98" spans="2:9" ht="39.75" customHeight="1">
      <c r="B98" s="204" t="s">
        <v>8</v>
      </c>
      <c r="C98" s="204" t="s">
        <v>182</v>
      </c>
      <c r="D98" s="205" t="s">
        <v>181</v>
      </c>
      <c r="E98" s="204" t="s">
        <v>9</v>
      </c>
      <c r="F98" s="206" t="s">
        <v>10</v>
      </c>
      <c r="G98" s="205" t="s">
        <v>31</v>
      </c>
      <c r="H98" s="204" t="s">
        <v>13</v>
      </c>
      <c r="I98" s="206" t="s">
        <v>81</v>
      </c>
    </row>
    <row r="99" spans="2:9" ht="36" customHeight="1">
      <c r="B99" s="535" t="str">
        <f ca="1">IFERROR(OFFSET('4.1(2)新規再エネ導入予定（設備情報）'!$F$1,MATCH($C99,'4.1(2)新規再エネ導入予定（設備情報）'!$G:$G,0)-1,0),"")</f>
        <v/>
      </c>
      <c r="C99" s="536" t="str">
        <f ca="1">IFERROR(OFFSET('4.1(2)新規再エネ導入予定（設備情報）'!$G$7,MATCH(COUNTIF($B$1:B97,"発電方式"),'4.1(2)新規再エネ導入予定（設備情報）'!$AK$8:$AK$1000,0),0),"")</f>
        <v/>
      </c>
      <c r="D99" s="535" t="str">
        <f ca="1">IFERROR(OFFSET('4.1(2)新規再エネ導入予定（設備情報）'!$H$1,MATCH($C99,'4.1(2)新規再エネ導入予定（設備情報）'!$G:$G,0)-1,0),"")</f>
        <v/>
      </c>
      <c r="E99" s="537" t="str">
        <f ca="1">IFERROR(OFFSET('4.1(2)新規再エネ導入予定（設備情報）'!$I$1,MATCH($C99,'4.1(2)新規再エネ導入予定（設備情報）'!$G:$G,0)-1,0),"")</f>
        <v/>
      </c>
      <c r="F99" s="537" t="str">
        <f ca="1">IFERROR(OFFSET('4.1(2)新規再エネ導入予定（設備情報）'!$J$1,MATCH($C99,'4.1(2)新規再エネ導入予定（設備情報）'!$G:$G,0)-1,0),"")</f>
        <v/>
      </c>
      <c r="G99" s="536" t="str">
        <f ca="1">IFERROR(OFFSET('4.1(2)新規再エネ導入予定（設備情報）'!$L$1,MATCH($C99,'4.1(2)新規再エネ導入予定（設備情報）'!$G:$G,0)-1,0),"")</f>
        <v/>
      </c>
      <c r="H99" s="536" t="str">
        <f ca="1">IFERROR(OFFSET('4.1(2)新規再エネ導入予定（設備情報）'!$M$1,MATCH($C99,'4.1(2)新規再エネ導入予定（設備情報）'!$G:$G,0)-1,0),"")</f>
        <v/>
      </c>
      <c r="I99" s="538" t="str">
        <f ca="1">IFERROR(OFFSET('4.1(2)新規再エネ導入予定（設備情報）'!$P$1,MATCH($C99,'4.1(2)新規再エネ導入予定（設備情報）'!$G:$G,0)-1,0),"")</f>
        <v/>
      </c>
    </row>
    <row r="100" spans="2:9" ht="16.5" customHeight="1">
      <c r="B100" s="1000" t="s">
        <v>178</v>
      </c>
      <c r="C100" s="1002" t="s">
        <v>14</v>
      </c>
      <c r="D100" s="1004" t="s">
        <v>217</v>
      </c>
      <c r="E100" s="1006" t="s">
        <v>216</v>
      </c>
      <c r="F100" s="1007"/>
      <c r="G100" s="1008"/>
      <c r="H100" s="1006" t="s">
        <v>108</v>
      </c>
      <c r="I100" s="1008"/>
    </row>
    <row r="101" spans="2:9" ht="42.75" customHeight="1">
      <c r="B101" s="1001"/>
      <c r="C101" s="1003"/>
      <c r="D101" s="1005"/>
      <c r="E101" s="207" t="s">
        <v>289</v>
      </c>
      <c r="F101" s="208" t="s">
        <v>109</v>
      </c>
      <c r="G101" s="208" t="s">
        <v>110</v>
      </c>
      <c r="H101" s="208" t="s">
        <v>276</v>
      </c>
      <c r="I101" s="207" t="s">
        <v>243</v>
      </c>
    </row>
    <row r="102" spans="2:9" ht="46.5" customHeight="1">
      <c r="B102" s="536" t="str">
        <f ca="1">IFERROR(OFFSET('4.1(2)新規再エネ導入予定（設備情報）'!$O$1,MATCH($C99,'4.1(2)新規再エネ導入予定（設備情報）'!$G:$G,0)-1,0),"")</f>
        <v/>
      </c>
      <c r="C102" s="536" t="str">
        <f ca="1">IFERROR(OFFSET('4.1(2)新規再エネ導入予定（設備情報）'!$R$1,MATCH($C99,'4.1(2)新規再エネ導入予定（設備情報）'!$G:$G,0)-1,0),"")</f>
        <v/>
      </c>
      <c r="D102" s="536" t="str">
        <f ca="1">IFERROR(OFFSET('4.1(2)新規再エネ導入予定（設備情報）'!$S$1,MATCH($C99,'4.1(2)新規再エネ導入予定（設備情報）'!$G:$G,0)-1,0),"")</f>
        <v/>
      </c>
      <c r="E102" s="536" t="str">
        <f ca="1">IF($C99="","",IFERROR(OFFSET('4.1(2)新規再エネ導入予定(FS調査、系統接続検討状況)'!$L$1,MATCH($C99,'4.1(2)新規再エネ導入予定(FS調査、系統接続検討状況)'!$G:$G,0)-1,0),""))</f>
        <v/>
      </c>
      <c r="F102" s="536" t="str">
        <f ca="1">IF($C99="","",IFERROR(OFFSET('4.1(2)新規再エネ導入予定(FS調査、系統接続検討状況)'!$M$1,MATCH($C99,'4.1(2)新規再エネ導入予定(FS調査、系統接続検討状況)'!$G:$G,0)-1,0),""))</f>
        <v/>
      </c>
      <c r="G102" s="536" t="str">
        <f ca="1">IF($C99="","",IFERROR(OFFSET('4.1(2)新規再エネ導入予定(FS調査、系統接続検討状況)'!$N$1,MATCH($C99,'4.1(2)新規再エネ導入予定(FS調査、系統接続検討状況)'!$G:$G,0)-1,0),""))</f>
        <v/>
      </c>
      <c r="H102" s="536" t="str" cm="1">
        <f t="array" aca="1" ref="H102" ca="1">IFERROR(_xlfn.IFS(OR(I102="検討不要",I102="検討未実施",I102="(低圧)申込完了",I102="(低圧)申込準備開始",I102="(低圧)申込準備完了"),"－",COUNTIF(OFFSET('4.1(2)新規再エネ導入予定(FS調査、系統接続検討状況)'!$O$1,MATCH($C99,'4.1(2)新規再エネ導入予定(FS調査、系統接続検討状況)'!$G:$G,0)-1,0),"*単独*")=1,"単独",COUNTIF(OFFSET('4.1(2)新規再エネ導入予定(FS調査、系統接続検討状況)'!$O$1,MATCH($C99,'4.1(2)新規再エネ導入予定(FS調査、系統接続検討状況)'!$G:$G,0)-1,0),"*一括*")=1,"一括検討"),"")</f>
        <v/>
      </c>
      <c r="I102" s="539" t="str">
        <f ca="1">IFERROR(SUBSTITUTE(SUBSTITUTE(OFFSET('4.1(2)新規再エネ導入予定(FS調査、系統接続検討状況)'!$O$1,MATCH($C99,'4.1(2)新規再エネ導入予定(FS調査、系統接続検討状況)'!$G:$G,0)-1,0),"(一括)",""),"(単独)",""),"")</f>
        <v/>
      </c>
    </row>
    <row r="104" spans="2:9" ht="19">
      <c r="B104" s="200" t="s">
        <v>215</v>
      </c>
    </row>
    <row r="105" spans="2:9" ht="21">
      <c r="B105" s="209" t="str">
        <f ca="1">IFERROR(_xlfn.TEXTJOIN(" ",1,C97,B99,C99),"")</f>
        <v/>
      </c>
      <c r="C105" s="210"/>
      <c r="D105" s="210"/>
    </row>
    <row r="106" spans="2:9" ht="28.5" customHeight="1">
      <c r="B106" s="211" t="s">
        <v>214</v>
      </c>
      <c r="C106" s="211"/>
      <c r="D106" s="211" t="s">
        <v>213</v>
      </c>
      <c r="E106" s="211"/>
      <c r="F106" s="211" t="s">
        <v>227</v>
      </c>
      <c r="G106" s="211"/>
      <c r="H106" s="211"/>
      <c r="I106" s="294"/>
    </row>
    <row r="107" spans="2:9" ht="114.65" customHeight="1">
      <c r="B107" s="997" t="s">
        <v>212</v>
      </c>
      <c r="C107" s="212" t="s">
        <v>211</v>
      </c>
      <c r="D107" s="995" t="s">
        <v>210</v>
      </c>
      <c r="E107" s="996"/>
      <c r="F107" s="992"/>
      <c r="G107" s="993"/>
      <c r="H107" s="993"/>
      <c r="I107" s="994"/>
    </row>
    <row r="108" spans="2:9" ht="114.65" customHeight="1">
      <c r="B108" s="997"/>
      <c r="C108" s="213" t="s">
        <v>209</v>
      </c>
      <c r="D108" s="995" t="s">
        <v>208</v>
      </c>
      <c r="E108" s="996"/>
      <c r="F108" s="992"/>
      <c r="G108" s="993"/>
      <c r="H108" s="993"/>
      <c r="I108" s="994"/>
    </row>
    <row r="109" spans="2:9" ht="114.65" customHeight="1">
      <c r="B109" s="998">
        <v>2</v>
      </c>
      <c r="C109" s="998"/>
      <c r="D109" s="995" t="s">
        <v>207</v>
      </c>
      <c r="E109" s="996"/>
      <c r="F109" s="992"/>
      <c r="G109" s="993"/>
      <c r="H109" s="993"/>
      <c r="I109" s="994"/>
    </row>
    <row r="110" spans="2:9" ht="114.65" customHeight="1">
      <c r="B110" s="999">
        <v>3</v>
      </c>
      <c r="C110" s="213" t="s">
        <v>206</v>
      </c>
      <c r="D110" s="995" t="s">
        <v>205</v>
      </c>
      <c r="E110" s="996"/>
      <c r="F110" s="992"/>
      <c r="G110" s="993"/>
      <c r="H110" s="993"/>
      <c r="I110" s="994"/>
    </row>
    <row r="111" spans="2:9" ht="114.65" customHeight="1">
      <c r="B111" s="999"/>
      <c r="C111" s="213" t="s">
        <v>204</v>
      </c>
      <c r="D111" s="995" t="s">
        <v>203</v>
      </c>
      <c r="E111" s="996"/>
      <c r="F111" s="992"/>
      <c r="G111" s="993"/>
      <c r="H111" s="993"/>
      <c r="I111" s="994"/>
    </row>
    <row r="112" spans="2:9" ht="115" customHeight="1">
      <c r="B112" s="998">
        <v>4</v>
      </c>
      <c r="C112" s="998"/>
      <c r="D112" s="995" t="s">
        <v>202</v>
      </c>
      <c r="E112" s="996"/>
      <c r="F112" s="992"/>
      <c r="G112" s="993"/>
      <c r="H112" s="993"/>
      <c r="I112" s="994"/>
    </row>
    <row r="113" spans="1:10" ht="132" customHeight="1">
      <c r="B113" s="998">
        <v>5</v>
      </c>
      <c r="C113" s="998"/>
      <c r="D113" s="995" t="s">
        <v>201</v>
      </c>
      <c r="E113" s="996"/>
      <c r="F113" s="992"/>
      <c r="G113" s="993"/>
      <c r="H113" s="993"/>
      <c r="I113" s="994"/>
    </row>
    <row r="115" spans="1:10">
      <c r="A115" s="214"/>
      <c r="B115" s="214"/>
      <c r="C115" s="214"/>
      <c r="D115" s="214"/>
      <c r="E115" s="214"/>
      <c r="F115" s="214"/>
      <c r="G115" s="214"/>
      <c r="H115" s="214"/>
      <c r="I115" s="295"/>
      <c r="J115" s="214"/>
    </row>
    <row r="116" spans="1:10" ht="23.5">
      <c r="B116" s="202" t="s">
        <v>27</v>
      </c>
      <c r="C116" s="202" t="str">
        <f ca="1">IFERROR(OFFSET('4.1(2)新規再エネ導入予定（設備情報）'!$X$1,MATCH(COUNTIF($B$1:B116,"発電方式"),'4.1(2)新規再エネ導入予定（設備情報）'!$AK:$AK,0)-1,0),"")</f>
        <v/>
      </c>
      <c r="D116" s="203"/>
    </row>
    <row r="117" spans="1:10" ht="39.75" customHeight="1">
      <c r="B117" s="204" t="s">
        <v>8</v>
      </c>
      <c r="C117" s="204" t="s">
        <v>182</v>
      </c>
      <c r="D117" s="205" t="s">
        <v>181</v>
      </c>
      <c r="E117" s="204" t="s">
        <v>9</v>
      </c>
      <c r="F117" s="206" t="s">
        <v>10</v>
      </c>
      <c r="G117" s="205" t="s">
        <v>31</v>
      </c>
      <c r="H117" s="204" t="s">
        <v>13</v>
      </c>
      <c r="I117" s="206" t="s">
        <v>81</v>
      </c>
    </row>
    <row r="118" spans="1:10" ht="36" customHeight="1">
      <c r="B118" s="535" t="str">
        <f ca="1">IFERROR(OFFSET('4.1(2)新規再エネ導入予定（設備情報）'!$F$1,MATCH($C118,'4.1(2)新規再エネ導入予定（設備情報）'!$G:$G,0)-1,0),"")</f>
        <v/>
      </c>
      <c r="C118" s="536" t="str">
        <f ca="1">IFERROR(OFFSET('4.1(2)新規再エネ導入予定（設備情報）'!$G$7,MATCH(COUNTIF($B$1:B116,"発電方式"),'4.1(2)新規再エネ導入予定（設備情報）'!$AK$8:$AK$1000,0),0),"")</f>
        <v/>
      </c>
      <c r="D118" s="535" t="str">
        <f ca="1">IFERROR(OFFSET('4.1(2)新規再エネ導入予定（設備情報）'!$H$1,MATCH($C118,'4.1(2)新規再エネ導入予定（設備情報）'!$G:$G,0)-1,0),"")</f>
        <v/>
      </c>
      <c r="E118" s="537" t="str">
        <f ca="1">IFERROR(OFFSET('4.1(2)新規再エネ導入予定（設備情報）'!$I$1,MATCH($C118,'4.1(2)新規再エネ導入予定（設備情報）'!$G:$G,0)-1,0),"")</f>
        <v/>
      </c>
      <c r="F118" s="537" t="str">
        <f ca="1">IFERROR(OFFSET('4.1(2)新規再エネ導入予定（設備情報）'!$J$1,MATCH($C118,'4.1(2)新規再エネ導入予定（設備情報）'!$G:$G,0)-1,0),"")</f>
        <v/>
      </c>
      <c r="G118" s="536" t="str">
        <f ca="1">IFERROR(OFFSET('4.1(2)新規再エネ導入予定（設備情報）'!$L$1,MATCH($C118,'4.1(2)新規再エネ導入予定（設備情報）'!$G:$G,0)-1,0),"")</f>
        <v/>
      </c>
      <c r="H118" s="536" t="str">
        <f ca="1">IFERROR(OFFSET('4.1(2)新規再エネ導入予定（設備情報）'!$M$1,MATCH($C118,'4.1(2)新規再エネ導入予定（設備情報）'!$G:$G,0)-1,0),"")</f>
        <v/>
      </c>
      <c r="I118" s="538" t="str">
        <f ca="1">IFERROR(OFFSET('4.1(2)新規再エネ導入予定（設備情報）'!$P$1,MATCH($C118,'4.1(2)新規再エネ導入予定（設備情報）'!$G:$G,0)-1,0),"")</f>
        <v/>
      </c>
    </row>
    <row r="119" spans="1:10" ht="16.5" customHeight="1">
      <c r="B119" s="1000" t="s">
        <v>178</v>
      </c>
      <c r="C119" s="1002" t="s">
        <v>14</v>
      </c>
      <c r="D119" s="1004" t="s">
        <v>217</v>
      </c>
      <c r="E119" s="1006" t="s">
        <v>216</v>
      </c>
      <c r="F119" s="1007"/>
      <c r="G119" s="1008"/>
      <c r="H119" s="1006" t="s">
        <v>108</v>
      </c>
      <c r="I119" s="1008"/>
    </row>
    <row r="120" spans="1:10" ht="42.75" customHeight="1">
      <c r="B120" s="1001"/>
      <c r="C120" s="1003"/>
      <c r="D120" s="1005"/>
      <c r="E120" s="207" t="s">
        <v>289</v>
      </c>
      <c r="F120" s="208" t="s">
        <v>109</v>
      </c>
      <c r="G120" s="208" t="s">
        <v>110</v>
      </c>
      <c r="H120" s="208" t="s">
        <v>276</v>
      </c>
      <c r="I120" s="207" t="s">
        <v>243</v>
      </c>
    </row>
    <row r="121" spans="1:10" ht="46.5" customHeight="1">
      <c r="B121" s="536" t="str">
        <f ca="1">IFERROR(OFFSET('4.1(2)新規再エネ導入予定（設備情報）'!$O$1,MATCH($C118,'4.1(2)新規再エネ導入予定（設備情報）'!$G:$G,0)-1,0),"")</f>
        <v/>
      </c>
      <c r="C121" s="536" t="str">
        <f ca="1">IFERROR(OFFSET('4.1(2)新規再エネ導入予定（設備情報）'!$R$1,MATCH($C118,'4.1(2)新規再エネ導入予定（設備情報）'!$G:$G,0)-1,0),"")</f>
        <v/>
      </c>
      <c r="D121" s="536" t="str">
        <f ca="1">IFERROR(OFFSET('4.1(2)新規再エネ導入予定（設備情報）'!$S$1,MATCH($C118,'4.1(2)新規再エネ導入予定（設備情報）'!$G:$G,0)-1,0),"")</f>
        <v/>
      </c>
      <c r="E121" s="536" t="str">
        <f ca="1">IF($C118="","",IFERROR(OFFSET('4.1(2)新規再エネ導入予定(FS調査、系統接続検討状況)'!$L$1,MATCH($C118,'4.1(2)新規再エネ導入予定(FS調査、系統接続検討状況)'!$G:$G,0)-1,0),""))</f>
        <v/>
      </c>
      <c r="F121" s="536" t="str">
        <f ca="1">IF($C118="","",IFERROR(OFFSET('4.1(2)新規再エネ導入予定(FS調査、系統接続検討状況)'!$M$1,MATCH($C118,'4.1(2)新規再エネ導入予定(FS調査、系統接続検討状況)'!$G:$G,0)-1,0),""))</f>
        <v/>
      </c>
      <c r="G121" s="536" t="str">
        <f ca="1">IF($C118="","",IFERROR(OFFSET('4.1(2)新規再エネ導入予定(FS調査、系統接続検討状況)'!$N$1,MATCH($C118,'4.1(2)新規再エネ導入予定(FS調査、系統接続検討状況)'!$G:$G,0)-1,0),""))</f>
        <v/>
      </c>
      <c r="H121" s="536" t="str" cm="1">
        <f t="array" aca="1" ref="H121" ca="1">IFERROR(_xlfn.IFS(OR(I121="検討不要",I121="検討未実施",I121="(低圧)申込完了",I121="(低圧)申込準備開始",I121="(低圧)申込準備完了"),"－",COUNTIF(OFFSET('4.1(2)新規再エネ導入予定(FS調査、系統接続検討状況)'!$O$1,MATCH($C118,'4.1(2)新規再エネ導入予定(FS調査、系統接続検討状況)'!$G:$G,0)-1,0),"*単独*")=1,"単独",COUNTIF(OFFSET('4.1(2)新規再エネ導入予定(FS調査、系統接続検討状況)'!$O$1,MATCH($C118,'4.1(2)新規再エネ導入予定(FS調査、系統接続検討状況)'!$G:$G,0)-1,0),"*一括*")=1,"一括検討"),"")</f>
        <v/>
      </c>
      <c r="I121" s="539" t="str">
        <f ca="1">IFERROR(SUBSTITUTE(SUBSTITUTE(OFFSET('4.1(2)新規再エネ導入予定(FS調査、系統接続検討状況)'!$O$1,MATCH($C118,'4.1(2)新規再エネ導入予定(FS調査、系統接続検討状況)'!$G:$G,0)-1,0),"(一括)",""),"(単独)",""),"")</f>
        <v/>
      </c>
    </row>
    <row r="123" spans="1:10" ht="19">
      <c r="B123" s="200" t="s">
        <v>215</v>
      </c>
    </row>
    <row r="124" spans="1:10" ht="21">
      <c r="B124" s="209" t="str">
        <f ca="1">IFERROR(_xlfn.TEXTJOIN(" ",1,C116,B118,C118),"")</f>
        <v/>
      </c>
      <c r="C124" s="210"/>
      <c r="D124" s="210"/>
    </row>
    <row r="125" spans="1:10" ht="28.5" customHeight="1">
      <c r="B125" s="211" t="s">
        <v>214</v>
      </c>
      <c r="C125" s="211"/>
      <c r="D125" s="211" t="s">
        <v>213</v>
      </c>
      <c r="E125" s="211"/>
      <c r="F125" s="211" t="s">
        <v>227</v>
      </c>
      <c r="G125" s="211"/>
      <c r="H125" s="211"/>
      <c r="I125" s="294"/>
    </row>
    <row r="126" spans="1:10" ht="114.65" customHeight="1">
      <c r="B126" s="997" t="s">
        <v>212</v>
      </c>
      <c r="C126" s="212" t="s">
        <v>211</v>
      </c>
      <c r="D126" s="995" t="s">
        <v>210</v>
      </c>
      <c r="E126" s="996"/>
      <c r="F126" s="992"/>
      <c r="G126" s="993"/>
      <c r="H126" s="993"/>
      <c r="I126" s="994"/>
    </row>
    <row r="127" spans="1:10" ht="114.65" customHeight="1">
      <c r="B127" s="997"/>
      <c r="C127" s="213" t="s">
        <v>209</v>
      </c>
      <c r="D127" s="995" t="s">
        <v>208</v>
      </c>
      <c r="E127" s="996"/>
      <c r="F127" s="992"/>
      <c r="G127" s="993"/>
      <c r="H127" s="993"/>
      <c r="I127" s="994"/>
    </row>
    <row r="128" spans="1:10" ht="114.65" customHeight="1">
      <c r="B128" s="998">
        <v>2</v>
      </c>
      <c r="C128" s="998"/>
      <c r="D128" s="995" t="s">
        <v>207</v>
      </c>
      <c r="E128" s="996"/>
      <c r="F128" s="992"/>
      <c r="G128" s="993"/>
      <c r="H128" s="993"/>
      <c r="I128" s="994"/>
    </row>
    <row r="129" spans="1:10" ht="114.65" customHeight="1">
      <c r="B129" s="999">
        <v>3</v>
      </c>
      <c r="C129" s="213" t="s">
        <v>206</v>
      </c>
      <c r="D129" s="995" t="s">
        <v>205</v>
      </c>
      <c r="E129" s="996"/>
      <c r="F129" s="992"/>
      <c r="G129" s="993"/>
      <c r="H129" s="993"/>
      <c r="I129" s="994"/>
    </row>
    <row r="130" spans="1:10" ht="114.65" customHeight="1">
      <c r="B130" s="999"/>
      <c r="C130" s="213" t="s">
        <v>204</v>
      </c>
      <c r="D130" s="995" t="s">
        <v>203</v>
      </c>
      <c r="E130" s="996"/>
      <c r="F130" s="992"/>
      <c r="G130" s="993"/>
      <c r="H130" s="993"/>
      <c r="I130" s="994"/>
    </row>
    <row r="131" spans="1:10" ht="115" customHeight="1">
      <c r="B131" s="998">
        <v>4</v>
      </c>
      <c r="C131" s="998"/>
      <c r="D131" s="995" t="s">
        <v>202</v>
      </c>
      <c r="E131" s="996"/>
      <c r="F131" s="992"/>
      <c r="G131" s="993"/>
      <c r="H131" s="993"/>
      <c r="I131" s="994"/>
    </row>
    <row r="132" spans="1:10" ht="132" customHeight="1">
      <c r="B132" s="998">
        <v>5</v>
      </c>
      <c r="C132" s="998"/>
      <c r="D132" s="995" t="s">
        <v>201</v>
      </c>
      <c r="E132" s="996"/>
      <c r="F132" s="992"/>
      <c r="G132" s="993"/>
      <c r="H132" s="993"/>
      <c r="I132" s="994"/>
    </row>
    <row r="134" spans="1:10">
      <c r="A134" s="214"/>
      <c r="B134" s="214"/>
      <c r="C134" s="214"/>
      <c r="D134" s="214"/>
      <c r="E134" s="214"/>
      <c r="F134" s="214"/>
      <c r="G134" s="214"/>
      <c r="H134" s="214"/>
      <c r="I134" s="295"/>
      <c r="J134" s="214"/>
    </row>
    <row r="135" spans="1:10" ht="23.5">
      <c r="B135" s="202" t="s">
        <v>27</v>
      </c>
      <c r="C135" s="202" t="str">
        <f ca="1">IFERROR(OFFSET('4.1(2)新規再エネ導入予定（設備情報）'!$X$1,MATCH(COUNTIF($B$1:B135,"発電方式"),'4.1(2)新規再エネ導入予定（設備情報）'!$AK:$AK,0)-1,0),"")</f>
        <v/>
      </c>
      <c r="D135" s="203"/>
    </row>
    <row r="136" spans="1:10" ht="39.75" customHeight="1">
      <c r="B136" s="204" t="s">
        <v>8</v>
      </c>
      <c r="C136" s="204" t="s">
        <v>182</v>
      </c>
      <c r="D136" s="205" t="s">
        <v>181</v>
      </c>
      <c r="E136" s="204" t="s">
        <v>9</v>
      </c>
      <c r="F136" s="206" t="s">
        <v>10</v>
      </c>
      <c r="G136" s="205" t="s">
        <v>31</v>
      </c>
      <c r="H136" s="204" t="s">
        <v>13</v>
      </c>
      <c r="I136" s="206" t="s">
        <v>81</v>
      </c>
    </row>
    <row r="137" spans="1:10" ht="36" customHeight="1">
      <c r="B137" s="535" t="str">
        <f ca="1">IFERROR(OFFSET('4.1(2)新規再エネ導入予定（設備情報）'!$F$1,MATCH($C137,'4.1(2)新規再エネ導入予定（設備情報）'!$G:$G,0)-1,0),"")</f>
        <v/>
      </c>
      <c r="C137" s="536" t="str">
        <f ca="1">IFERROR(OFFSET('4.1(2)新規再エネ導入予定（設備情報）'!$G$7,MATCH(COUNTIF($B$1:B135,"発電方式"),'4.1(2)新規再エネ導入予定（設備情報）'!$AK$8:$AK$1000,0),0),"")</f>
        <v/>
      </c>
      <c r="D137" s="535" t="str">
        <f ca="1">IFERROR(OFFSET('4.1(2)新規再エネ導入予定（設備情報）'!$H$1,MATCH($C137,'4.1(2)新規再エネ導入予定（設備情報）'!$G:$G,0)-1,0),"")</f>
        <v/>
      </c>
      <c r="E137" s="537" t="str">
        <f ca="1">IFERROR(OFFSET('4.1(2)新規再エネ導入予定（設備情報）'!$I$1,MATCH($C137,'4.1(2)新規再エネ導入予定（設備情報）'!$G:$G,0)-1,0),"")</f>
        <v/>
      </c>
      <c r="F137" s="537" t="str">
        <f ca="1">IFERROR(OFFSET('4.1(2)新規再エネ導入予定（設備情報）'!$J$1,MATCH($C137,'4.1(2)新規再エネ導入予定（設備情報）'!$G:$G,0)-1,0),"")</f>
        <v/>
      </c>
      <c r="G137" s="536" t="str">
        <f ca="1">IFERROR(OFFSET('4.1(2)新規再エネ導入予定（設備情報）'!$L$1,MATCH($C137,'4.1(2)新規再エネ導入予定（設備情報）'!$G:$G,0)-1,0),"")</f>
        <v/>
      </c>
      <c r="H137" s="536" t="str">
        <f ca="1">IFERROR(OFFSET('4.1(2)新規再エネ導入予定（設備情報）'!$M$1,MATCH($C137,'4.1(2)新規再エネ導入予定（設備情報）'!$G:$G,0)-1,0),"")</f>
        <v/>
      </c>
      <c r="I137" s="538" t="str">
        <f ca="1">IFERROR(OFFSET('4.1(2)新規再エネ導入予定（設備情報）'!$P$1,MATCH($C137,'4.1(2)新規再エネ導入予定（設備情報）'!$G:$G,0)-1,0),"")</f>
        <v/>
      </c>
    </row>
    <row r="138" spans="1:10" ht="16.5" customHeight="1">
      <c r="B138" s="1000" t="s">
        <v>178</v>
      </c>
      <c r="C138" s="1002" t="s">
        <v>14</v>
      </c>
      <c r="D138" s="1004" t="s">
        <v>217</v>
      </c>
      <c r="E138" s="1006" t="s">
        <v>216</v>
      </c>
      <c r="F138" s="1007"/>
      <c r="G138" s="1008"/>
      <c r="H138" s="1006" t="s">
        <v>108</v>
      </c>
      <c r="I138" s="1008"/>
    </row>
    <row r="139" spans="1:10" ht="42.75" customHeight="1">
      <c r="B139" s="1001"/>
      <c r="C139" s="1003"/>
      <c r="D139" s="1005"/>
      <c r="E139" s="207" t="s">
        <v>289</v>
      </c>
      <c r="F139" s="208" t="s">
        <v>109</v>
      </c>
      <c r="G139" s="208" t="s">
        <v>110</v>
      </c>
      <c r="H139" s="208" t="s">
        <v>276</v>
      </c>
      <c r="I139" s="207" t="s">
        <v>243</v>
      </c>
    </row>
    <row r="140" spans="1:10" ht="46.5" customHeight="1">
      <c r="B140" s="536" t="str">
        <f ca="1">IFERROR(OFFSET('4.1(2)新規再エネ導入予定（設備情報）'!$O$1,MATCH($C137,'4.1(2)新規再エネ導入予定（設備情報）'!$G:$G,0)-1,0),"")</f>
        <v/>
      </c>
      <c r="C140" s="536" t="str">
        <f ca="1">IFERROR(OFFSET('4.1(2)新規再エネ導入予定（設備情報）'!$R$1,MATCH($C137,'4.1(2)新規再エネ導入予定（設備情報）'!$G:$G,0)-1,0),"")</f>
        <v/>
      </c>
      <c r="D140" s="536" t="str">
        <f ca="1">IFERROR(OFFSET('4.1(2)新規再エネ導入予定（設備情報）'!$S$1,MATCH($C137,'4.1(2)新規再エネ導入予定（設備情報）'!$G:$G,0)-1,0),"")</f>
        <v/>
      </c>
      <c r="E140" s="536" t="str">
        <f ca="1">IF($C137="","",IFERROR(OFFSET('4.1(2)新規再エネ導入予定(FS調査、系統接続検討状況)'!$L$1,MATCH($C137,'4.1(2)新規再エネ導入予定(FS調査、系統接続検討状況)'!$G:$G,0)-1,0),""))</f>
        <v/>
      </c>
      <c r="F140" s="536" t="str">
        <f ca="1">IF($C137="","",IFERROR(OFFSET('4.1(2)新規再エネ導入予定(FS調査、系統接続検討状況)'!$M$1,MATCH($C137,'4.1(2)新規再エネ導入予定(FS調査、系統接続検討状況)'!$G:$G,0)-1,0),""))</f>
        <v/>
      </c>
      <c r="G140" s="536" t="str">
        <f ca="1">IF($C137="","",IFERROR(OFFSET('4.1(2)新規再エネ導入予定(FS調査、系統接続検討状況)'!$N$1,MATCH($C137,'4.1(2)新規再エネ導入予定(FS調査、系統接続検討状況)'!$G:$G,0)-1,0),""))</f>
        <v/>
      </c>
      <c r="H140" s="536" t="str" cm="1">
        <f t="array" aca="1" ref="H140" ca="1">IFERROR(_xlfn.IFS(OR(I140="検討不要",I140="検討未実施",I140="(低圧)申込完了",I140="(低圧)申込準備開始",I140="(低圧)申込準備完了"),"－",COUNTIF(OFFSET('4.1(2)新規再エネ導入予定(FS調査、系統接続検討状況)'!$O$1,MATCH($C137,'4.1(2)新規再エネ導入予定(FS調査、系統接続検討状況)'!$G:$G,0)-1,0),"*単独*")=1,"単独",COUNTIF(OFFSET('4.1(2)新規再エネ導入予定(FS調査、系統接続検討状況)'!$O$1,MATCH($C137,'4.1(2)新規再エネ導入予定(FS調査、系統接続検討状況)'!$G:$G,0)-1,0),"*一括*")=1,"一括検討"),"")</f>
        <v/>
      </c>
      <c r="I140" s="539" t="str">
        <f ca="1">IFERROR(SUBSTITUTE(SUBSTITUTE(OFFSET('4.1(2)新規再エネ導入予定(FS調査、系統接続検討状況)'!$O$1,MATCH($C137,'4.1(2)新規再エネ導入予定(FS調査、系統接続検討状況)'!$G:$G,0)-1,0),"(一括)",""),"(単独)",""),"")</f>
        <v/>
      </c>
    </row>
    <row r="142" spans="1:10" ht="19">
      <c r="B142" s="200" t="s">
        <v>215</v>
      </c>
    </row>
    <row r="143" spans="1:10" ht="21">
      <c r="B143" s="209" t="str">
        <f ca="1">IFERROR(_xlfn.TEXTJOIN(" ",1,C135,B137,C137),"")</f>
        <v/>
      </c>
      <c r="C143" s="210"/>
      <c r="D143" s="210"/>
    </row>
    <row r="144" spans="1:10" ht="28.5" customHeight="1">
      <c r="B144" s="211" t="s">
        <v>214</v>
      </c>
      <c r="C144" s="211"/>
      <c r="D144" s="211" t="s">
        <v>213</v>
      </c>
      <c r="E144" s="211"/>
      <c r="F144" s="211" t="s">
        <v>227</v>
      </c>
      <c r="G144" s="211"/>
      <c r="H144" s="211"/>
      <c r="I144" s="294"/>
    </row>
    <row r="145" spans="1:10" ht="114.65" customHeight="1">
      <c r="B145" s="997" t="s">
        <v>212</v>
      </c>
      <c r="C145" s="212" t="s">
        <v>211</v>
      </c>
      <c r="D145" s="995" t="s">
        <v>210</v>
      </c>
      <c r="E145" s="996"/>
      <c r="F145" s="992"/>
      <c r="G145" s="993"/>
      <c r="H145" s="993"/>
      <c r="I145" s="994"/>
    </row>
    <row r="146" spans="1:10" ht="114.65" customHeight="1">
      <c r="B146" s="997"/>
      <c r="C146" s="213" t="s">
        <v>209</v>
      </c>
      <c r="D146" s="995" t="s">
        <v>208</v>
      </c>
      <c r="E146" s="996"/>
      <c r="F146" s="992"/>
      <c r="G146" s="993"/>
      <c r="H146" s="993"/>
      <c r="I146" s="994"/>
    </row>
    <row r="147" spans="1:10" ht="114.65" customHeight="1">
      <c r="B147" s="998">
        <v>2</v>
      </c>
      <c r="C147" s="998"/>
      <c r="D147" s="995" t="s">
        <v>207</v>
      </c>
      <c r="E147" s="996"/>
      <c r="F147" s="992"/>
      <c r="G147" s="993"/>
      <c r="H147" s="993"/>
      <c r="I147" s="994"/>
    </row>
    <row r="148" spans="1:10" ht="114.65" customHeight="1">
      <c r="B148" s="999">
        <v>3</v>
      </c>
      <c r="C148" s="213" t="s">
        <v>206</v>
      </c>
      <c r="D148" s="995" t="s">
        <v>205</v>
      </c>
      <c r="E148" s="996"/>
      <c r="F148" s="992"/>
      <c r="G148" s="993"/>
      <c r="H148" s="993"/>
      <c r="I148" s="994"/>
    </row>
    <row r="149" spans="1:10" ht="114.65" customHeight="1">
      <c r="B149" s="999"/>
      <c r="C149" s="213" t="s">
        <v>204</v>
      </c>
      <c r="D149" s="995" t="s">
        <v>203</v>
      </c>
      <c r="E149" s="996"/>
      <c r="F149" s="992"/>
      <c r="G149" s="993"/>
      <c r="H149" s="993"/>
      <c r="I149" s="994"/>
    </row>
    <row r="150" spans="1:10" ht="115" customHeight="1">
      <c r="B150" s="998">
        <v>4</v>
      </c>
      <c r="C150" s="998"/>
      <c r="D150" s="995" t="s">
        <v>202</v>
      </c>
      <c r="E150" s="996"/>
      <c r="F150" s="992"/>
      <c r="G150" s="993"/>
      <c r="H150" s="993"/>
      <c r="I150" s="994"/>
    </row>
    <row r="151" spans="1:10" ht="132" customHeight="1">
      <c r="B151" s="998">
        <v>5</v>
      </c>
      <c r="C151" s="998"/>
      <c r="D151" s="995" t="s">
        <v>201</v>
      </c>
      <c r="E151" s="996"/>
      <c r="F151" s="992"/>
      <c r="G151" s="993"/>
      <c r="H151" s="993"/>
      <c r="I151" s="994"/>
    </row>
    <row r="153" spans="1:10">
      <c r="A153" s="214"/>
      <c r="B153" s="214"/>
      <c r="C153" s="214"/>
      <c r="D153" s="214"/>
      <c r="E153" s="214"/>
      <c r="F153" s="214"/>
      <c r="G153" s="214"/>
      <c r="H153" s="214"/>
      <c r="I153" s="295"/>
      <c r="J153" s="214"/>
    </row>
    <row r="154" spans="1:10" ht="23.5">
      <c r="B154" s="202" t="s">
        <v>27</v>
      </c>
      <c r="C154" s="202" t="str">
        <f ca="1">IFERROR(OFFSET('4.1(2)新規再エネ導入予定（設備情報）'!$X$1,MATCH(COUNTIF($B$1:B154,"発電方式"),'4.1(2)新規再エネ導入予定（設備情報）'!$AK:$AK,0)-1,0),"")</f>
        <v/>
      </c>
      <c r="D154" s="203"/>
    </row>
    <row r="155" spans="1:10" ht="39.75" customHeight="1">
      <c r="B155" s="204" t="s">
        <v>8</v>
      </c>
      <c r="C155" s="204" t="s">
        <v>182</v>
      </c>
      <c r="D155" s="205" t="s">
        <v>181</v>
      </c>
      <c r="E155" s="204" t="s">
        <v>9</v>
      </c>
      <c r="F155" s="206" t="s">
        <v>10</v>
      </c>
      <c r="G155" s="205" t="s">
        <v>31</v>
      </c>
      <c r="H155" s="204" t="s">
        <v>13</v>
      </c>
      <c r="I155" s="206" t="s">
        <v>81</v>
      </c>
    </row>
    <row r="156" spans="1:10" ht="36" customHeight="1">
      <c r="B156" s="535" t="str">
        <f ca="1">IFERROR(OFFSET('4.1(2)新規再エネ導入予定（設備情報）'!$F$1,MATCH($C156,'4.1(2)新規再エネ導入予定（設備情報）'!$G:$G,0)-1,0),"")</f>
        <v/>
      </c>
      <c r="C156" s="536" t="str">
        <f ca="1">IFERROR(OFFSET('4.1(2)新規再エネ導入予定（設備情報）'!$G$7,MATCH(COUNTIF($B$1:B154,"発電方式"),'4.1(2)新規再エネ導入予定（設備情報）'!$AK$8:$AK$1000,0),0),"")</f>
        <v/>
      </c>
      <c r="D156" s="535" t="str">
        <f ca="1">IFERROR(OFFSET('4.1(2)新規再エネ導入予定（設備情報）'!$H$1,MATCH($C156,'4.1(2)新規再エネ導入予定（設備情報）'!$G:$G,0)-1,0),"")</f>
        <v/>
      </c>
      <c r="E156" s="537" t="str">
        <f ca="1">IFERROR(OFFSET('4.1(2)新規再エネ導入予定（設備情報）'!$I$1,MATCH($C156,'4.1(2)新規再エネ導入予定（設備情報）'!$G:$G,0)-1,0),"")</f>
        <v/>
      </c>
      <c r="F156" s="537" t="str">
        <f ca="1">IFERROR(OFFSET('4.1(2)新規再エネ導入予定（設備情報）'!$J$1,MATCH($C156,'4.1(2)新規再エネ導入予定（設備情報）'!$G:$G,0)-1,0),"")</f>
        <v/>
      </c>
      <c r="G156" s="536" t="str">
        <f ca="1">IFERROR(OFFSET('4.1(2)新規再エネ導入予定（設備情報）'!$L$1,MATCH($C156,'4.1(2)新規再エネ導入予定（設備情報）'!$G:$G,0)-1,0),"")</f>
        <v/>
      </c>
      <c r="H156" s="536" t="str">
        <f ca="1">IFERROR(OFFSET('4.1(2)新規再エネ導入予定（設備情報）'!$M$1,MATCH($C156,'4.1(2)新規再エネ導入予定（設備情報）'!$G:$G,0)-1,0),"")</f>
        <v/>
      </c>
      <c r="I156" s="538" t="str">
        <f ca="1">IFERROR(OFFSET('4.1(2)新規再エネ導入予定（設備情報）'!$P$1,MATCH($C156,'4.1(2)新規再エネ導入予定（設備情報）'!$G:$G,0)-1,0),"")</f>
        <v/>
      </c>
    </row>
    <row r="157" spans="1:10" ht="16.5" customHeight="1">
      <c r="B157" s="1000" t="s">
        <v>178</v>
      </c>
      <c r="C157" s="1002" t="s">
        <v>14</v>
      </c>
      <c r="D157" s="1004" t="s">
        <v>217</v>
      </c>
      <c r="E157" s="1006" t="s">
        <v>216</v>
      </c>
      <c r="F157" s="1007"/>
      <c r="G157" s="1008"/>
      <c r="H157" s="1006" t="s">
        <v>108</v>
      </c>
      <c r="I157" s="1008"/>
    </row>
    <row r="158" spans="1:10" ht="42.75" customHeight="1">
      <c r="B158" s="1001"/>
      <c r="C158" s="1003"/>
      <c r="D158" s="1005"/>
      <c r="E158" s="207" t="s">
        <v>289</v>
      </c>
      <c r="F158" s="208" t="s">
        <v>109</v>
      </c>
      <c r="G158" s="208" t="s">
        <v>110</v>
      </c>
      <c r="H158" s="208" t="s">
        <v>276</v>
      </c>
      <c r="I158" s="207" t="s">
        <v>243</v>
      </c>
    </row>
    <row r="159" spans="1:10" ht="46.5" customHeight="1">
      <c r="B159" s="536" t="str">
        <f ca="1">IFERROR(OFFSET('4.1(2)新規再エネ導入予定（設備情報）'!$O$1,MATCH($C156,'4.1(2)新規再エネ導入予定（設備情報）'!$G:$G,0)-1,0),"")</f>
        <v/>
      </c>
      <c r="C159" s="536" t="str">
        <f ca="1">IFERROR(OFFSET('4.1(2)新規再エネ導入予定（設備情報）'!$R$1,MATCH($C156,'4.1(2)新規再エネ導入予定（設備情報）'!$G:$G,0)-1,0),"")</f>
        <v/>
      </c>
      <c r="D159" s="536" t="str">
        <f ca="1">IFERROR(OFFSET('4.1(2)新規再エネ導入予定（設備情報）'!$S$1,MATCH($C156,'4.1(2)新規再エネ導入予定（設備情報）'!$G:$G,0)-1,0),"")</f>
        <v/>
      </c>
      <c r="E159" s="536" t="str">
        <f ca="1">IF($C156="","",IFERROR(OFFSET('4.1(2)新規再エネ導入予定(FS調査、系統接続検討状況)'!$L$1,MATCH($C156,'4.1(2)新規再エネ導入予定(FS調査、系統接続検討状況)'!$G:$G,0)-1,0),""))</f>
        <v/>
      </c>
      <c r="F159" s="536" t="str">
        <f ca="1">IF($C156="","",IFERROR(OFFSET('4.1(2)新規再エネ導入予定(FS調査、系統接続検討状況)'!$M$1,MATCH($C156,'4.1(2)新規再エネ導入予定(FS調査、系統接続検討状況)'!$G:$G,0)-1,0),""))</f>
        <v/>
      </c>
      <c r="G159" s="536" t="str">
        <f ca="1">IF($C156="","",IFERROR(OFFSET('4.1(2)新規再エネ導入予定(FS調査、系統接続検討状況)'!$N$1,MATCH($C156,'4.1(2)新規再エネ導入予定(FS調査、系統接続検討状況)'!$G:$G,0)-1,0),""))</f>
        <v/>
      </c>
      <c r="H159" s="536" t="str" cm="1">
        <f t="array" aca="1" ref="H159" ca="1">IFERROR(_xlfn.IFS(OR(I159="検討不要",I159="検討未実施",I159="(低圧)申込完了",I159="(低圧)申込準備開始",I159="(低圧)申込準備完了"),"－",COUNTIF(OFFSET('4.1(2)新規再エネ導入予定(FS調査、系統接続検討状況)'!$O$1,MATCH($C156,'4.1(2)新規再エネ導入予定(FS調査、系統接続検討状況)'!$G:$G,0)-1,0),"*単独*")=1,"単独",COUNTIF(OFFSET('4.1(2)新規再エネ導入予定(FS調査、系統接続検討状況)'!$O$1,MATCH($C156,'4.1(2)新規再エネ導入予定(FS調査、系統接続検討状況)'!$G:$G,0)-1,0),"*一括*")=1,"一括検討"),"")</f>
        <v/>
      </c>
      <c r="I159" s="539" t="str">
        <f ca="1">IFERROR(SUBSTITUTE(SUBSTITUTE(OFFSET('4.1(2)新規再エネ導入予定(FS調査、系統接続検討状況)'!$O$1,MATCH($C156,'4.1(2)新規再エネ導入予定(FS調査、系統接続検討状況)'!$G:$G,0)-1,0),"(一括)",""),"(単独)",""),"")</f>
        <v/>
      </c>
    </row>
    <row r="161" spans="1:10" ht="19">
      <c r="B161" s="200" t="s">
        <v>215</v>
      </c>
    </row>
    <row r="162" spans="1:10" ht="21">
      <c r="B162" s="209" t="str">
        <f ca="1">IFERROR(_xlfn.TEXTJOIN(" ",1,C154,B156,C156),"")</f>
        <v/>
      </c>
      <c r="C162" s="210"/>
      <c r="D162" s="210"/>
    </row>
    <row r="163" spans="1:10" ht="28.5" customHeight="1">
      <c r="B163" s="211" t="s">
        <v>214</v>
      </c>
      <c r="C163" s="211"/>
      <c r="D163" s="211" t="s">
        <v>213</v>
      </c>
      <c r="E163" s="211"/>
      <c r="F163" s="211" t="s">
        <v>227</v>
      </c>
      <c r="G163" s="211"/>
      <c r="H163" s="211"/>
      <c r="I163" s="294"/>
    </row>
    <row r="164" spans="1:10" ht="114.65" customHeight="1">
      <c r="B164" s="997" t="s">
        <v>212</v>
      </c>
      <c r="C164" s="212" t="s">
        <v>211</v>
      </c>
      <c r="D164" s="995" t="s">
        <v>210</v>
      </c>
      <c r="E164" s="996"/>
      <c r="F164" s="992"/>
      <c r="G164" s="993"/>
      <c r="H164" s="993"/>
      <c r="I164" s="994"/>
    </row>
    <row r="165" spans="1:10" ht="114.65" customHeight="1">
      <c r="B165" s="997"/>
      <c r="C165" s="213" t="s">
        <v>209</v>
      </c>
      <c r="D165" s="995" t="s">
        <v>208</v>
      </c>
      <c r="E165" s="996"/>
      <c r="F165" s="992"/>
      <c r="G165" s="993"/>
      <c r="H165" s="993"/>
      <c r="I165" s="994"/>
    </row>
    <row r="166" spans="1:10" ht="114.65" customHeight="1">
      <c r="B166" s="998">
        <v>2</v>
      </c>
      <c r="C166" s="998"/>
      <c r="D166" s="995" t="s">
        <v>207</v>
      </c>
      <c r="E166" s="996"/>
      <c r="F166" s="992"/>
      <c r="G166" s="993"/>
      <c r="H166" s="993"/>
      <c r="I166" s="994"/>
    </row>
    <row r="167" spans="1:10" ht="114.65" customHeight="1">
      <c r="B167" s="999">
        <v>3</v>
      </c>
      <c r="C167" s="213" t="s">
        <v>206</v>
      </c>
      <c r="D167" s="995" t="s">
        <v>205</v>
      </c>
      <c r="E167" s="996"/>
      <c r="F167" s="992"/>
      <c r="G167" s="993"/>
      <c r="H167" s="993"/>
      <c r="I167" s="994"/>
    </row>
    <row r="168" spans="1:10" ht="114.65" customHeight="1">
      <c r="B168" s="999"/>
      <c r="C168" s="213" t="s">
        <v>204</v>
      </c>
      <c r="D168" s="995" t="s">
        <v>203</v>
      </c>
      <c r="E168" s="996"/>
      <c r="F168" s="992"/>
      <c r="G168" s="993"/>
      <c r="H168" s="993"/>
      <c r="I168" s="994"/>
    </row>
    <row r="169" spans="1:10" ht="115" customHeight="1">
      <c r="B169" s="998">
        <v>4</v>
      </c>
      <c r="C169" s="998"/>
      <c r="D169" s="995" t="s">
        <v>202</v>
      </c>
      <c r="E169" s="996"/>
      <c r="F169" s="992"/>
      <c r="G169" s="993"/>
      <c r="H169" s="993"/>
      <c r="I169" s="994"/>
    </row>
    <row r="170" spans="1:10" ht="132" customHeight="1">
      <c r="B170" s="998">
        <v>5</v>
      </c>
      <c r="C170" s="998"/>
      <c r="D170" s="995" t="s">
        <v>201</v>
      </c>
      <c r="E170" s="996"/>
      <c r="F170" s="992"/>
      <c r="G170" s="993"/>
      <c r="H170" s="993"/>
      <c r="I170" s="994"/>
    </row>
    <row r="172" spans="1:10">
      <c r="A172" s="214"/>
      <c r="B172" s="214"/>
      <c r="C172" s="214"/>
      <c r="D172" s="214"/>
      <c r="E172" s="214"/>
      <c r="F172" s="214"/>
      <c r="G172" s="214"/>
      <c r="H172" s="214"/>
      <c r="I172" s="295"/>
      <c r="J172" s="214"/>
    </row>
    <row r="173" spans="1:10" ht="23.5">
      <c r="B173" s="202" t="s">
        <v>27</v>
      </c>
      <c r="C173" s="202" t="str">
        <f ca="1">IFERROR(OFFSET('4.1(2)新規再エネ導入予定（設備情報）'!$X$1,MATCH(COUNTIF($B$1:B173,"発電方式"),'4.1(2)新規再エネ導入予定（設備情報）'!$AK:$AK,0)-1,0),"")</f>
        <v/>
      </c>
      <c r="D173" s="203"/>
    </row>
    <row r="174" spans="1:10" ht="39.75" customHeight="1">
      <c r="B174" s="204" t="s">
        <v>8</v>
      </c>
      <c r="C174" s="204" t="s">
        <v>182</v>
      </c>
      <c r="D174" s="205" t="s">
        <v>181</v>
      </c>
      <c r="E174" s="204" t="s">
        <v>9</v>
      </c>
      <c r="F174" s="206" t="s">
        <v>10</v>
      </c>
      <c r="G174" s="205" t="s">
        <v>31</v>
      </c>
      <c r="H174" s="204" t="s">
        <v>13</v>
      </c>
      <c r="I174" s="206" t="s">
        <v>81</v>
      </c>
    </row>
    <row r="175" spans="1:10" ht="36" customHeight="1">
      <c r="B175" s="535" t="str">
        <f ca="1">IFERROR(OFFSET('4.1(2)新規再エネ導入予定（設備情報）'!$F$1,MATCH($C175,'4.1(2)新規再エネ導入予定（設備情報）'!$G:$G,0)-1,0),"")</f>
        <v/>
      </c>
      <c r="C175" s="536" t="str">
        <f ca="1">IFERROR(OFFSET('4.1(2)新規再エネ導入予定（設備情報）'!$G$7,MATCH(COUNTIF($B$1:B173,"発電方式"),'4.1(2)新規再エネ導入予定（設備情報）'!$AK$8:$AK$1000,0),0),"")</f>
        <v/>
      </c>
      <c r="D175" s="535" t="str">
        <f ca="1">IFERROR(OFFSET('4.1(2)新規再エネ導入予定（設備情報）'!$H$1,MATCH($C175,'4.1(2)新規再エネ導入予定（設備情報）'!$G:$G,0)-1,0),"")</f>
        <v/>
      </c>
      <c r="E175" s="537" t="str">
        <f ca="1">IFERROR(OFFSET('4.1(2)新規再エネ導入予定（設備情報）'!$I$1,MATCH($C175,'4.1(2)新規再エネ導入予定（設備情報）'!$G:$G,0)-1,0),"")</f>
        <v/>
      </c>
      <c r="F175" s="537" t="str">
        <f ca="1">IFERROR(OFFSET('4.1(2)新規再エネ導入予定（設備情報）'!$J$1,MATCH($C175,'4.1(2)新規再エネ導入予定（設備情報）'!$G:$G,0)-1,0),"")</f>
        <v/>
      </c>
      <c r="G175" s="536" t="str">
        <f ca="1">IFERROR(OFFSET('4.1(2)新規再エネ導入予定（設備情報）'!$L$1,MATCH($C175,'4.1(2)新規再エネ導入予定（設備情報）'!$G:$G,0)-1,0),"")</f>
        <v/>
      </c>
      <c r="H175" s="536" t="str">
        <f ca="1">IFERROR(OFFSET('4.1(2)新規再エネ導入予定（設備情報）'!$M$1,MATCH($C175,'4.1(2)新規再エネ導入予定（設備情報）'!$G:$G,0)-1,0),"")</f>
        <v/>
      </c>
      <c r="I175" s="538" t="str">
        <f ca="1">IFERROR(OFFSET('4.1(2)新規再エネ導入予定（設備情報）'!$P$1,MATCH($C175,'4.1(2)新規再エネ導入予定（設備情報）'!$G:$G,0)-1,0),"")</f>
        <v/>
      </c>
    </row>
    <row r="176" spans="1:10" ht="16.5" customHeight="1">
      <c r="B176" s="1000" t="s">
        <v>178</v>
      </c>
      <c r="C176" s="1002" t="s">
        <v>14</v>
      </c>
      <c r="D176" s="1004" t="s">
        <v>217</v>
      </c>
      <c r="E176" s="1006" t="s">
        <v>216</v>
      </c>
      <c r="F176" s="1007"/>
      <c r="G176" s="1008"/>
      <c r="H176" s="1006" t="s">
        <v>108</v>
      </c>
      <c r="I176" s="1008"/>
    </row>
    <row r="177" spans="1:10" ht="42.75" customHeight="1">
      <c r="B177" s="1001"/>
      <c r="C177" s="1003"/>
      <c r="D177" s="1005"/>
      <c r="E177" s="207" t="s">
        <v>289</v>
      </c>
      <c r="F177" s="208" t="s">
        <v>109</v>
      </c>
      <c r="G177" s="208" t="s">
        <v>110</v>
      </c>
      <c r="H177" s="208" t="s">
        <v>276</v>
      </c>
      <c r="I177" s="207" t="s">
        <v>243</v>
      </c>
    </row>
    <row r="178" spans="1:10" ht="46.5" customHeight="1">
      <c r="B178" s="536" t="str">
        <f ca="1">IFERROR(OFFSET('4.1(2)新規再エネ導入予定（設備情報）'!$O$1,MATCH($C175,'4.1(2)新規再エネ導入予定（設備情報）'!$G:$G,0)-1,0),"")</f>
        <v/>
      </c>
      <c r="C178" s="536" t="str">
        <f ca="1">IFERROR(OFFSET('4.1(2)新規再エネ導入予定（設備情報）'!$R$1,MATCH($C175,'4.1(2)新規再エネ導入予定（設備情報）'!$G:$G,0)-1,0),"")</f>
        <v/>
      </c>
      <c r="D178" s="536" t="str">
        <f ca="1">IFERROR(OFFSET('4.1(2)新規再エネ導入予定（設備情報）'!$S$1,MATCH($C175,'4.1(2)新規再エネ導入予定（設備情報）'!$G:$G,0)-1,0),"")</f>
        <v/>
      </c>
      <c r="E178" s="536" t="str">
        <f ca="1">IF($C175="","",IFERROR(OFFSET('4.1(2)新規再エネ導入予定(FS調査、系統接続検討状況)'!$L$1,MATCH($C175,'4.1(2)新規再エネ導入予定(FS調査、系統接続検討状況)'!$G:$G,0)-1,0),""))</f>
        <v/>
      </c>
      <c r="F178" s="536" t="str">
        <f ca="1">IF($C175="","",IFERROR(OFFSET('4.1(2)新規再エネ導入予定(FS調査、系統接続検討状況)'!$M$1,MATCH($C175,'4.1(2)新規再エネ導入予定(FS調査、系統接続検討状況)'!$G:$G,0)-1,0),""))</f>
        <v/>
      </c>
      <c r="G178" s="536" t="str">
        <f ca="1">IF($C175="","",IFERROR(OFFSET('4.1(2)新規再エネ導入予定(FS調査、系統接続検討状況)'!$N$1,MATCH($C175,'4.1(2)新規再エネ導入予定(FS調査、系統接続検討状況)'!$G:$G,0)-1,0),""))</f>
        <v/>
      </c>
      <c r="H178" s="536" t="str" cm="1">
        <f t="array" aca="1" ref="H178" ca="1">IFERROR(_xlfn.IFS(OR(I178="検討不要",I178="検討未実施",I178="(低圧)申込完了",I178="(低圧)申込準備開始",I178="(低圧)申込準備完了"),"－",COUNTIF(OFFSET('4.1(2)新規再エネ導入予定(FS調査、系統接続検討状況)'!$O$1,MATCH($C175,'4.1(2)新規再エネ導入予定(FS調査、系統接続検討状況)'!$G:$G,0)-1,0),"*単独*")=1,"単独",COUNTIF(OFFSET('4.1(2)新規再エネ導入予定(FS調査、系統接続検討状況)'!$O$1,MATCH($C175,'4.1(2)新規再エネ導入予定(FS調査、系統接続検討状況)'!$G:$G,0)-1,0),"*一括*")=1,"一括検討"),"")</f>
        <v/>
      </c>
      <c r="I178" s="539" t="str">
        <f ca="1">IFERROR(SUBSTITUTE(SUBSTITUTE(OFFSET('4.1(2)新規再エネ導入予定(FS調査、系統接続検討状況)'!$O$1,MATCH($C175,'4.1(2)新規再エネ導入予定(FS調査、系統接続検討状況)'!$G:$G,0)-1,0),"(一括)",""),"(単独)",""),"")</f>
        <v/>
      </c>
    </row>
    <row r="180" spans="1:10" ht="19">
      <c r="B180" s="200" t="s">
        <v>215</v>
      </c>
    </row>
    <row r="181" spans="1:10" ht="21">
      <c r="B181" s="209" t="str">
        <f ca="1">IFERROR(_xlfn.TEXTJOIN(" ",1,C173,B175,C175),"")</f>
        <v/>
      </c>
      <c r="C181" s="210"/>
      <c r="D181" s="210"/>
    </row>
    <row r="182" spans="1:10" ht="28.5" customHeight="1">
      <c r="B182" s="211" t="s">
        <v>214</v>
      </c>
      <c r="C182" s="211"/>
      <c r="D182" s="211" t="s">
        <v>213</v>
      </c>
      <c r="E182" s="211"/>
      <c r="F182" s="211" t="s">
        <v>227</v>
      </c>
      <c r="G182" s="211"/>
      <c r="H182" s="211"/>
      <c r="I182" s="294"/>
    </row>
    <row r="183" spans="1:10" ht="114.65" customHeight="1">
      <c r="B183" s="997" t="s">
        <v>212</v>
      </c>
      <c r="C183" s="212" t="s">
        <v>211</v>
      </c>
      <c r="D183" s="995" t="s">
        <v>210</v>
      </c>
      <c r="E183" s="996"/>
      <c r="F183" s="992"/>
      <c r="G183" s="993"/>
      <c r="H183" s="993"/>
      <c r="I183" s="994"/>
    </row>
    <row r="184" spans="1:10" ht="114.65" customHeight="1">
      <c r="B184" s="997"/>
      <c r="C184" s="213" t="s">
        <v>209</v>
      </c>
      <c r="D184" s="995" t="s">
        <v>208</v>
      </c>
      <c r="E184" s="996"/>
      <c r="F184" s="992"/>
      <c r="G184" s="993"/>
      <c r="H184" s="993"/>
      <c r="I184" s="994"/>
    </row>
    <row r="185" spans="1:10" ht="114.65" customHeight="1">
      <c r="B185" s="998">
        <v>2</v>
      </c>
      <c r="C185" s="998"/>
      <c r="D185" s="995" t="s">
        <v>207</v>
      </c>
      <c r="E185" s="996"/>
      <c r="F185" s="992"/>
      <c r="G185" s="993"/>
      <c r="H185" s="993"/>
      <c r="I185" s="994"/>
    </row>
    <row r="186" spans="1:10" ht="114.65" customHeight="1">
      <c r="B186" s="999">
        <v>3</v>
      </c>
      <c r="C186" s="213" t="s">
        <v>206</v>
      </c>
      <c r="D186" s="995" t="s">
        <v>205</v>
      </c>
      <c r="E186" s="996"/>
      <c r="F186" s="992"/>
      <c r="G186" s="993"/>
      <c r="H186" s="993"/>
      <c r="I186" s="994"/>
    </row>
    <row r="187" spans="1:10" ht="114.65" customHeight="1">
      <c r="B187" s="999"/>
      <c r="C187" s="213" t="s">
        <v>204</v>
      </c>
      <c r="D187" s="995" t="s">
        <v>203</v>
      </c>
      <c r="E187" s="996"/>
      <c r="F187" s="992"/>
      <c r="G187" s="993"/>
      <c r="H187" s="993"/>
      <c r="I187" s="994"/>
    </row>
    <row r="188" spans="1:10" ht="115" customHeight="1">
      <c r="B188" s="998">
        <v>4</v>
      </c>
      <c r="C188" s="998"/>
      <c r="D188" s="995" t="s">
        <v>202</v>
      </c>
      <c r="E188" s="996"/>
      <c r="F188" s="992"/>
      <c r="G188" s="993"/>
      <c r="H188" s="993"/>
      <c r="I188" s="994"/>
    </row>
    <row r="189" spans="1:10" ht="132" customHeight="1">
      <c r="B189" s="998">
        <v>5</v>
      </c>
      <c r="C189" s="998"/>
      <c r="D189" s="995" t="s">
        <v>201</v>
      </c>
      <c r="E189" s="996"/>
      <c r="F189" s="992"/>
      <c r="G189" s="993"/>
      <c r="H189" s="993"/>
      <c r="I189" s="994"/>
    </row>
    <row r="191" spans="1:10">
      <c r="A191" s="214"/>
      <c r="B191" s="214"/>
      <c r="C191" s="214"/>
      <c r="D191" s="214"/>
      <c r="E191" s="214"/>
      <c r="F191" s="214"/>
      <c r="G191" s="214"/>
      <c r="H191" s="214"/>
      <c r="I191" s="295"/>
      <c r="J191" s="214"/>
    </row>
    <row r="192" spans="1:10" ht="23.5">
      <c r="B192" s="202" t="s">
        <v>27</v>
      </c>
      <c r="C192" s="202" t="str">
        <f ca="1">IFERROR(OFFSET('4.1(2)新規再エネ導入予定（設備情報）'!$X$1,MATCH(COUNTIF($B$1:B192,"発電方式"),'4.1(2)新規再エネ導入予定（設備情報）'!$AK:$AK,0)-1,0),"")</f>
        <v/>
      </c>
      <c r="D192" s="203"/>
    </row>
    <row r="193" spans="2:9" ht="39.75" customHeight="1">
      <c r="B193" s="204" t="s">
        <v>8</v>
      </c>
      <c r="C193" s="204" t="s">
        <v>182</v>
      </c>
      <c r="D193" s="205" t="s">
        <v>181</v>
      </c>
      <c r="E193" s="204" t="s">
        <v>9</v>
      </c>
      <c r="F193" s="206" t="s">
        <v>10</v>
      </c>
      <c r="G193" s="205" t="s">
        <v>31</v>
      </c>
      <c r="H193" s="204" t="s">
        <v>13</v>
      </c>
      <c r="I193" s="206" t="s">
        <v>81</v>
      </c>
    </row>
    <row r="194" spans="2:9" ht="36" customHeight="1">
      <c r="B194" s="535" t="str">
        <f ca="1">IFERROR(OFFSET('4.1(2)新規再エネ導入予定（設備情報）'!$F$1,MATCH($C194,'4.1(2)新規再エネ導入予定（設備情報）'!$G:$G,0)-1,0),"")</f>
        <v/>
      </c>
      <c r="C194" s="536" t="str">
        <f ca="1">IFERROR(OFFSET('4.1(2)新規再エネ導入予定（設備情報）'!$G$7,MATCH(COUNTIF($B$1:B192,"発電方式"),'4.1(2)新規再エネ導入予定（設備情報）'!$AK$8:$AK$1000,0),0),"")</f>
        <v/>
      </c>
      <c r="D194" s="535" t="str">
        <f ca="1">IFERROR(OFFSET('4.1(2)新規再エネ導入予定（設備情報）'!$H$1,MATCH($C194,'4.1(2)新規再エネ導入予定（設備情報）'!$G:$G,0)-1,0),"")</f>
        <v/>
      </c>
      <c r="E194" s="537" t="str">
        <f ca="1">IFERROR(OFFSET('4.1(2)新規再エネ導入予定（設備情報）'!$I$1,MATCH($C194,'4.1(2)新規再エネ導入予定（設備情報）'!$G:$G,0)-1,0),"")</f>
        <v/>
      </c>
      <c r="F194" s="537" t="str">
        <f ca="1">IFERROR(OFFSET('4.1(2)新規再エネ導入予定（設備情報）'!$J$1,MATCH($C194,'4.1(2)新規再エネ導入予定（設備情報）'!$G:$G,0)-1,0),"")</f>
        <v/>
      </c>
      <c r="G194" s="536" t="str">
        <f ca="1">IFERROR(OFFSET('4.1(2)新規再エネ導入予定（設備情報）'!$L$1,MATCH($C194,'4.1(2)新規再エネ導入予定（設備情報）'!$G:$G,0)-1,0),"")</f>
        <v/>
      </c>
      <c r="H194" s="536" t="str">
        <f ca="1">IFERROR(OFFSET('4.1(2)新規再エネ導入予定（設備情報）'!$M$1,MATCH($C194,'4.1(2)新規再エネ導入予定（設備情報）'!$G:$G,0)-1,0),"")</f>
        <v/>
      </c>
      <c r="I194" s="538" t="str">
        <f ca="1">IFERROR(OFFSET('4.1(2)新規再エネ導入予定（設備情報）'!$P$1,MATCH($C194,'4.1(2)新規再エネ導入予定（設備情報）'!$G:$G,0)-1,0),"")</f>
        <v/>
      </c>
    </row>
    <row r="195" spans="2:9" ht="16.5" customHeight="1">
      <c r="B195" s="1000" t="s">
        <v>178</v>
      </c>
      <c r="C195" s="1002" t="s">
        <v>14</v>
      </c>
      <c r="D195" s="1004" t="s">
        <v>217</v>
      </c>
      <c r="E195" s="1006" t="s">
        <v>216</v>
      </c>
      <c r="F195" s="1007"/>
      <c r="G195" s="1008"/>
      <c r="H195" s="1006" t="s">
        <v>108</v>
      </c>
      <c r="I195" s="1008"/>
    </row>
    <row r="196" spans="2:9" ht="42.75" customHeight="1">
      <c r="B196" s="1001"/>
      <c r="C196" s="1003"/>
      <c r="D196" s="1005"/>
      <c r="E196" s="207" t="s">
        <v>289</v>
      </c>
      <c r="F196" s="208" t="s">
        <v>109</v>
      </c>
      <c r="G196" s="208" t="s">
        <v>110</v>
      </c>
      <c r="H196" s="208" t="s">
        <v>276</v>
      </c>
      <c r="I196" s="207" t="s">
        <v>243</v>
      </c>
    </row>
    <row r="197" spans="2:9" ht="46.5" customHeight="1">
      <c r="B197" s="536" t="str">
        <f ca="1">IFERROR(OFFSET('4.1(2)新規再エネ導入予定（設備情報）'!$O$1,MATCH($C194,'4.1(2)新規再エネ導入予定（設備情報）'!$G:$G,0)-1,0),"")</f>
        <v/>
      </c>
      <c r="C197" s="536" t="str">
        <f ca="1">IFERROR(OFFSET('4.1(2)新規再エネ導入予定（設備情報）'!$R$1,MATCH($C194,'4.1(2)新規再エネ導入予定（設備情報）'!$G:$G,0)-1,0),"")</f>
        <v/>
      </c>
      <c r="D197" s="536" t="str">
        <f ca="1">IFERROR(OFFSET('4.1(2)新規再エネ導入予定（設備情報）'!$S$1,MATCH($C194,'4.1(2)新規再エネ導入予定（設備情報）'!$G:$G,0)-1,0),"")</f>
        <v/>
      </c>
      <c r="E197" s="536" t="str">
        <f ca="1">IF($C194="","",IFERROR(OFFSET('4.1(2)新規再エネ導入予定(FS調査、系統接続検討状況)'!$L$1,MATCH($C194,'4.1(2)新規再エネ導入予定(FS調査、系統接続検討状況)'!$G:$G,0)-1,0),""))</f>
        <v/>
      </c>
      <c r="F197" s="536" t="str">
        <f ca="1">IF($C194="","",IFERROR(OFFSET('4.1(2)新規再エネ導入予定(FS調査、系統接続検討状況)'!$M$1,MATCH($C194,'4.1(2)新規再エネ導入予定(FS調査、系統接続検討状況)'!$G:$G,0)-1,0),""))</f>
        <v/>
      </c>
      <c r="G197" s="536" t="str">
        <f ca="1">IF($C194="","",IFERROR(OFFSET('4.1(2)新規再エネ導入予定(FS調査、系統接続検討状況)'!$N$1,MATCH($C194,'4.1(2)新規再エネ導入予定(FS調査、系統接続検討状況)'!$G:$G,0)-1,0),""))</f>
        <v/>
      </c>
      <c r="H197" s="536" t="str" cm="1">
        <f t="array" aca="1" ref="H197" ca="1">IFERROR(_xlfn.IFS(OR(I197="検討不要",I197="検討未実施",I197="(低圧)申込完了",I197="(低圧)申込準備開始",I197="(低圧)申込準備完了"),"－",COUNTIF(OFFSET('4.1(2)新規再エネ導入予定(FS調査、系統接続検討状況)'!$O$1,MATCH($C194,'4.1(2)新規再エネ導入予定(FS調査、系統接続検討状況)'!$G:$G,0)-1,0),"*単独*")=1,"単独",COUNTIF(OFFSET('4.1(2)新規再エネ導入予定(FS調査、系統接続検討状況)'!$O$1,MATCH($C194,'4.1(2)新規再エネ導入予定(FS調査、系統接続検討状況)'!$G:$G,0)-1,0),"*一括*")=1,"一括検討"),"")</f>
        <v/>
      </c>
      <c r="I197" s="539" t="str">
        <f ca="1">IFERROR(SUBSTITUTE(SUBSTITUTE(OFFSET('4.1(2)新規再エネ導入予定(FS調査、系統接続検討状況)'!$O$1,MATCH($C194,'4.1(2)新規再エネ導入予定(FS調査、系統接続検討状況)'!$G:$G,0)-1,0),"(一括)",""),"(単独)",""),"")</f>
        <v/>
      </c>
    </row>
    <row r="199" spans="2:9" ht="19">
      <c r="B199" s="200" t="s">
        <v>215</v>
      </c>
    </row>
    <row r="200" spans="2:9" ht="21">
      <c r="B200" s="209" t="str">
        <f ca="1">IFERROR(_xlfn.TEXTJOIN(" ",1,C192,B194,C194),"")</f>
        <v/>
      </c>
      <c r="C200" s="210"/>
      <c r="D200" s="210"/>
    </row>
    <row r="201" spans="2:9" ht="28.5" customHeight="1">
      <c r="B201" s="211" t="s">
        <v>214</v>
      </c>
      <c r="C201" s="211"/>
      <c r="D201" s="211" t="s">
        <v>213</v>
      </c>
      <c r="E201" s="211"/>
      <c r="F201" s="211" t="s">
        <v>227</v>
      </c>
      <c r="G201" s="211"/>
      <c r="H201" s="211"/>
      <c r="I201" s="294"/>
    </row>
    <row r="202" spans="2:9" ht="114.65" customHeight="1">
      <c r="B202" s="997" t="s">
        <v>212</v>
      </c>
      <c r="C202" s="212" t="s">
        <v>211</v>
      </c>
      <c r="D202" s="995" t="s">
        <v>210</v>
      </c>
      <c r="E202" s="996"/>
      <c r="F202" s="992"/>
      <c r="G202" s="993"/>
      <c r="H202" s="993"/>
      <c r="I202" s="994"/>
    </row>
    <row r="203" spans="2:9" ht="114.65" customHeight="1">
      <c r="B203" s="997"/>
      <c r="C203" s="213" t="s">
        <v>209</v>
      </c>
      <c r="D203" s="995" t="s">
        <v>208</v>
      </c>
      <c r="E203" s="996"/>
      <c r="F203" s="992"/>
      <c r="G203" s="993"/>
      <c r="H203" s="993"/>
      <c r="I203" s="994"/>
    </row>
    <row r="204" spans="2:9" ht="114.65" customHeight="1">
      <c r="B204" s="998">
        <v>2</v>
      </c>
      <c r="C204" s="998"/>
      <c r="D204" s="995" t="s">
        <v>207</v>
      </c>
      <c r="E204" s="996"/>
      <c r="F204" s="992"/>
      <c r="G204" s="993"/>
      <c r="H204" s="993"/>
      <c r="I204" s="994"/>
    </row>
    <row r="205" spans="2:9" ht="114.65" customHeight="1">
      <c r="B205" s="999">
        <v>3</v>
      </c>
      <c r="C205" s="213" t="s">
        <v>206</v>
      </c>
      <c r="D205" s="995" t="s">
        <v>205</v>
      </c>
      <c r="E205" s="996"/>
      <c r="F205" s="992"/>
      <c r="G205" s="993"/>
      <c r="H205" s="993"/>
      <c r="I205" s="994"/>
    </row>
    <row r="206" spans="2:9" ht="114.65" customHeight="1">
      <c r="B206" s="999"/>
      <c r="C206" s="213" t="s">
        <v>204</v>
      </c>
      <c r="D206" s="995" t="s">
        <v>203</v>
      </c>
      <c r="E206" s="996"/>
      <c r="F206" s="992"/>
      <c r="G206" s="993"/>
      <c r="H206" s="993"/>
      <c r="I206" s="994"/>
    </row>
    <row r="207" spans="2:9" ht="115" customHeight="1">
      <c r="B207" s="998">
        <v>4</v>
      </c>
      <c r="C207" s="998"/>
      <c r="D207" s="995" t="s">
        <v>202</v>
      </c>
      <c r="E207" s="996"/>
      <c r="F207" s="992"/>
      <c r="G207" s="993"/>
      <c r="H207" s="993"/>
      <c r="I207" s="994"/>
    </row>
    <row r="208" spans="2:9" ht="132" customHeight="1">
      <c r="B208" s="998">
        <v>5</v>
      </c>
      <c r="C208" s="998"/>
      <c r="D208" s="995" t="s">
        <v>201</v>
      </c>
      <c r="E208" s="996"/>
      <c r="F208" s="992"/>
      <c r="G208" s="993"/>
      <c r="H208" s="993"/>
      <c r="I208" s="994"/>
    </row>
    <row r="210" spans="1:10">
      <c r="A210" s="214"/>
      <c r="B210" s="214"/>
      <c r="C210" s="214"/>
      <c r="D210" s="214"/>
      <c r="E210" s="214"/>
      <c r="F210" s="214"/>
      <c r="G210" s="214"/>
      <c r="H210" s="214"/>
      <c r="I210" s="295"/>
      <c r="J210" s="214"/>
    </row>
    <row r="211" spans="1:10" ht="23.5">
      <c r="B211" s="202" t="s">
        <v>27</v>
      </c>
      <c r="C211" s="202" t="str">
        <f ca="1">IFERROR(OFFSET('4.1(2)新規再エネ導入予定（設備情報）'!$X$1,MATCH(COUNTIF($B$1:B211,"発電方式"),'4.1(2)新規再エネ導入予定（設備情報）'!$AK:$AK,0)-1,0),"")</f>
        <v/>
      </c>
      <c r="D211" s="203"/>
    </row>
    <row r="212" spans="1:10" ht="39.75" customHeight="1">
      <c r="B212" s="204" t="s">
        <v>8</v>
      </c>
      <c r="C212" s="204" t="s">
        <v>182</v>
      </c>
      <c r="D212" s="205" t="s">
        <v>181</v>
      </c>
      <c r="E212" s="204" t="s">
        <v>9</v>
      </c>
      <c r="F212" s="206" t="s">
        <v>10</v>
      </c>
      <c r="G212" s="205" t="s">
        <v>31</v>
      </c>
      <c r="H212" s="204" t="s">
        <v>13</v>
      </c>
      <c r="I212" s="206" t="s">
        <v>81</v>
      </c>
    </row>
    <row r="213" spans="1:10" ht="36" customHeight="1">
      <c r="B213" s="535" t="str">
        <f ca="1">IFERROR(OFFSET('4.1(2)新規再エネ導入予定（設備情報）'!$F$1,MATCH($C213,'4.1(2)新規再エネ導入予定（設備情報）'!$G:$G,0)-1,0),"")</f>
        <v/>
      </c>
      <c r="C213" s="536" t="str">
        <f ca="1">IFERROR(OFFSET('4.1(2)新規再エネ導入予定（設備情報）'!$G$7,MATCH(COUNTIF($B$1:B211,"発電方式"),'4.1(2)新規再エネ導入予定（設備情報）'!$AK$8:$AK$1000,0),0),"")</f>
        <v/>
      </c>
      <c r="D213" s="535" t="str">
        <f ca="1">IFERROR(OFFSET('4.1(2)新規再エネ導入予定（設備情報）'!$H$1,MATCH($C213,'4.1(2)新規再エネ導入予定（設備情報）'!$G:$G,0)-1,0),"")</f>
        <v/>
      </c>
      <c r="E213" s="537" t="str">
        <f ca="1">IFERROR(OFFSET('4.1(2)新規再エネ導入予定（設備情報）'!$I$1,MATCH($C213,'4.1(2)新規再エネ導入予定（設備情報）'!$G:$G,0)-1,0),"")</f>
        <v/>
      </c>
      <c r="F213" s="537" t="str">
        <f ca="1">IFERROR(OFFSET('4.1(2)新規再エネ導入予定（設備情報）'!$J$1,MATCH($C213,'4.1(2)新規再エネ導入予定（設備情報）'!$G:$G,0)-1,0),"")</f>
        <v/>
      </c>
      <c r="G213" s="536" t="str">
        <f ca="1">IFERROR(OFFSET('4.1(2)新規再エネ導入予定（設備情報）'!$L$1,MATCH($C213,'4.1(2)新規再エネ導入予定（設備情報）'!$G:$G,0)-1,0),"")</f>
        <v/>
      </c>
      <c r="H213" s="536" t="str">
        <f ca="1">IFERROR(OFFSET('4.1(2)新規再エネ導入予定（設備情報）'!$M$1,MATCH($C213,'4.1(2)新規再エネ導入予定（設備情報）'!$G:$G,0)-1,0),"")</f>
        <v/>
      </c>
      <c r="I213" s="538" t="str">
        <f ca="1">IFERROR(OFFSET('4.1(2)新規再エネ導入予定（設備情報）'!$P$1,MATCH($C213,'4.1(2)新規再エネ導入予定（設備情報）'!$G:$G,0)-1,0),"")</f>
        <v/>
      </c>
    </row>
    <row r="214" spans="1:10" ht="16.5" customHeight="1">
      <c r="B214" s="1000" t="s">
        <v>178</v>
      </c>
      <c r="C214" s="1002" t="s">
        <v>14</v>
      </c>
      <c r="D214" s="1004" t="s">
        <v>217</v>
      </c>
      <c r="E214" s="1006" t="s">
        <v>216</v>
      </c>
      <c r="F214" s="1007"/>
      <c r="G214" s="1008"/>
      <c r="H214" s="1006" t="s">
        <v>108</v>
      </c>
      <c r="I214" s="1008"/>
    </row>
    <row r="215" spans="1:10" ht="42.75" customHeight="1">
      <c r="B215" s="1001"/>
      <c r="C215" s="1003"/>
      <c r="D215" s="1005"/>
      <c r="E215" s="207" t="s">
        <v>289</v>
      </c>
      <c r="F215" s="208" t="s">
        <v>109</v>
      </c>
      <c r="G215" s="208" t="s">
        <v>110</v>
      </c>
      <c r="H215" s="208" t="s">
        <v>276</v>
      </c>
      <c r="I215" s="207" t="s">
        <v>243</v>
      </c>
    </row>
    <row r="216" spans="1:10" ht="46.5" customHeight="1">
      <c r="B216" s="536" t="str">
        <f ca="1">IFERROR(OFFSET('4.1(2)新規再エネ導入予定（設備情報）'!$O$1,MATCH($C213,'4.1(2)新規再エネ導入予定（設備情報）'!$G:$G,0)-1,0),"")</f>
        <v/>
      </c>
      <c r="C216" s="536" t="str">
        <f ca="1">IFERROR(OFFSET('4.1(2)新規再エネ導入予定（設備情報）'!$R$1,MATCH($C213,'4.1(2)新規再エネ導入予定（設備情報）'!$G:$G,0)-1,0),"")</f>
        <v/>
      </c>
      <c r="D216" s="536" t="str">
        <f ca="1">IFERROR(OFFSET('4.1(2)新規再エネ導入予定（設備情報）'!$S$1,MATCH($C213,'4.1(2)新規再エネ導入予定（設備情報）'!$G:$G,0)-1,0),"")</f>
        <v/>
      </c>
      <c r="E216" s="536" t="str">
        <f ca="1">IF($C213="","",IFERROR(OFFSET('4.1(2)新規再エネ導入予定(FS調査、系統接続検討状況)'!$L$1,MATCH($C213,'4.1(2)新規再エネ導入予定(FS調査、系統接続検討状況)'!$G:$G,0)-1,0),""))</f>
        <v/>
      </c>
      <c r="F216" s="536" t="str">
        <f ca="1">IF($C213="","",IFERROR(OFFSET('4.1(2)新規再エネ導入予定(FS調査、系統接続検討状況)'!$M$1,MATCH($C213,'4.1(2)新規再エネ導入予定(FS調査、系統接続検討状況)'!$G:$G,0)-1,0),""))</f>
        <v/>
      </c>
      <c r="G216" s="536" t="str">
        <f ca="1">IF($C213="","",IFERROR(OFFSET('4.1(2)新規再エネ導入予定(FS調査、系統接続検討状況)'!$N$1,MATCH($C213,'4.1(2)新規再エネ導入予定(FS調査、系統接続検討状況)'!$G:$G,0)-1,0),""))</f>
        <v/>
      </c>
      <c r="H216" s="536" t="str" cm="1">
        <f t="array" aca="1" ref="H216" ca="1">IFERROR(_xlfn.IFS(OR(I216="検討不要",I216="検討未実施",I216="(低圧)申込完了",I216="(低圧)申込準備開始",I216="(低圧)申込準備完了"),"－",COUNTIF(OFFSET('4.1(2)新規再エネ導入予定(FS調査、系統接続検討状況)'!$O$1,MATCH($C213,'4.1(2)新規再エネ導入予定(FS調査、系統接続検討状況)'!$G:$G,0)-1,0),"*単独*")=1,"単独",COUNTIF(OFFSET('4.1(2)新規再エネ導入予定(FS調査、系統接続検討状況)'!$O$1,MATCH($C213,'4.1(2)新規再エネ導入予定(FS調査、系統接続検討状況)'!$G:$G,0)-1,0),"*一括*")=1,"一括検討"),"")</f>
        <v/>
      </c>
      <c r="I216" s="539" t="str">
        <f ca="1">IFERROR(SUBSTITUTE(SUBSTITUTE(OFFSET('4.1(2)新規再エネ導入予定(FS調査、系統接続検討状況)'!$O$1,MATCH($C213,'4.1(2)新規再エネ導入予定(FS調査、系統接続検討状況)'!$G:$G,0)-1,0),"(一括)",""),"(単独)",""),"")</f>
        <v/>
      </c>
    </row>
    <row r="218" spans="1:10" ht="19">
      <c r="B218" s="200" t="s">
        <v>215</v>
      </c>
    </row>
    <row r="219" spans="1:10" ht="21">
      <c r="B219" s="209" t="str">
        <f ca="1">IFERROR(_xlfn.TEXTJOIN(" ",1,C211,B213,C213),"")</f>
        <v/>
      </c>
      <c r="C219" s="210"/>
      <c r="D219" s="210"/>
    </row>
    <row r="220" spans="1:10" ht="28.5" customHeight="1">
      <c r="B220" s="211" t="s">
        <v>214</v>
      </c>
      <c r="C220" s="211"/>
      <c r="D220" s="211" t="s">
        <v>213</v>
      </c>
      <c r="E220" s="211"/>
      <c r="F220" s="211" t="s">
        <v>227</v>
      </c>
      <c r="G220" s="211"/>
      <c r="H220" s="211"/>
      <c r="I220" s="294"/>
    </row>
    <row r="221" spans="1:10" ht="114.65" customHeight="1">
      <c r="B221" s="997" t="s">
        <v>212</v>
      </c>
      <c r="C221" s="212" t="s">
        <v>211</v>
      </c>
      <c r="D221" s="995" t="s">
        <v>210</v>
      </c>
      <c r="E221" s="996"/>
      <c r="F221" s="992"/>
      <c r="G221" s="993"/>
      <c r="H221" s="993"/>
      <c r="I221" s="994"/>
    </row>
    <row r="222" spans="1:10" ht="114.65" customHeight="1">
      <c r="B222" s="997"/>
      <c r="C222" s="213" t="s">
        <v>209</v>
      </c>
      <c r="D222" s="995" t="s">
        <v>208</v>
      </c>
      <c r="E222" s="996"/>
      <c r="F222" s="992"/>
      <c r="G222" s="993"/>
      <c r="H222" s="993"/>
      <c r="I222" s="994"/>
    </row>
    <row r="223" spans="1:10" ht="114.65" customHeight="1">
      <c r="B223" s="998">
        <v>2</v>
      </c>
      <c r="C223" s="998"/>
      <c r="D223" s="995" t="s">
        <v>207</v>
      </c>
      <c r="E223" s="996"/>
      <c r="F223" s="992"/>
      <c r="G223" s="993"/>
      <c r="H223" s="993"/>
      <c r="I223" s="994"/>
    </row>
    <row r="224" spans="1:10" ht="114.65" customHeight="1">
      <c r="B224" s="999">
        <v>3</v>
      </c>
      <c r="C224" s="213" t="s">
        <v>206</v>
      </c>
      <c r="D224" s="995" t="s">
        <v>205</v>
      </c>
      <c r="E224" s="996"/>
      <c r="F224" s="992"/>
      <c r="G224" s="993"/>
      <c r="H224" s="993"/>
      <c r="I224" s="994"/>
    </row>
    <row r="225" spans="1:10" ht="114.65" customHeight="1">
      <c r="B225" s="999"/>
      <c r="C225" s="213" t="s">
        <v>204</v>
      </c>
      <c r="D225" s="995" t="s">
        <v>203</v>
      </c>
      <c r="E225" s="996"/>
      <c r="F225" s="992"/>
      <c r="G225" s="993"/>
      <c r="H225" s="993"/>
      <c r="I225" s="994"/>
    </row>
    <row r="226" spans="1:10" ht="115" customHeight="1">
      <c r="B226" s="998">
        <v>4</v>
      </c>
      <c r="C226" s="998"/>
      <c r="D226" s="995" t="s">
        <v>202</v>
      </c>
      <c r="E226" s="996"/>
      <c r="F226" s="992"/>
      <c r="G226" s="993"/>
      <c r="H226" s="993"/>
      <c r="I226" s="994"/>
    </row>
    <row r="227" spans="1:10" ht="132" customHeight="1">
      <c r="B227" s="998">
        <v>5</v>
      </c>
      <c r="C227" s="998"/>
      <c r="D227" s="995" t="s">
        <v>201</v>
      </c>
      <c r="E227" s="996"/>
      <c r="F227" s="992"/>
      <c r="G227" s="993"/>
      <c r="H227" s="993"/>
      <c r="I227" s="994"/>
    </row>
    <row r="229" spans="1:10">
      <c r="A229" s="214"/>
      <c r="B229" s="214"/>
      <c r="C229" s="214"/>
      <c r="D229" s="214"/>
      <c r="E229" s="214"/>
      <c r="F229" s="214"/>
      <c r="G229" s="214"/>
      <c r="H229" s="214"/>
      <c r="I229" s="295"/>
      <c r="J229" s="214"/>
    </row>
    <row r="230" spans="1:10" ht="23.5">
      <c r="B230" s="202" t="s">
        <v>27</v>
      </c>
      <c r="C230" s="202" t="str">
        <f ca="1">IFERROR(OFFSET('4.1(2)新規再エネ導入予定（設備情報）'!$X$1,MATCH(COUNTIF($B$1:B230,"発電方式"),'4.1(2)新規再エネ導入予定（設備情報）'!$AK:$AK,0)-1,0),"")</f>
        <v/>
      </c>
      <c r="D230" s="203"/>
    </row>
    <row r="231" spans="1:10" ht="39.75" customHeight="1">
      <c r="B231" s="204" t="s">
        <v>8</v>
      </c>
      <c r="C231" s="204" t="s">
        <v>182</v>
      </c>
      <c r="D231" s="205" t="s">
        <v>181</v>
      </c>
      <c r="E231" s="204" t="s">
        <v>9</v>
      </c>
      <c r="F231" s="206" t="s">
        <v>10</v>
      </c>
      <c r="G231" s="205" t="s">
        <v>31</v>
      </c>
      <c r="H231" s="204" t="s">
        <v>13</v>
      </c>
      <c r="I231" s="206" t="s">
        <v>81</v>
      </c>
    </row>
    <row r="232" spans="1:10" ht="36" customHeight="1">
      <c r="B232" s="535" t="str">
        <f ca="1">IFERROR(OFFSET('4.1(2)新規再エネ導入予定（設備情報）'!$F$1,MATCH($C232,'4.1(2)新規再エネ導入予定（設備情報）'!$G:$G,0)-1,0),"")</f>
        <v/>
      </c>
      <c r="C232" s="536" t="str">
        <f ca="1">IFERROR(OFFSET('4.1(2)新規再エネ導入予定（設備情報）'!$G$7,MATCH(COUNTIF($B$1:B230,"発電方式"),'4.1(2)新規再エネ導入予定（設備情報）'!$AK$8:$AK$1000,0),0),"")</f>
        <v/>
      </c>
      <c r="D232" s="535" t="str">
        <f ca="1">IFERROR(OFFSET('4.1(2)新規再エネ導入予定（設備情報）'!$H$1,MATCH($C232,'4.1(2)新規再エネ導入予定（設備情報）'!$G:$G,0)-1,0),"")</f>
        <v/>
      </c>
      <c r="E232" s="537" t="str">
        <f ca="1">IFERROR(OFFSET('4.1(2)新規再エネ導入予定（設備情報）'!$I$1,MATCH($C232,'4.1(2)新規再エネ導入予定（設備情報）'!$G:$G,0)-1,0),"")</f>
        <v/>
      </c>
      <c r="F232" s="537" t="str">
        <f ca="1">IFERROR(OFFSET('4.1(2)新規再エネ導入予定（設備情報）'!$J$1,MATCH($C232,'4.1(2)新規再エネ導入予定（設備情報）'!$G:$G,0)-1,0),"")</f>
        <v/>
      </c>
      <c r="G232" s="536" t="str">
        <f ca="1">IFERROR(OFFSET('4.1(2)新規再エネ導入予定（設備情報）'!$L$1,MATCH($C232,'4.1(2)新規再エネ導入予定（設備情報）'!$G:$G,0)-1,0),"")</f>
        <v/>
      </c>
      <c r="H232" s="536" t="str">
        <f ca="1">IFERROR(OFFSET('4.1(2)新規再エネ導入予定（設備情報）'!$M$1,MATCH($C232,'4.1(2)新規再エネ導入予定（設備情報）'!$G:$G,0)-1,0),"")</f>
        <v/>
      </c>
      <c r="I232" s="538" t="str">
        <f ca="1">IFERROR(OFFSET('4.1(2)新規再エネ導入予定（設備情報）'!$P$1,MATCH($C232,'4.1(2)新規再エネ導入予定（設備情報）'!$G:$G,0)-1,0),"")</f>
        <v/>
      </c>
    </row>
    <row r="233" spans="1:10" ht="16.5" customHeight="1">
      <c r="B233" s="1000" t="s">
        <v>178</v>
      </c>
      <c r="C233" s="1002" t="s">
        <v>14</v>
      </c>
      <c r="D233" s="1004" t="s">
        <v>217</v>
      </c>
      <c r="E233" s="1006" t="s">
        <v>216</v>
      </c>
      <c r="F233" s="1007"/>
      <c r="G233" s="1008"/>
      <c r="H233" s="1006" t="s">
        <v>108</v>
      </c>
      <c r="I233" s="1008"/>
    </row>
    <row r="234" spans="1:10" ht="42.75" customHeight="1">
      <c r="B234" s="1001"/>
      <c r="C234" s="1003"/>
      <c r="D234" s="1005"/>
      <c r="E234" s="207" t="s">
        <v>289</v>
      </c>
      <c r="F234" s="208" t="s">
        <v>109</v>
      </c>
      <c r="G234" s="208" t="s">
        <v>110</v>
      </c>
      <c r="H234" s="208" t="s">
        <v>276</v>
      </c>
      <c r="I234" s="207" t="s">
        <v>243</v>
      </c>
    </row>
    <row r="235" spans="1:10" ht="46.5" customHeight="1">
      <c r="B235" s="536" t="str">
        <f ca="1">IFERROR(OFFSET('4.1(2)新規再エネ導入予定（設備情報）'!$O$1,MATCH($C232,'4.1(2)新規再エネ導入予定（設備情報）'!$G:$G,0)-1,0),"")</f>
        <v/>
      </c>
      <c r="C235" s="536" t="str">
        <f ca="1">IFERROR(OFFSET('4.1(2)新規再エネ導入予定（設備情報）'!$R$1,MATCH($C232,'4.1(2)新規再エネ導入予定（設備情報）'!$G:$G,0)-1,0),"")</f>
        <v/>
      </c>
      <c r="D235" s="536" t="str">
        <f ca="1">IFERROR(OFFSET('4.1(2)新規再エネ導入予定（設備情報）'!$S$1,MATCH($C232,'4.1(2)新規再エネ導入予定（設備情報）'!$G:$G,0)-1,0),"")</f>
        <v/>
      </c>
      <c r="E235" s="536" t="str">
        <f ca="1">IF($C232="","",IFERROR(OFFSET('4.1(2)新規再エネ導入予定(FS調査、系統接続検討状況)'!$L$1,MATCH($C232,'4.1(2)新規再エネ導入予定(FS調査、系統接続検討状況)'!$G:$G,0)-1,0),""))</f>
        <v/>
      </c>
      <c r="F235" s="536" t="str">
        <f ca="1">IF($C232="","",IFERROR(OFFSET('4.1(2)新規再エネ導入予定(FS調査、系統接続検討状況)'!$M$1,MATCH($C232,'4.1(2)新規再エネ導入予定(FS調査、系統接続検討状況)'!$G:$G,0)-1,0),""))</f>
        <v/>
      </c>
      <c r="G235" s="536" t="str">
        <f ca="1">IF($C232="","",IFERROR(OFFSET('4.1(2)新規再エネ導入予定(FS調査、系統接続検討状況)'!$N$1,MATCH($C232,'4.1(2)新規再エネ導入予定(FS調査、系統接続検討状況)'!$G:$G,0)-1,0),""))</f>
        <v/>
      </c>
      <c r="H235" s="536" t="str" cm="1">
        <f t="array" aca="1" ref="H235" ca="1">IFERROR(_xlfn.IFS(OR(I235="検討不要",I235="検討未実施",I235="(低圧)申込完了",I235="(低圧)申込準備開始",I235="(低圧)申込準備完了"),"－",COUNTIF(OFFSET('4.1(2)新規再エネ導入予定(FS調査、系統接続検討状況)'!$O$1,MATCH($C232,'4.1(2)新規再エネ導入予定(FS調査、系統接続検討状況)'!$G:$G,0)-1,0),"*単独*")=1,"単独",COUNTIF(OFFSET('4.1(2)新規再エネ導入予定(FS調査、系統接続検討状況)'!$O$1,MATCH($C232,'4.1(2)新規再エネ導入予定(FS調査、系統接続検討状況)'!$G:$G,0)-1,0),"*一括*")=1,"一括検討"),"")</f>
        <v/>
      </c>
      <c r="I235" s="539" t="str">
        <f ca="1">IFERROR(SUBSTITUTE(SUBSTITUTE(OFFSET('4.1(2)新規再エネ導入予定(FS調査、系統接続検討状況)'!$O$1,MATCH($C232,'4.1(2)新規再エネ導入予定(FS調査、系統接続検討状況)'!$G:$G,0)-1,0),"(一括)",""),"(単独)",""),"")</f>
        <v/>
      </c>
    </row>
    <row r="237" spans="1:10" ht="19">
      <c r="B237" s="200" t="s">
        <v>215</v>
      </c>
    </row>
    <row r="238" spans="1:10" ht="21">
      <c r="B238" s="209" t="str">
        <f ca="1">IFERROR(_xlfn.TEXTJOIN(" ",1,C230,B232,C232),"")</f>
        <v/>
      </c>
      <c r="C238" s="210"/>
      <c r="D238" s="210"/>
    </row>
    <row r="239" spans="1:10" ht="28.5" customHeight="1">
      <c r="B239" s="211" t="s">
        <v>214</v>
      </c>
      <c r="C239" s="211"/>
      <c r="D239" s="211" t="s">
        <v>213</v>
      </c>
      <c r="E239" s="211"/>
      <c r="F239" s="211" t="s">
        <v>227</v>
      </c>
      <c r="G239" s="211"/>
      <c r="H239" s="211"/>
      <c r="I239" s="294"/>
    </row>
    <row r="240" spans="1:10" ht="114.65" customHeight="1">
      <c r="B240" s="997" t="s">
        <v>212</v>
      </c>
      <c r="C240" s="212" t="s">
        <v>211</v>
      </c>
      <c r="D240" s="995" t="s">
        <v>210</v>
      </c>
      <c r="E240" s="996"/>
      <c r="F240" s="992"/>
      <c r="G240" s="993"/>
      <c r="H240" s="993"/>
      <c r="I240" s="994"/>
    </row>
    <row r="241" spans="1:10" ht="114.65" customHeight="1">
      <c r="B241" s="997"/>
      <c r="C241" s="213" t="s">
        <v>209</v>
      </c>
      <c r="D241" s="995" t="s">
        <v>208</v>
      </c>
      <c r="E241" s="996"/>
      <c r="F241" s="992"/>
      <c r="G241" s="993"/>
      <c r="H241" s="993"/>
      <c r="I241" s="994"/>
    </row>
    <row r="242" spans="1:10" ht="114.65" customHeight="1">
      <c r="B242" s="998">
        <v>2</v>
      </c>
      <c r="C242" s="998"/>
      <c r="D242" s="995" t="s">
        <v>207</v>
      </c>
      <c r="E242" s="996"/>
      <c r="F242" s="992"/>
      <c r="G242" s="993"/>
      <c r="H242" s="993"/>
      <c r="I242" s="994"/>
    </row>
    <row r="243" spans="1:10" ht="114.65" customHeight="1">
      <c r="B243" s="999">
        <v>3</v>
      </c>
      <c r="C243" s="213" t="s">
        <v>206</v>
      </c>
      <c r="D243" s="995" t="s">
        <v>205</v>
      </c>
      <c r="E243" s="996"/>
      <c r="F243" s="992"/>
      <c r="G243" s="993"/>
      <c r="H243" s="993"/>
      <c r="I243" s="994"/>
    </row>
    <row r="244" spans="1:10" ht="114.65" customHeight="1">
      <c r="B244" s="999"/>
      <c r="C244" s="213" t="s">
        <v>204</v>
      </c>
      <c r="D244" s="995" t="s">
        <v>203</v>
      </c>
      <c r="E244" s="996"/>
      <c r="F244" s="992"/>
      <c r="G244" s="993"/>
      <c r="H244" s="993"/>
      <c r="I244" s="994"/>
    </row>
    <row r="245" spans="1:10" ht="115" customHeight="1">
      <c r="B245" s="998">
        <v>4</v>
      </c>
      <c r="C245" s="998"/>
      <c r="D245" s="995" t="s">
        <v>202</v>
      </c>
      <c r="E245" s="996"/>
      <c r="F245" s="992"/>
      <c r="G245" s="993"/>
      <c r="H245" s="993"/>
      <c r="I245" s="994"/>
    </row>
    <row r="246" spans="1:10" ht="132" customHeight="1">
      <c r="B246" s="998">
        <v>5</v>
      </c>
      <c r="C246" s="998"/>
      <c r="D246" s="995" t="s">
        <v>201</v>
      </c>
      <c r="E246" s="996"/>
      <c r="F246" s="992"/>
      <c r="G246" s="993"/>
      <c r="H246" s="993"/>
      <c r="I246" s="994"/>
    </row>
    <row r="248" spans="1:10">
      <c r="A248" s="214"/>
      <c r="B248" s="214"/>
      <c r="C248" s="214"/>
      <c r="D248" s="214"/>
      <c r="E248" s="214"/>
      <c r="F248" s="214"/>
      <c r="G248" s="214"/>
      <c r="H248" s="214"/>
      <c r="I248" s="295"/>
      <c r="J248" s="214"/>
    </row>
    <row r="249" spans="1:10" ht="23.5">
      <c r="B249" s="202" t="s">
        <v>27</v>
      </c>
      <c r="C249" s="202" t="str">
        <f ca="1">IFERROR(OFFSET('4.1(2)新規再エネ導入予定（設備情報）'!$X$1,MATCH(COUNTIF($B$1:B249,"発電方式"),'4.1(2)新規再エネ導入予定（設備情報）'!$AK:$AK,0)-1,0),"")</f>
        <v/>
      </c>
      <c r="D249" s="203"/>
    </row>
    <row r="250" spans="1:10" ht="39.75" customHeight="1">
      <c r="B250" s="204" t="s">
        <v>8</v>
      </c>
      <c r="C250" s="204" t="s">
        <v>182</v>
      </c>
      <c r="D250" s="205" t="s">
        <v>181</v>
      </c>
      <c r="E250" s="204" t="s">
        <v>9</v>
      </c>
      <c r="F250" s="206" t="s">
        <v>10</v>
      </c>
      <c r="G250" s="205" t="s">
        <v>31</v>
      </c>
      <c r="H250" s="204" t="s">
        <v>13</v>
      </c>
      <c r="I250" s="206" t="s">
        <v>81</v>
      </c>
    </row>
    <row r="251" spans="1:10" ht="36" customHeight="1">
      <c r="B251" s="535" t="str">
        <f ca="1">IFERROR(OFFSET('4.1(2)新規再エネ導入予定（設備情報）'!$F$1,MATCH($C251,'4.1(2)新規再エネ導入予定（設備情報）'!$G:$G,0)-1,0),"")</f>
        <v/>
      </c>
      <c r="C251" s="536" t="str">
        <f ca="1">IFERROR(OFFSET('4.1(2)新規再エネ導入予定（設備情報）'!$G$7,MATCH(COUNTIF($B$1:B249,"発電方式"),'4.1(2)新規再エネ導入予定（設備情報）'!$AK$8:$AK$1000,0),0),"")</f>
        <v/>
      </c>
      <c r="D251" s="535" t="str">
        <f ca="1">IFERROR(OFFSET('4.1(2)新規再エネ導入予定（設備情報）'!$H$1,MATCH($C251,'4.1(2)新規再エネ導入予定（設備情報）'!$G:$G,0)-1,0),"")</f>
        <v/>
      </c>
      <c r="E251" s="537" t="str">
        <f ca="1">IFERROR(OFFSET('4.1(2)新規再エネ導入予定（設備情報）'!$I$1,MATCH($C251,'4.1(2)新規再エネ導入予定（設備情報）'!$G:$G,0)-1,0),"")</f>
        <v/>
      </c>
      <c r="F251" s="537" t="str">
        <f ca="1">IFERROR(OFFSET('4.1(2)新規再エネ導入予定（設備情報）'!$J$1,MATCH($C251,'4.1(2)新規再エネ導入予定（設備情報）'!$G:$G,0)-1,0),"")</f>
        <v/>
      </c>
      <c r="G251" s="536" t="str">
        <f ca="1">IFERROR(OFFSET('4.1(2)新規再エネ導入予定（設備情報）'!$L$1,MATCH($C251,'4.1(2)新規再エネ導入予定（設備情報）'!$G:$G,0)-1,0),"")</f>
        <v/>
      </c>
      <c r="H251" s="536" t="str">
        <f ca="1">IFERROR(OFFSET('4.1(2)新規再エネ導入予定（設備情報）'!$M$1,MATCH($C251,'4.1(2)新規再エネ導入予定（設備情報）'!$G:$G,0)-1,0),"")</f>
        <v/>
      </c>
      <c r="I251" s="538" t="str">
        <f ca="1">IFERROR(OFFSET('4.1(2)新規再エネ導入予定（設備情報）'!$P$1,MATCH($C251,'4.1(2)新規再エネ導入予定（設備情報）'!$G:$G,0)-1,0),"")</f>
        <v/>
      </c>
    </row>
    <row r="252" spans="1:10" ht="16.5" customHeight="1">
      <c r="B252" s="1000" t="s">
        <v>178</v>
      </c>
      <c r="C252" s="1002" t="s">
        <v>14</v>
      </c>
      <c r="D252" s="1004" t="s">
        <v>217</v>
      </c>
      <c r="E252" s="1006" t="s">
        <v>216</v>
      </c>
      <c r="F252" s="1007"/>
      <c r="G252" s="1008"/>
      <c r="H252" s="1006" t="s">
        <v>108</v>
      </c>
      <c r="I252" s="1008"/>
    </row>
    <row r="253" spans="1:10" ht="42.75" customHeight="1">
      <c r="B253" s="1001"/>
      <c r="C253" s="1003"/>
      <c r="D253" s="1005"/>
      <c r="E253" s="207" t="s">
        <v>289</v>
      </c>
      <c r="F253" s="208" t="s">
        <v>109</v>
      </c>
      <c r="G253" s="208" t="s">
        <v>110</v>
      </c>
      <c r="H253" s="208" t="s">
        <v>276</v>
      </c>
      <c r="I253" s="207" t="s">
        <v>243</v>
      </c>
    </row>
    <row r="254" spans="1:10" ht="46.5" customHeight="1">
      <c r="B254" s="536" t="str">
        <f ca="1">IFERROR(OFFSET('4.1(2)新規再エネ導入予定（設備情報）'!$O$1,MATCH($C251,'4.1(2)新規再エネ導入予定（設備情報）'!$G:$G,0)-1,0),"")</f>
        <v/>
      </c>
      <c r="C254" s="536" t="str">
        <f ca="1">IFERROR(OFFSET('4.1(2)新規再エネ導入予定（設備情報）'!$R$1,MATCH($C251,'4.1(2)新規再エネ導入予定（設備情報）'!$G:$G,0)-1,0),"")</f>
        <v/>
      </c>
      <c r="D254" s="536" t="str">
        <f ca="1">IFERROR(OFFSET('4.1(2)新規再エネ導入予定（設備情報）'!$S$1,MATCH($C251,'4.1(2)新規再エネ導入予定（設備情報）'!$G:$G,0)-1,0),"")</f>
        <v/>
      </c>
      <c r="E254" s="536" t="str">
        <f ca="1">IF($C251="","",IFERROR(OFFSET('4.1(2)新規再エネ導入予定(FS調査、系統接続検討状況)'!$L$1,MATCH($C251,'4.1(2)新規再エネ導入予定(FS調査、系統接続検討状況)'!$G:$G,0)-1,0),""))</f>
        <v/>
      </c>
      <c r="F254" s="536" t="str">
        <f ca="1">IF($C251="","",IFERROR(OFFSET('4.1(2)新規再エネ導入予定(FS調査、系統接続検討状況)'!$M$1,MATCH($C251,'4.1(2)新規再エネ導入予定(FS調査、系統接続検討状況)'!$G:$G,0)-1,0),""))</f>
        <v/>
      </c>
      <c r="G254" s="536" t="str">
        <f ca="1">IF($C251="","",IFERROR(OFFSET('4.1(2)新規再エネ導入予定(FS調査、系統接続検討状況)'!$N$1,MATCH($C251,'4.1(2)新規再エネ導入予定(FS調査、系統接続検討状況)'!$G:$G,0)-1,0),""))</f>
        <v/>
      </c>
      <c r="H254" s="536" t="str" cm="1">
        <f t="array" aca="1" ref="H254" ca="1">IFERROR(_xlfn.IFS(OR(I254="検討不要",I254="検討未実施",I254="(低圧)申込完了",I254="(低圧)申込準備開始",I254="(低圧)申込準備完了"),"－",COUNTIF(OFFSET('4.1(2)新規再エネ導入予定(FS調査、系統接続検討状況)'!$O$1,MATCH($C251,'4.1(2)新規再エネ導入予定(FS調査、系統接続検討状況)'!$G:$G,0)-1,0),"*単独*")=1,"単独",COUNTIF(OFFSET('4.1(2)新規再エネ導入予定(FS調査、系統接続検討状況)'!$O$1,MATCH($C251,'4.1(2)新規再エネ導入予定(FS調査、系統接続検討状況)'!$G:$G,0)-1,0),"*一括*")=1,"一括検討"),"")</f>
        <v/>
      </c>
      <c r="I254" s="539" t="str">
        <f ca="1">IFERROR(SUBSTITUTE(SUBSTITUTE(OFFSET('4.1(2)新規再エネ導入予定(FS調査、系統接続検討状況)'!$O$1,MATCH($C251,'4.1(2)新規再エネ導入予定(FS調査、系統接続検討状況)'!$G:$G,0)-1,0),"(一括)",""),"(単独)",""),"")</f>
        <v/>
      </c>
    </row>
    <row r="256" spans="1:10" ht="19">
      <c r="B256" s="200" t="s">
        <v>215</v>
      </c>
    </row>
    <row r="257" spans="1:10" ht="21">
      <c r="B257" s="209" t="str">
        <f ca="1">IFERROR(_xlfn.TEXTJOIN(" ",1,C249,B251,C251),"")</f>
        <v/>
      </c>
      <c r="C257" s="210"/>
      <c r="D257" s="210"/>
    </row>
    <row r="258" spans="1:10" ht="28.5" customHeight="1">
      <c r="B258" s="211" t="s">
        <v>214</v>
      </c>
      <c r="C258" s="211"/>
      <c r="D258" s="211" t="s">
        <v>213</v>
      </c>
      <c r="E258" s="211"/>
      <c r="F258" s="211" t="s">
        <v>227</v>
      </c>
      <c r="G258" s="211"/>
      <c r="H258" s="211"/>
      <c r="I258" s="294"/>
    </row>
    <row r="259" spans="1:10" ht="114.65" customHeight="1">
      <c r="B259" s="997" t="s">
        <v>212</v>
      </c>
      <c r="C259" s="212" t="s">
        <v>211</v>
      </c>
      <c r="D259" s="995" t="s">
        <v>210</v>
      </c>
      <c r="E259" s="996"/>
      <c r="F259" s="992"/>
      <c r="G259" s="993"/>
      <c r="H259" s="993"/>
      <c r="I259" s="994"/>
    </row>
    <row r="260" spans="1:10" ht="114.65" customHeight="1">
      <c r="B260" s="997"/>
      <c r="C260" s="213" t="s">
        <v>209</v>
      </c>
      <c r="D260" s="995" t="s">
        <v>208</v>
      </c>
      <c r="E260" s="996"/>
      <c r="F260" s="992"/>
      <c r="G260" s="993"/>
      <c r="H260" s="993"/>
      <c r="I260" s="994"/>
    </row>
    <row r="261" spans="1:10" ht="114.65" customHeight="1">
      <c r="B261" s="998">
        <v>2</v>
      </c>
      <c r="C261" s="998"/>
      <c r="D261" s="995" t="s">
        <v>207</v>
      </c>
      <c r="E261" s="996"/>
      <c r="F261" s="992"/>
      <c r="G261" s="993"/>
      <c r="H261" s="993"/>
      <c r="I261" s="994"/>
    </row>
    <row r="262" spans="1:10" ht="114.65" customHeight="1">
      <c r="B262" s="999">
        <v>3</v>
      </c>
      <c r="C262" s="213" t="s">
        <v>206</v>
      </c>
      <c r="D262" s="995" t="s">
        <v>205</v>
      </c>
      <c r="E262" s="996"/>
      <c r="F262" s="992"/>
      <c r="G262" s="993"/>
      <c r="H262" s="993"/>
      <c r="I262" s="994"/>
    </row>
    <row r="263" spans="1:10" ht="114.65" customHeight="1">
      <c r="B263" s="999"/>
      <c r="C263" s="213" t="s">
        <v>204</v>
      </c>
      <c r="D263" s="995" t="s">
        <v>203</v>
      </c>
      <c r="E263" s="996"/>
      <c r="F263" s="992"/>
      <c r="G263" s="993"/>
      <c r="H263" s="993"/>
      <c r="I263" s="994"/>
    </row>
    <row r="264" spans="1:10" ht="115" customHeight="1">
      <c r="B264" s="998">
        <v>4</v>
      </c>
      <c r="C264" s="998"/>
      <c r="D264" s="995" t="s">
        <v>202</v>
      </c>
      <c r="E264" s="996"/>
      <c r="F264" s="992"/>
      <c r="G264" s="993"/>
      <c r="H264" s="993"/>
      <c r="I264" s="994"/>
    </row>
    <row r="265" spans="1:10" ht="132" customHeight="1">
      <c r="B265" s="998">
        <v>5</v>
      </c>
      <c r="C265" s="998"/>
      <c r="D265" s="995" t="s">
        <v>201</v>
      </c>
      <c r="E265" s="996"/>
      <c r="F265" s="992"/>
      <c r="G265" s="993"/>
      <c r="H265" s="993"/>
      <c r="I265" s="994"/>
    </row>
    <row r="267" spans="1:10">
      <c r="A267" s="214"/>
      <c r="B267" s="214"/>
      <c r="C267" s="214"/>
      <c r="D267" s="214"/>
      <c r="E267" s="214"/>
      <c r="F267" s="214"/>
      <c r="G267" s="214"/>
      <c r="H267" s="214"/>
      <c r="I267" s="295"/>
      <c r="J267" s="214"/>
    </row>
    <row r="268" spans="1:10" ht="23.5">
      <c r="B268" s="202" t="s">
        <v>27</v>
      </c>
      <c r="C268" s="202" t="str">
        <f ca="1">IFERROR(OFFSET('4.1(2)新規再エネ導入予定（設備情報）'!$X$1,MATCH(COUNTIF($B$1:B268,"発電方式"),'4.1(2)新規再エネ導入予定（設備情報）'!$AK:$AK,0)-1,0),"")</f>
        <v/>
      </c>
      <c r="D268" s="203"/>
    </row>
    <row r="269" spans="1:10" ht="39.75" customHeight="1">
      <c r="B269" s="204" t="s">
        <v>8</v>
      </c>
      <c r="C269" s="204" t="s">
        <v>182</v>
      </c>
      <c r="D269" s="205" t="s">
        <v>181</v>
      </c>
      <c r="E269" s="204" t="s">
        <v>9</v>
      </c>
      <c r="F269" s="206" t="s">
        <v>10</v>
      </c>
      <c r="G269" s="205" t="s">
        <v>31</v>
      </c>
      <c r="H269" s="204" t="s">
        <v>13</v>
      </c>
      <c r="I269" s="206" t="s">
        <v>81</v>
      </c>
    </row>
    <row r="270" spans="1:10" ht="36" customHeight="1">
      <c r="B270" s="535" t="str">
        <f ca="1">IFERROR(OFFSET('4.1(2)新規再エネ導入予定（設備情報）'!$F$1,MATCH($C270,'4.1(2)新規再エネ導入予定（設備情報）'!$G:$G,0)-1,0),"")</f>
        <v/>
      </c>
      <c r="C270" s="536" t="str">
        <f ca="1">IFERROR(OFFSET('4.1(2)新規再エネ導入予定（設備情報）'!$G$7,MATCH(COUNTIF($B$1:B268,"発電方式"),'4.1(2)新規再エネ導入予定（設備情報）'!$AK$8:$AK$1000,0),0),"")</f>
        <v/>
      </c>
      <c r="D270" s="535" t="str">
        <f ca="1">IFERROR(OFFSET('4.1(2)新規再エネ導入予定（設備情報）'!$H$1,MATCH($C270,'4.1(2)新規再エネ導入予定（設備情報）'!$G:$G,0)-1,0),"")</f>
        <v/>
      </c>
      <c r="E270" s="537" t="str">
        <f ca="1">IFERROR(OFFSET('4.1(2)新規再エネ導入予定（設備情報）'!$I$1,MATCH($C270,'4.1(2)新規再エネ導入予定（設備情報）'!$G:$G,0)-1,0),"")</f>
        <v/>
      </c>
      <c r="F270" s="537" t="str">
        <f ca="1">IFERROR(OFFSET('4.1(2)新規再エネ導入予定（設備情報）'!$J$1,MATCH($C270,'4.1(2)新規再エネ導入予定（設備情報）'!$G:$G,0)-1,0),"")</f>
        <v/>
      </c>
      <c r="G270" s="536" t="str">
        <f ca="1">IFERROR(OFFSET('4.1(2)新規再エネ導入予定（設備情報）'!$L$1,MATCH($C270,'4.1(2)新規再エネ導入予定（設備情報）'!$G:$G,0)-1,0),"")</f>
        <v/>
      </c>
      <c r="H270" s="536" t="str">
        <f ca="1">IFERROR(OFFSET('4.1(2)新規再エネ導入予定（設備情報）'!$M$1,MATCH($C270,'4.1(2)新規再エネ導入予定（設備情報）'!$G:$G,0)-1,0),"")</f>
        <v/>
      </c>
      <c r="I270" s="538" t="str">
        <f ca="1">IFERROR(OFFSET('4.1(2)新規再エネ導入予定（設備情報）'!$P$1,MATCH($C270,'4.1(2)新規再エネ導入予定（設備情報）'!$G:$G,0)-1,0),"")</f>
        <v/>
      </c>
    </row>
    <row r="271" spans="1:10" ht="16.5" customHeight="1">
      <c r="B271" s="1000" t="s">
        <v>178</v>
      </c>
      <c r="C271" s="1002" t="s">
        <v>14</v>
      </c>
      <c r="D271" s="1004" t="s">
        <v>217</v>
      </c>
      <c r="E271" s="1006" t="s">
        <v>216</v>
      </c>
      <c r="F271" s="1007"/>
      <c r="G271" s="1008"/>
      <c r="H271" s="1006" t="s">
        <v>108</v>
      </c>
      <c r="I271" s="1008"/>
    </row>
    <row r="272" spans="1:10" ht="42.75" customHeight="1">
      <c r="B272" s="1001"/>
      <c r="C272" s="1003"/>
      <c r="D272" s="1005"/>
      <c r="E272" s="207" t="s">
        <v>289</v>
      </c>
      <c r="F272" s="208" t="s">
        <v>109</v>
      </c>
      <c r="G272" s="208" t="s">
        <v>110</v>
      </c>
      <c r="H272" s="208" t="s">
        <v>276</v>
      </c>
      <c r="I272" s="207" t="s">
        <v>243</v>
      </c>
    </row>
    <row r="273" spans="1:10" ht="46.5" customHeight="1">
      <c r="B273" s="536" t="str">
        <f ca="1">IFERROR(OFFSET('4.1(2)新規再エネ導入予定（設備情報）'!$O$1,MATCH($C270,'4.1(2)新規再エネ導入予定（設備情報）'!$G:$G,0)-1,0),"")</f>
        <v/>
      </c>
      <c r="C273" s="536" t="str">
        <f ca="1">IFERROR(OFFSET('4.1(2)新規再エネ導入予定（設備情報）'!$R$1,MATCH($C270,'4.1(2)新規再エネ導入予定（設備情報）'!$G:$G,0)-1,0),"")</f>
        <v/>
      </c>
      <c r="D273" s="536" t="str">
        <f ca="1">IFERROR(OFFSET('4.1(2)新規再エネ導入予定（設備情報）'!$S$1,MATCH($C270,'4.1(2)新規再エネ導入予定（設備情報）'!$G:$G,0)-1,0),"")</f>
        <v/>
      </c>
      <c r="E273" s="536" t="str">
        <f ca="1">IF($C270="","",IFERROR(OFFSET('4.1(2)新規再エネ導入予定(FS調査、系統接続検討状況)'!$L$1,MATCH($C270,'4.1(2)新規再エネ導入予定(FS調査、系統接続検討状況)'!$G:$G,0)-1,0),""))</f>
        <v/>
      </c>
      <c r="F273" s="536" t="str">
        <f ca="1">IF($C270="","",IFERROR(OFFSET('4.1(2)新規再エネ導入予定(FS調査、系統接続検討状況)'!$M$1,MATCH($C270,'4.1(2)新規再エネ導入予定(FS調査、系統接続検討状況)'!$G:$G,0)-1,0),""))</f>
        <v/>
      </c>
      <c r="G273" s="536" t="str">
        <f ca="1">IF($C270="","",IFERROR(OFFSET('4.1(2)新規再エネ導入予定(FS調査、系統接続検討状況)'!$N$1,MATCH($C270,'4.1(2)新規再エネ導入予定(FS調査、系統接続検討状況)'!$G:$G,0)-1,0),""))</f>
        <v/>
      </c>
      <c r="H273" s="536" t="str" cm="1">
        <f t="array" aca="1" ref="H273" ca="1">IFERROR(_xlfn.IFS(OR(I273="検討不要",I273="検討未実施",I273="(低圧)申込完了",I273="(低圧)申込準備開始",I273="(低圧)申込準備完了"),"－",COUNTIF(OFFSET('4.1(2)新規再エネ導入予定(FS調査、系統接続検討状況)'!$O$1,MATCH($C270,'4.1(2)新規再エネ導入予定(FS調査、系統接続検討状況)'!$G:$G,0)-1,0),"*単独*")=1,"単独",COUNTIF(OFFSET('4.1(2)新規再エネ導入予定(FS調査、系統接続検討状況)'!$O$1,MATCH($C270,'4.1(2)新規再エネ導入予定(FS調査、系統接続検討状況)'!$G:$G,0)-1,0),"*一括*")=1,"一括検討"),"")</f>
        <v/>
      </c>
      <c r="I273" s="539" t="str">
        <f ca="1">IFERROR(SUBSTITUTE(SUBSTITUTE(OFFSET('4.1(2)新規再エネ導入予定(FS調査、系統接続検討状況)'!$O$1,MATCH($C270,'4.1(2)新規再エネ導入予定(FS調査、系統接続検討状況)'!$G:$G,0)-1,0),"(一括)",""),"(単独)",""),"")</f>
        <v/>
      </c>
    </row>
    <row r="275" spans="1:10" ht="19">
      <c r="B275" s="200" t="s">
        <v>215</v>
      </c>
    </row>
    <row r="276" spans="1:10" ht="21">
      <c r="B276" s="209" t="str">
        <f ca="1">IFERROR(_xlfn.TEXTJOIN(" ",1,C268,B270,C270),"")</f>
        <v/>
      </c>
      <c r="C276" s="210"/>
      <c r="D276" s="210"/>
    </row>
    <row r="277" spans="1:10" ht="28.5" customHeight="1">
      <c r="B277" s="211" t="s">
        <v>214</v>
      </c>
      <c r="C277" s="211"/>
      <c r="D277" s="211" t="s">
        <v>213</v>
      </c>
      <c r="E277" s="211"/>
      <c r="F277" s="211" t="s">
        <v>227</v>
      </c>
      <c r="G277" s="211"/>
      <c r="H277" s="211"/>
      <c r="I277" s="294"/>
    </row>
    <row r="278" spans="1:10" ht="114.65" customHeight="1">
      <c r="B278" s="997" t="s">
        <v>212</v>
      </c>
      <c r="C278" s="212" t="s">
        <v>211</v>
      </c>
      <c r="D278" s="995" t="s">
        <v>210</v>
      </c>
      <c r="E278" s="996"/>
      <c r="F278" s="992"/>
      <c r="G278" s="993"/>
      <c r="H278" s="993"/>
      <c r="I278" s="994"/>
    </row>
    <row r="279" spans="1:10" ht="114.65" customHeight="1">
      <c r="B279" s="997"/>
      <c r="C279" s="213" t="s">
        <v>209</v>
      </c>
      <c r="D279" s="995" t="s">
        <v>208</v>
      </c>
      <c r="E279" s="996"/>
      <c r="F279" s="992"/>
      <c r="G279" s="993"/>
      <c r="H279" s="993"/>
      <c r="I279" s="994"/>
    </row>
    <row r="280" spans="1:10" ht="114.65" customHeight="1">
      <c r="B280" s="998">
        <v>2</v>
      </c>
      <c r="C280" s="998"/>
      <c r="D280" s="995" t="s">
        <v>207</v>
      </c>
      <c r="E280" s="996"/>
      <c r="F280" s="992"/>
      <c r="G280" s="993"/>
      <c r="H280" s="993"/>
      <c r="I280" s="994"/>
    </row>
    <row r="281" spans="1:10" ht="114.65" customHeight="1">
      <c r="B281" s="999">
        <v>3</v>
      </c>
      <c r="C281" s="213" t="s">
        <v>206</v>
      </c>
      <c r="D281" s="995" t="s">
        <v>205</v>
      </c>
      <c r="E281" s="996"/>
      <c r="F281" s="992"/>
      <c r="G281" s="993"/>
      <c r="H281" s="993"/>
      <c r="I281" s="994"/>
    </row>
    <row r="282" spans="1:10" ht="114.65" customHeight="1">
      <c r="B282" s="999"/>
      <c r="C282" s="213" t="s">
        <v>204</v>
      </c>
      <c r="D282" s="995" t="s">
        <v>203</v>
      </c>
      <c r="E282" s="996"/>
      <c r="F282" s="992"/>
      <c r="G282" s="993"/>
      <c r="H282" s="993"/>
      <c r="I282" s="994"/>
    </row>
    <row r="283" spans="1:10" ht="115" customHeight="1">
      <c r="B283" s="998">
        <v>4</v>
      </c>
      <c r="C283" s="998"/>
      <c r="D283" s="995" t="s">
        <v>202</v>
      </c>
      <c r="E283" s="996"/>
      <c r="F283" s="992"/>
      <c r="G283" s="993"/>
      <c r="H283" s="993"/>
      <c r="I283" s="994"/>
    </row>
    <row r="284" spans="1:10" ht="132" customHeight="1">
      <c r="B284" s="998">
        <v>5</v>
      </c>
      <c r="C284" s="998"/>
      <c r="D284" s="995" t="s">
        <v>201</v>
      </c>
      <c r="E284" s="996"/>
      <c r="F284" s="992"/>
      <c r="G284" s="993"/>
      <c r="H284" s="993"/>
      <c r="I284" s="994"/>
    </row>
    <row r="286" spans="1:10">
      <c r="A286" s="214"/>
      <c r="B286" s="214"/>
      <c r="C286" s="214"/>
      <c r="D286" s="214"/>
      <c r="E286" s="214"/>
      <c r="F286" s="214"/>
      <c r="G286" s="214"/>
      <c r="H286" s="214"/>
      <c r="I286" s="295"/>
      <c r="J286" s="214"/>
    </row>
    <row r="287" spans="1:10" ht="23.5">
      <c r="B287" s="202" t="s">
        <v>27</v>
      </c>
      <c r="C287" s="202" t="str">
        <f ca="1">IFERROR(OFFSET('4.1(2)新規再エネ導入予定（設備情報）'!$X$1,MATCH(COUNTIF($B$1:B287,"発電方式"),'4.1(2)新規再エネ導入予定（設備情報）'!$AK:$AK,0)-1,0),"")</f>
        <v/>
      </c>
      <c r="D287" s="203"/>
    </row>
    <row r="288" spans="1:10" ht="39.75" customHeight="1">
      <c r="B288" s="204" t="s">
        <v>8</v>
      </c>
      <c r="C288" s="204" t="s">
        <v>182</v>
      </c>
      <c r="D288" s="205" t="s">
        <v>181</v>
      </c>
      <c r="E288" s="204" t="s">
        <v>9</v>
      </c>
      <c r="F288" s="206" t="s">
        <v>10</v>
      </c>
      <c r="G288" s="205" t="s">
        <v>31</v>
      </c>
      <c r="H288" s="204" t="s">
        <v>13</v>
      </c>
      <c r="I288" s="206" t="s">
        <v>81</v>
      </c>
    </row>
    <row r="289" spans="2:9" ht="36" customHeight="1">
      <c r="B289" s="535" t="str">
        <f ca="1">IFERROR(OFFSET('4.1(2)新規再エネ導入予定（設備情報）'!$F$1,MATCH($C289,'4.1(2)新規再エネ導入予定（設備情報）'!$G:$G,0)-1,0),"")</f>
        <v/>
      </c>
      <c r="C289" s="536" t="str">
        <f ca="1">IFERROR(OFFSET('4.1(2)新規再エネ導入予定（設備情報）'!$G$7,MATCH(COUNTIF($B$1:B287,"発電方式"),'4.1(2)新規再エネ導入予定（設備情報）'!$AK$8:$AK$1000,0),0),"")</f>
        <v/>
      </c>
      <c r="D289" s="535" t="str">
        <f ca="1">IFERROR(OFFSET('4.1(2)新規再エネ導入予定（設備情報）'!$H$1,MATCH($C289,'4.1(2)新規再エネ導入予定（設備情報）'!$G:$G,0)-1,0),"")</f>
        <v/>
      </c>
      <c r="E289" s="537" t="str">
        <f ca="1">IFERROR(OFFSET('4.1(2)新規再エネ導入予定（設備情報）'!$I$1,MATCH($C289,'4.1(2)新規再エネ導入予定（設備情報）'!$G:$G,0)-1,0),"")</f>
        <v/>
      </c>
      <c r="F289" s="537" t="str">
        <f ca="1">IFERROR(OFFSET('4.1(2)新規再エネ導入予定（設備情報）'!$J$1,MATCH($C289,'4.1(2)新規再エネ導入予定（設備情報）'!$G:$G,0)-1,0),"")</f>
        <v/>
      </c>
      <c r="G289" s="536" t="str">
        <f ca="1">IFERROR(OFFSET('4.1(2)新規再エネ導入予定（設備情報）'!$L$1,MATCH($C289,'4.1(2)新規再エネ導入予定（設備情報）'!$G:$G,0)-1,0),"")</f>
        <v/>
      </c>
      <c r="H289" s="536" t="str">
        <f ca="1">IFERROR(OFFSET('4.1(2)新規再エネ導入予定（設備情報）'!$M$1,MATCH($C289,'4.1(2)新規再エネ導入予定（設備情報）'!$G:$G,0)-1,0),"")</f>
        <v/>
      </c>
      <c r="I289" s="538" t="str">
        <f ca="1">IFERROR(OFFSET('4.1(2)新規再エネ導入予定（設備情報）'!$P$1,MATCH($C289,'4.1(2)新規再エネ導入予定（設備情報）'!$G:$G,0)-1,0),"")</f>
        <v/>
      </c>
    </row>
    <row r="290" spans="2:9" ht="16.5" customHeight="1">
      <c r="B290" s="1000" t="s">
        <v>178</v>
      </c>
      <c r="C290" s="1002" t="s">
        <v>14</v>
      </c>
      <c r="D290" s="1004" t="s">
        <v>217</v>
      </c>
      <c r="E290" s="1006" t="s">
        <v>216</v>
      </c>
      <c r="F290" s="1007"/>
      <c r="G290" s="1008"/>
      <c r="H290" s="1006" t="s">
        <v>108</v>
      </c>
      <c r="I290" s="1008"/>
    </row>
    <row r="291" spans="2:9" ht="42.75" customHeight="1">
      <c r="B291" s="1001"/>
      <c r="C291" s="1003"/>
      <c r="D291" s="1005"/>
      <c r="E291" s="207" t="s">
        <v>289</v>
      </c>
      <c r="F291" s="208" t="s">
        <v>109</v>
      </c>
      <c r="G291" s="208" t="s">
        <v>110</v>
      </c>
      <c r="H291" s="208" t="s">
        <v>276</v>
      </c>
      <c r="I291" s="207" t="s">
        <v>243</v>
      </c>
    </row>
    <row r="292" spans="2:9" ht="46.5" customHeight="1">
      <c r="B292" s="536" t="str">
        <f ca="1">IFERROR(OFFSET('4.1(2)新規再エネ導入予定（設備情報）'!$O$1,MATCH($C289,'4.1(2)新規再エネ導入予定（設備情報）'!$G:$G,0)-1,0),"")</f>
        <v/>
      </c>
      <c r="C292" s="536" t="str">
        <f ca="1">IFERROR(OFFSET('4.1(2)新規再エネ導入予定（設備情報）'!$R$1,MATCH($C289,'4.1(2)新規再エネ導入予定（設備情報）'!$G:$G,0)-1,0),"")</f>
        <v/>
      </c>
      <c r="D292" s="536" t="str">
        <f ca="1">IFERROR(OFFSET('4.1(2)新規再エネ導入予定（設備情報）'!$S$1,MATCH($C289,'4.1(2)新規再エネ導入予定（設備情報）'!$G:$G,0)-1,0),"")</f>
        <v/>
      </c>
      <c r="E292" s="536" t="str">
        <f ca="1">IF($C289="","",IFERROR(OFFSET('4.1(2)新規再エネ導入予定(FS調査、系統接続検討状況)'!$L$1,MATCH($C289,'4.1(2)新規再エネ導入予定(FS調査、系統接続検討状況)'!$G:$G,0)-1,0),""))</f>
        <v/>
      </c>
      <c r="F292" s="536" t="str">
        <f ca="1">IF($C289="","",IFERROR(OFFSET('4.1(2)新規再エネ導入予定(FS調査、系統接続検討状況)'!$M$1,MATCH($C289,'4.1(2)新規再エネ導入予定(FS調査、系統接続検討状況)'!$G:$G,0)-1,0),""))</f>
        <v/>
      </c>
      <c r="G292" s="536" t="str">
        <f ca="1">IF($C289="","",IFERROR(OFFSET('4.1(2)新規再エネ導入予定(FS調査、系統接続検討状況)'!$N$1,MATCH($C289,'4.1(2)新規再エネ導入予定(FS調査、系統接続検討状況)'!$G:$G,0)-1,0),""))</f>
        <v/>
      </c>
      <c r="H292" s="536" t="str" cm="1">
        <f t="array" aca="1" ref="H292" ca="1">IFERROR(_xlfn.IFS(OR(I292="検討不要",I292="検討未実施",I292="(低圧)申込完了",I292="(低圧)申込準備開始",I292="(低圧)申込準備完了"),"－",COUNTIF(OFFSET('4.1(2)新規再エネ導入予定(FS調査、系統接続検討状況)'!$O$1,MATCH($C289,'4.1(2)新規再エネ導入予定(FS調査、系統接続検討状況)'!$G:$G,0)-1,0),"*単独*")=1,"単独",COUNTIF(OFFSET('4.1(2)新規再エネ導入予定(FS調査、系統接続検討状況)'!$O$1,MATCH($C289,'4.1(2)新規再エネ導入予定(FS調査、系統接続検討状況)'!$G:$G,0)-1,0),"*一括*")=1,"一括検討"),"")</f>
        <v/>
      </c>
      <c r="I292" s="539" t="str">
        <f ca="1">IFERROR(SUBSTITUTE(SUBSTITUTE(OFFSET('4.1(2)新規再エネ導入予定(FS調査、系統接続検討状況)'!$O$1,MATCH($C289,'4.1(2)新規再エネ導入予定(FS調査、系統接続検討状況)'!$G:$G,0)-1,0),"(一括)",""),"(単独)",""),"")</f>
        <v/>
      </c>
    </row>
    <row r="294" spans="2:9" ht="19">
      <c r="B294" s="200" t="s">
        <v>215</v>
      </c>
    </row>
    <row r="295" spans="2:9" ht="21">
      <c r="B295" s="209" t="str">
        <f ca="1">IFERROR(_xlfn.TEXTJOIN(" ",1,C287,B289,C289),"")</f>
        <v/>
      </c>
      <c r="C295" s="210"/>
      <c r="D295" s="210"/>
    </row>
    <row r="296" spans="2:9" ht="28.5" customHeight="1">
      <c r="B296" s="211" t="s">
        <v>214</v>
      </c>
      <c r="C296" s="211"/>
      <c r="D296" s="211" t="s">
        <v>213</v>
      </c>
      <c r="E296" s="211"/>
      <c r="F296" s="211" t="s">
        <v>227</v>
      </c>
      <c r="G296" s="211"/>
      <c r="H296" s="211"/>
      <c r="I296" s="294"/>
    </row>
    <row r="297" spans="2:9" ht="114.65" customHeight="1">
      <c r="B297" s="997" t="s">
        <v>212</v>
      </c>
      <c r="C297" s="212" t="s">
        <v>211</v>
      </c>
      <c r="D297" s="995" t="s">
        <v>210</v>
      </c>
      <c r="E297" s="996"/>
      <c r="F297" s="992"/>
      <c r="G297" s="993"/>
      <c r="H297" s="993"/>
      <c r="I297" s="994"/>
    </row>
    <row r="298" spans="2:9" ht="114.65" customHeight="1">
      <c r="B298" s="997"/>
      <c r="C298" s="213" t="s">
        <v>209</v>
      </c>
      <c r="D298" s="995" t="s">
        <v>208</v>
      </c>
      <c r="E298" s="996"/>
      <c r="F298" s="992"/>
      <c r="G298" s="993"/>
      <c r="H298" s="993"/>
      <c r="I298" s="994"/>
    </row>
    <row r="299" spans="2:9" ht="114.65" customHeight="1">
      <c r="B299" s="998">
        <v>2</v>
      </c>
      <c r="C299" s="998"/>
      <c r="D299" s="995" t="s">
        <v>207</v>
      </c>
      <c r="E299" s="996"/>
      <c r="F299" s="992"/>
      <c r="G299" s="993"/>
      <c r="H299" s="993"/>
      <c r="I299" s="994"/>
    </row>
    <row r="300" spans="2:9" ht="114.65" customHeight="1">
      <c r="B300" s="999">
        <v>3</v>
      </c>
      <c r="C300" s="213" t="s">
        <v>206</v>
      </c>
      <c r="D300" s="995" t="s">
        <v>205</v>
      </c>
      <c r="E300" s="996"/>
      <c r="F300" s="992"/>
      <c r="G300" s="993"/>
      <c r="H300" s="993"/>
      <c r="I300" s="994"/>
    </row>
    <row r="301" spans="2:9" ht="114.65" customHeight="1">
      <c r="B301" s="999"/>
      <c r="C301" s="213" t="s">
        <v>204</v>
      </c>
      <c r="D301" s="995" t="s">
        <v>203</v>
      </c>
      <c r="E301" s="996"/>
      <c r="F301" s="992"/>
      <c r="G301" s="993"/>
      <c r="H301" s="993"/>
      <c r="I301" s="994"/>
    </row>
    <row r="302" spans="2:9" ht="115" customHeight="1">
      <c r="B302" s="998">
        <v>4</v>
      </c>
      <c r="C302" s="998"/>
      <c r="D302" s="995" t="s">
        <v>202</v>
      </c>
      <c r="E302" s="996"/>
      <c r="F302" s="992"/>
      <c r="G302" s="993"/>
      <c r="H302" s="993"/>
      <c r="I302" s="994"/>
    </row>
    <row r="303" spans="2:9" ht="132" customHeight="1">
      <c r="B303" s="998">
        <v>5</v>
      </c>
      <c r="C303" s="998"/>
      <c r="D303" s="995" t="s">
        <v>201</v>
      </c>
      <c r="E303" s="996"/>
      <c r="F303" s="992"/>
      <c r="G303" s="993"/>
      <c r="H303" s="993"/>
      <c r="I303" s="994"/>
    </row>
    <row r="305" spans="1:10">
      <c r="A305" s="214"/>
      <c r="B305" s="214"/>
      <c r="C305" s="214"/>
      <c r="D305" s="214"/>
      <c r="E305" s="214"/>
      <c r="F305" s="214"/>
      <c r="G305" s="214"/>
      <c r="H305" s="214"/>
      <c r="I305" s="295"/>
      <c r="J305" s="214"/>
    </row>
    <row r="306" spans="1:10" ht="23.5">
      <c r="B306" s="202" t="s">
        <v>27</v>
      </c>
      <c r="C306" s="202" t="str">
        <f ca="1">IFERROR(OFFSET('4.1(2)新規再エネ導入予定（設備情報）'!$X$1,MATCH(COUNTIF($B$1:B306,"発電方式"),'4.1(2)新規再エネ導入予定（設備情報）'!$AK:$AK,0)-1,0),"")</f>
        <v/>
      </c>
      <c r="D306" s="203"/>
    </row>
    <row r="307" spans="1:10" ht="39.75" customHeight="1">
      <c r="B307" s="204" t="s">
        <v>8</v>
      </c>
      <c r="C307" s="204" t="s">
        <v>182</v>
      </c>
      <c r="D307" s="205" t="s">
        <v>181</v>
      </c>
      <c r="E307" s="204" t="s">
        <v>9</v>
      </c>
      <c r="F307" s="206" t="s">
        <v>10</v>
      </c>
      <c r="G307" s="205" t="s">
        <v>31</v>
      </c>
      <c r="H307" s="204" t="s">
        <v>13</v>
      </c>
      <c r="I307" s="206" t="s">
        <v>81</v>
      </c>
    </row>
    <row r="308" spans="1:10" ht="36" customHeight="1">
      <c r="B308" s="535" t="str">
        <f ca="1">IFERROR(OFFSET('4.1(2)新規再エネ導入予定（設備情報）'!$F$1,MATCH($C308,'4.1(2)新規再エネ導入予定（設備情報）'!$G:$G,0)-1,0),"")</f>
        <v/>
      </c>
      <c r="C308" s="536" t="str">
        <f ca="1">IFERROR(OFFSET('4.1(2)新規再エネ導入予定（設備情報）'!$G$7,MATCH(COUNTIF($B$1:B306,"発電方式"),'4.1(2)新規再エネ導入予定（設備情報）'!$AK$8:$AK$1000,0),0),"")</f>
        <v/>
      </c>
      <c r="D308" s="535" t="str">
        <f ca="1">IFERROR(OFFSET('4.1(2)新規再エネ導入予定（設備情報）'!$H$1,MATCH($C308,'4.1(2)新規再エネ導入予定（設備情報）'!$G:$G,0)-1,0),"")</f>
        <v/>
      </c>
      <c r="E308" s="537" t="str">
        <f ca="1">IFERROR(OFFSET('4.1(2)新規再エネ導入予定（設備情報）'!$I$1,MATCH($C308,'4.1(2)新規再エネ導入予定（設備情報）'!$G:$G,0)-1,0),"")</f>
        <v/>
      </c>
      <c r="F308" s="537" t="str">
        <f ca="1">IFERROR(OFFSET('4.1(2)新規再エネ導入予定（設備情報）'!$J$1,MATCH($C308,'4.1(2)新規再エネ導入予定（設備情報）'!$G:$G,0)-1,0),"")</f>
        <v/>
      </c>
      <c r="G308" s="536" t="str">
        <f ca="1">IFERROR(OFFSET('4.1(2)新規再エネ導入予定（設備情報）'!$L$1,MATCH($C308,'4.1(2)新規再エネ導入予定（設備情報）'!$G:$G,0)-1,0),"")</f>
        <v/>
      </c>
      <c r="H308" s="536" t="str">
        <f ca="1">IFERROR(OFFSET('4.1(2)新規再エネ導入予定（設備情報）'!$M$1,MATCH($C308,'4.1(2)新規再エネ導入予定（設備情報）'!$G:$G,0)-1,0),"")</f>
        <v/>
      </c>
      <c r="I308" s="538" t="str">
        <f ca="1">IFERROR(OFFSET('4.1(2)新規再エネ導入予定（設備情報）'!$P$1,MATCH($C308,'4.1(2)新規再エネ導入予定（設備情報）'!$G:$G,0)-1,0),"")</f>
        <v/>
      </c>
    </row>
    <row r="309" spans="1:10" ht="16.5" customHeight="1">
      <c r="B309" s="1000" t="s">
        <v>178</v>
      </c>
      <c r="C309" s="1002" t="s">
        <v>14</v>
      </c>
      <c r="D309" s="1004" t="s">
        <v>217</v>
      </c>
      <c r="E309" s="1006" t="s">
        <v>216</v>
      </c>
      <c r="F309" s="1007"/>
      <c r="G309" s="1008"/>
      <c r="H309" s="1006" t="s">
        <v>108</v>
      </c>
      <c r="I309" s="1008"/>
    </row>
    <row r="310" spans="1:10" ht="42.75" customHeight="1">
      <c r="B310" s="1001"/>
      <c r="C310" s="1003"/>
      <c r="D310" s="1005"/>
      <c r="E310" s="207" t="s">
        <v>289</v>
      </c>
      <c r="F310" s="208" t="s">
        <v>109</v>
      </c>
      <c r="G310" s="208" t="s">
        <v>110</v>
      </c>
      <c r="H310" s="208" t="s">
        <v>276</v>
      </c>
      <c r="I310" s="207" t="s">
        <v>243</v>
      </c>
    </row>
    <row r="311" spans="1:10" ht="46.5" customHeight="1">
      <c r="B311" s="536" t="str">
        <f ca="1">IFERROR(OFFSET('4.1(2)新規再エネ導入予定（設備情報）'!$O$1,MATCH($C308,'4.1(2)新規再エネ導入予定（設備情報）'!$G:$G,0)-1,0),"")</f>
        <v/>
      </c>
      <c r="C311" s="536" t="str">
        <f ca="1">IFERROR(OFFSET('4.1(2)新規再エネ導入予定（設備情報）'!$R$1,MATCH($C308,'4.1(2)新規再エネ導入予定（設備情報）'!$G:$G,0)-1,0),"")</f>
        <v/>
      </c>
      <c r="D311" s="536" t="str">
        <f ca="1">IFERROR(OFFSET('4.1(2)新規再エネ導入予定（設備情報）'!$S$1,MATCH($C308,'4.1(2)新規再エネ導入予定（設備情報）'!$G:$G,0)-1,0),"")</f>
        <v/>
      </c>
      <c r="E311" s="536" t="str">
        <f ca="1">IF($C308="","",IFERROR(OFFSET('4.1(2)新規再エネ導入予定(FS調査、系統接続検討状況)'!$L$1,MATCH($C308,'4.1(2)新規再エネ導入予定(FS調査、系統接続検討状況)'!$G:$G,0)-1,0),""))</f>
        <v/>
      </c>
      <c r="F311" s="536" t="str">
        <f ca="1">IF($C308="","",IFERROR(OFFSET('4.1(2)新規再エネ導入予定(FS調査、系統接続検討状況)'!$M$1,MATCH($C308,'4.1(2)新規再エネ導入予定(FS調査、系統接続検討状況)'!$G:$G,0)-1,0),""))</f>
        <v/>
      </c>
      <c r="G311" s="536" t="str">
        <f ca="1">IF($C308="","",IFERROR(OFFSET('4.1(2)新規再エネ導入予定(FS調査、系統接続検討状況)'!$N$1,MATCH($C308,'4.1(2)新規再エネ導入予定(FS調査、系統接続検討状況)'!$G:$G,0)-1,0),""))</f>
        <v/>
      </c>
      <c r="H311" s="536" t="str" cm="1">
        <f t="array" aca="1" ref="H311" ca="1">IFERROR(_xlfn.IFS(OR(I311="検討不要",I311="検討未実施",I311="(低圧)申込完了",I311="(低圧)申込準備開始",I311="(低圧)申込準備完了"),"－",COUNTIF(OFFSET('4.1(2)新規再エネ導入予定(FS調査、系統接続検討状況)'!$O$1,MATCH($C308,'4.1(2)新規再エネ導入予定(FS調査、系統接続検討状況)'!$G:$G,0)-1,0),"*単独*")=1,"単独",COUNTIF(OFFSET('4.1(2)新規再エネ導入予定(FS調査、系統接続検討状況)'!$O$1,MATCH($C308,'4.1(2)新規再エネ導入予定(FS調査、系統接続検討状況)'!$G:$G,0)-1,0),"*一括*")=1,"一括検討"),"")</f>
        <v/>
      </c>
      <c r="I311" s="539" t="str">
        <f ca="1">IFERROR(SUBSTITUTE(SUBSTITUTE(OFFSET('4.1(2)新規再エネ導入予定(FS調査、系統接続検討状況)'!$O$1,MATCH($C308,'4.1(2)新規再エネ導入予定(FS調査、系統接続検討状況)'!$G:$G,0)-1,0),"(一括)",""),"(単独)",""),"")</f>
        <v/>
      </c>
    </row>
    <row r="313" spans="1:10" ht="19">
      <c r="B313" s="200" t="s">
        <v>215</v>
      </c>
    </row>
    <row r="314" spans="1:10" ht="21">
      <c r="B314" s="209" t="str">
        <f ca="1">IFERROR(_xlfn.TEXTJOIN(" ",1,C306,B308,C308),"")</f>
        <v/>
      </c>
      <c r="C314" s="210"/>
      <c r="D314" s="210"/>
    </row>
    <row r="315" spans="1:10" ht="28.5" customHeight="1">
      <c r="B315" s="211" t="s">
        <v>214</v>
      </c>
      <c r="C315" s="211"/>
      <c r="D315" s="211" t="s">
        <v>213</v>
      </c>
      <c r="E315" s="211"/>
      <c r="F315" s="211" t="s">
        <v>227</v>
      </c>
      <c r="G315" s="211"/>
      <c r="H315" s="211"/>
      <c r="I315" s="294"/>
    </row>
    <row r="316" spans="1:10" ht="114.65" customHeight="1">
      <c r="B316" s="997" t="s">
        <v>212</v>
      </c>
      <c r="C316" s="212" t="s">
        <v>211</v>
      </c>
      <c r="D316" s="995" t="s">
        <v>210</v>
      </c>
      <c r="E316" s="996"/>
      <c r="F316" s="992"/>
      <c r="G316" s="993"/>
      <c r="H316" s="993"/>
      <c r="I316" s="994"/>
    </row>
    <row r="317" spans="1:10" ht="114.65" customHeight="1">
      <c r="B317" s="997"/>
      <c r="C317" s="213" t="s">
        <v>209</v>
      </c>
      <c r="D317" s="995" t="s">
        <v>208</v>
      </c>
      <c r="E317" s="996"/>
      <c r="F317" s="992"/>
      <c r="G317" s="993"/>
      <c r="H317" s="993"/>
      <c r="I317" s="994"/>
    </row>
    <row r="318" spans="1:10" ht="114.65" customHeight="1">
      <c r="B318" s="998">
        <v>2</v>
      </c>
      <c r="C318" s="998"/>
      <c r="D318" s="995" t="s">
        <v>207</v>
      </c>
      <c r="E318" s="996"/>
      <c r="F318" s="992"/>
      <c r="G318" s="993"/>
      <c r="H318" s="993"/>
      <c r="I318" s="994"/>
    </row>
    <row r="319" spans="1:10" ht="114.65" customHeight="1">
      <c r="B319" s="999">
        <v>3</v>
      </c>
      <c r="C319" s="213" t="s">
        <v>206</v>
      </c>
      <c r="D319" s="995" t="s">
        <v>205</v>
      </c>
      <c r="E319" s="996"/>
      <c r="F319" s="992"/>
      <c r="G319" s="993"/>
      <c r="H319" s="993"/>
      <c r="I319" s="994"/>
    </row>
    <row r="320" spans="1:10" ht="114.65" customHeight="1">
      <c r="B320" s="999"/>
      <c r="C320" s="213" t="s">
        <v>204</v>
      </c>
      <c r="D320" s="995" t="s">
        <v>203</v>
      </c>
      <c r="E320" s="996"/>
      <c r="F320" s="992"/>
      <c r="G320" s="993"/>
      <c r="H320" s="993"/>
      <c r="I320" s="994"/>
    </row>
    <row r="321" spans="1:10" ht="115" customHeight="1">
      <c r="B321" s="998">
        <v>4</v>
      </c>
      <c r="C321" s="998"/>
      <c r="D321" s="995" t="s">
        <v>202</v>
      </c>
      <c r="E321" s="996"/>
      <c r="F321" s="992"/>
      <c r="G321" s="993"/>
      <c r="H321" s="993"/>
      <c r="I321" s="994"/>
    </row>
    <row r="322" spans="1:10" ht="132" customHeight="1">
      <c r="B322" s="998">
        <v>5</v>
      </c>
      <c r="C322" s="998"/>
      <c r="D322" s="995" t="s">
        <v>201</v>
      </c>
      <c r="E322" s="996"/>
      <c r="F322" s="992"/>
      <c r="G322" s="993"/>
      <c r="H322" s="993"/>
      <c r="I322" s="994"/>
    </row>
    <row r="324" spans="1:10">
      <c r="A324" s="214"/>
      <c r="B324" s="214"/>
      <c r="C324" s="214"/>
      <c r="D324" s="214"/>
      <c r="E324" s="214"/>
      <c r="F324" s="214"/>
      <c r="G324" s="214"/>
      <c r="H324" s="214"/>
      <c r="I324" s="295"/>
      <c r="J324" s="214"/>
    </row>
    <row r="325" spans="1:10" ht="23.5">
      <c r="B325" s="202" t="s">
        <v>27</v>
      </c>
      <c r="C325" s="202" t="str">
        <f ca="1">IFERROR(OFFSET('4.1(2)新規再エネ導入予定（設備情報）'!$X$1,MATCH(COUNTIF($B$1:B325,"発電方式"),'4.1(2)新規再エネ導入予定（設備情報）'!$AK:$AK,0)-1,0),"")</f>
        <v/>
      </c>
      <c r="D325" s="203"/>
    </row>
    <row r="326" spans="1:10" ht="39.75" customHeight="1">
      <c r="B326" s="204" t="s">
        <v>8</v>
      </c>
      <c r="C326" s="204" t="s">
        <v>182</v>
      </c>
      <c r="D326" s="205" t="s">
        <v>181</v>
      </c>
      <c r="E326" s="204" t="s">
        <v>9</v>
      </c>
      <c r="F326" s="206" t="s">
        <v>10</v>
      </c>
      <c r="G326" s="205" t="s">
        <v>31</v>
      </c>
      <c r="H326" s="204" t="s">
        <v>13</v>
      </c>
      <c r="I326" s="206" t="s">
        <v>81</v>
      </c>
    </row>
    <row r="327" spans="1:10" ht="36" customHeight="1">
      <c r="B327" s="535" t="str">
        <f ca="1">IFERROR(OFFSET('4.1(2)新規再エネ導入予定（設備情報）'!$F$1,MATCH($C327,'4.1(2)新規再エネ導入予定（設備情報）'!$G:$G,0)-1,0),"")</f>
        <v/>
      </c>
      <c r="C327" s="536" t="str">
        <f ca="1">IFERROR(OFFSET('4.1(2)新規再エネ導入予定（設備情報）'!$G$7,MATCH(COUNTIF($B$1:B325,"発電方式"),'4.1(2)新規再エネ導入予定（設備情報）'!$AK$8:$AK$1000,0),0),"")</f>
        <v/>
      </c>
      <c r="D327" s="535" t="str">
        <f ca="1">IFERROR(OFFSET('4.1(2)新規再エネ導入予定（設備情報）'!$H$1,MATCH($C327,'4.1(2)新規再エネ導入予定（設備情報）'!$G:$G,0)-1,0),"")</f>
        <v/>
      </c>
      <c r="E327" s="537" t="str">
        <f ca="1">IFERROR(OFFSET('4.1(2)新規再エネ導入予定（設備情報）'!$I$1,MATCH($C327,'4.1(2)新規再エネ導入予定（設備情報）'!$G:$G,0)-1,0),"")</f>
        <v/>
      </c>
      <c r="F327" s="537" t="str">
        <f ca="1">IFERROR(OFFSET('4.1(2)新規再エネ導入予定（設備情報）'!$J$1,MATCH($C327,'4.1(2)新規再エネ導入予定（設備情報）'!$G:$G,0)-1,0),"")</f>
        <v/>
      </c>
      <c r="G327" s="536" t="str">
        <f ca="1">IFERROR(OFFSET('4.1(2)新規再エネ導入予定（設備情報）'!$L$1,MATCH($C327,'4.1(2)新規再エネ導入予定（設備情報）'!$G:$G,0)-1,0),"")</f>
        <v/>
      </c>
      <c r="H327" s="536" t="str">
        <f ca="1">IFERROR(OFFSET('4.1(2)新規再エネ導入予定（設備情報）'!$M$1,MATCH($C327,'4.1(2)新規再エネ導入予定（設備情報）'!$G:$G,0)-1,0),"")</f>
        <v/>
      </c>
      <c r="I327" s="538" t="str">
        <f ca="1">IFERROR(OFFSET('4.1(2)新規再エネ導入予定（設備情報）'!$P$1,MATCH($C327,'4.1(2)新規再エネ導入予定（設備情報）'!$G:$G,0)-1,0),"")</f>
        <v/>
      </c>
    </row>
    <row r="328" spans="1:10" ht="16.5" customHeight="1">
      <c r="B328" s="1000" t="s">
        <v>178</v>
      </c>
      <c r="C328" s="1002" t="s">
        <v>14</v>
      </c>
      <c r="D328" s="1004" t="s">
        <v>217</v>
      </c>
      <c r="E328" s="1006" t="s">
        <v>216</v>
      </c>
      <c r="F328" s="1007"/>
      <c r="G328" s="1008"/>
      <c r="H328" s="1006" t="s">
        <v>108</v>
      </c>
      <c r="I328" s="1008"/>
    </row>
    <row r="329" spans="1:10" ht="42.75" customHeight="1">
      <c r="B329" s="1001"/>
      <c r="C329" s="1003"/>
      <c r="D329" s="1005"/>
      <c r="E329" s="207" t="s">
        <v>289</v>
      </c>
      <c r="F329" s="208" t="s">
        <v>109</v>
      </c>
      <c r="G329" s="208" t="s">
        <v>110</v>
      </c>
      <c r="H329" s="208" t="s">
        <v>276</v>
      </c>
      <c r="I329" s="207" t="s">
        <v>243</v>
      </c>
    </row>
    <row r="330" spans="1:10" ht="46.5" customHeight="1">
      <c r="B330" s="536" t="str">
        <f ca="1">IFERROR(OFFSET('4.1(2)新規再エネ導入予定（設備情報）'!$O$1,MATCH($C327,'4.1(2)新規再エネ導入予定（設備情報）'!$G:$G,0)-1,0),"")</f>
        <v/>
      </c>
      <c r="C330" s="536" t="str">
        <f ca="1">IFERROR(OFFSET('4.1(2)新規再エネ導入予定（設備情報）'!$R$1,MATCH($C327,'4.1(2)新規再エネ導入予定（設備情報）'!$G:$G,0)-1,0),"")</f>
        <v/>
      </c>
      <c r="D330" s="536" t="str">
        <f ca="1">IFERROR(OFFSET('4.1(2)新規再エネ導入予定（設備情報）'!$S$1,MATCH($C327,'4.1(2)新規再エネ導入予定（設備情報）'!$G:$G,0)-1,0),"")</f>
        <v/>
      </c>
      <c r="E330" s="536" t="str">
        <f ca="1">IF($C327="","",IFERROR(OFFSET('4.1(2)新規再エネ導入予定(FS調査、系統接続検討状況)'!$L$1,MATCH($C327,'4.1(2)新規再エネ導入予定(FS調査、系統接続検討状況)'!$G:$G,0)-1,0),""))</f>
        <v/>
      </c>
      <c r="F330" s="536" t="str">
        <f ca="1">IF($C327="","",IFERROR(OFFSET('4.1(2)新規再エネ導入予定(FS調査、系統接続検討状況)'!$M$1,MATCH($C327,'4.1(2)新規再エネ導入予定(FS調査、系統接続検討状況)'!$G:$G,0)-1,0),""))</f>
        <v/>
      </c>
      <c r="G330" s="536" t="str">
        <f ca="1">IF($C327="","",IFERROR(OFFSET('4.1(2)新規再エネ導入予定(FS調査、系統接続検討状況)'!$N$1,MATCH($C327,'4.1(2)新規再エネ導入予定(FS調査、系統接続検討状況)'!$G:$G,0)-1,0),""))</f>
        <v/>
      </c>
      <c r="H330" s="536" t="str" cm="1">
        <f t="array" aca="1" ref="H330" ca="1">IFERROR(_xlfn.IFS(OR(I330="検討不要",I330="検討未実施",I330="(低圧)申込完了",I330="(低圧)申込準備開始",I330="(低圧)申込準備完了"),"－",COUNTIF(OFFSET('4.1(2)新規再エネ導入予定(FS調査、系統接続検討状況)'!$O$1,MATCH($C327,'4.1(2)新規再エネ導入予定(FS調査、系統接続検討状況)'!$G:$G,0)-1,0),"*単独*")=1,"単独",COUNTIF(OFFSET('4.1(2)新規再エネ導入予定(FS調査、系統接続検討状況)'!$O$1,MATCH($C327,'4.1(2)新規再エネ導入予定(FS調査、系統接続検討状況)'!$G:$G,0)-1,0),"*一括*")=1,"一括検討"),"")</f>
        <v/>
      </c>
      <c r="I330" s="539" t="str">
        <f ca="1">IFERROR(SUBSTITUTE(SUBSTITUTE(OFFSET('4.1(2)新規再エネ導入予定(FS調査、系統接続検討状況)'!$O$1,MATCH($C327,'4.1(2)新規再エネ導入予定(FS調査、系統接続検討状況)'!$G:$G,0)-1,0),"(一括)",""),"(単独)",""),"")</f>
        <v/>
      </c>
    </row>
    <row r="332" spans="1:10" ht="19">
      <c r="B332" s="200" t="s">
        <v>215</v>
      </c>
    </row>
    <row r="333" spans="1:10" ht="21">
      <c r="B333" s="209" t="str">
        <f ca="1">IFERROR(_xlfn.TEXTJOIN(" ",1,C325,B327,C327),"")</f>
        <v/>
      </c>
      <c r="C333" s="210"/>
      <c r="D333" s="210"/>
    </row>
    <row r="334" spans="1:10" ht="28.5" customHeight="1">
      <c r="B334" s="211" t="s">
        <v>214</v>
      </c>
      <c r="C334" s="211"/>
      <c r="D334" s="211" t="s">
        <v>213</v>
      </c>
      <c r="E334" s="211"/>
      <c r="F334" s="211" t="s">
        <v>227</v>
      </c>
      <c r="G334" s="211"/>
      <c r="H334" s="211"/>
      <c r="I334" s="294"/>
    </row>
    <row r="335" spans="1:10" ht="114.65" customHeight="1">
      <c r="B335" s="997" t="s">
        <v>212</v>
      </c>
      <c r="C335" s="212" t="s">
        <v>211</v>
      </c>
      <c r="D335" s="995" t="s">
        <v>210</v>
      </c>
      <c r="E335" s="996"/>
      <c r="F335" s="992"/>
      <c r="G335" s="993"/>
      <c r="H335" s="993"/>
      <c r="I335" s="994"/>
    </row>
    <row r="336" spans="1:10" ht="114.65" customHeight="1">
      <c r="B336" s="997"/>
      <c r="C336" s="213" t="s">
        <v>209</v>
      </c>
      <c r="D336" s="995" t="s">
        <v>208</v>
      </c>
      <c r="E336" s="996"/>
      <c r="F336" s="992"/>
      <c r="G336" s="993"/>
      <c r="H336" s="993"/>
      <c r="I336" s="994"/>
    </row>
    <row r="337" spans="1:10" ht="114.65" customHeight="1">
      <c r="B337" s="998">
        <v>2</v>
      </c>
      <c r="C337" s="998"/>
      <c r="D337" s="995" t="s">
        <v>207</v>
      </c>
      <c r="E337" s="996"/>
      <c r="F337" s="992"/>
      <c r="G337" s="993"/>
      <c r="H337" s="993"/>
      <c r="I337" s="994"/>
    </row>
    <row r="338" spans="1:10" ht="114.65" customHeight="1">
      <c r="B338" s="999">
        <v>3</v>
      </c>
      <c r="C338" s="213" t="s">
        <v>206</v>
      </c>
      <c r="D338" s="995" t="s">
        <v>205</v>
      </c>
      <c r="E338" s="996"/>
      <c r="F338" s="992"/>
      <c r="G338" s="993"/>
      <c r="H338" s="993"/>
      <c r="I338" s="994"/>
    </row>
    <row r="339" spans="1:10" ht="114.65" customHeight="1">
      <c r="B339" s="999"/>
      <c r="C339" s="213" t="s">
        <v>204</v>
      </c>
      <c r="D339" s="995" t="s">
        <v>203</v>
      </c>
      <c r="E339" s="996"/>
      <c r="F339" s="992"/>
      <c r="G339" s="993"/>
      <c r="H339" s="993"/>
      <c r="I339" s="994"/>
    </row>
    <row r="340" spans="1:10" ht="115" customHeight="1">
      <c r="B340" s="998">
        <v>4</v>
      </c>
      <c r="C340" s="998"/>
      <c r="D340" s="995" t="s">
        <v>202</v>
      </c>
      <c r="E340" s="996"/>
      <c r="F340" s="992"/>
      <c r="G340" s="993"/>
      <c r="H340" s="993"/>
      <c r="I340" s="994"/>
    </row>
    <row r="341" spans="1:10" ht="132" customHeight="1">
      <c r="B341" s="998">
        <v>5</v>
      </c>
      <c r="C341" s="998"/>
      <c r="D341" s="995" t="s">
        <v>201</v>
      </c>
      <c r="E341" s="996"/>
      <c r="F341" s="992"/>
      <c r="G341" s="993"/>
      <c r="H341" s="993"/>
      <c r="I341" s="994"/>
    </row>
    <row r="343" spans="1:10">
      <c r="A343" s="214"/>
      <c r="B343" s="214"/>
      <c r="C343" s="214"/>
      <c r="D343" s="214"/>
      <c r="E343" s="214"/>
      <c r="F343" s="214"/>
      <c r="G343" s="214"/>
      <c r="H343" s="214"/>
      <c r="I343" s="295"/>
      <c r="J343" s="214"/>
    </row>
    <row r="344" spans="1:10" ht="23.5">
      <c r="B344" s="202" t="s">
        <v>27</v>
      </c>
      <c r="C344" s="202" t="str">
        <f ca="1">IFERROR(OFFSET('4.1(2)新規再エネ導入予定（設備情報）'!$X$1,MATCH(COUNTIF($B$1:B344,"発電方式"),'4.1(2)新規再エネ導入予定（設備情報）'!$AK:$AK,0)-1,0),"")</f>
        <v/>
      </c>
      <c r="D344" s="203"/>
    </row>
    <row r="345" spans="1:10" ht="39.75" customHeight="1">
      <c r="B345" s="204" t="s">
        <v>8</v>
      </c>
      <c r="C345" s="204" t="s">
        <v>182</v>
      </c>
      <c r="D345" s="205" t="s">
        <v>181</v>
      </c>
      <c r="E345" s="204" t="s">
        <v>9</v>
      </c>
      <c r="F345" s="206" t="s">
        <v>10</v>
      </c>
      <c r="G345" s="205" t="s">
        <v>31</v>
      </c>
      <c r="H345" s="204" t="s">
        <v>13</v>
      </c>
      <c r="I345" s="206" t="s">
        <v>81</v>
      </c>
    </row>
    <row r="346" spans="1:10" ht="36" customHeight="1">
      <c r="B346" s="535" t="str">
        <f ca="1">IFERROR(OFFSET('4.1(2)新規再エネ導入予定（設備情報）'!$F$1,MATCH($C346,'4.1(2)新規再エネ導入予定（設備情報）'!$G:$G,0)-1,0),"")</f>
        <v/>
      </c>
      <c r="C346" s="536" t="str">
        <f ca="1">IFERROR(OFFSET('4.1(2)新規再エネ導入予定（設備情報）'!$G$7,MATCH(COUNTIF($B$1:B344,"発電方式"),'4.1(2)新規再エネ導入予定（設備情報）'!$AK$8:$AK$1000,0),0),"")</f>
        <v/>
      </c>
      <c r="D346" s="535" t="str">
        <f ca="1">IFERROR(OFFSET('4.1(2)新規再エネ導入予定（設備情報）'!$H$1,MATCH($C346,'4.1(2)新規再エネ導入予定（設備情報）'!$G:$G,0)-1,0),"")</f>
        <v/>
      </c>
      <c r="E346" s="537" t="str">
        <f ca="1">IFERROR(OFFSET('4.1(2)新規再エネ導入予定（設備情報）'!$I$1,MATCH($C346,'4.1(2)新規再エネ導入予定（設備情報）'!$G:$G,0)-1,0),"")</f>
        <v/>
      </c>
      <c r="F346" s="537" t="str">
        <f ca="1">IFERROR(OFFSET('4.1(2)新規再エネ導入予定（設備情報）'!$J$1,MATCH($C346,'4.1(2)新規再エネ導入予定（設備情報）'!$G:$G,0)-1,0),"")</f>
        <v/>
      </c>
      <c r="G346" s="536" t="str">
        <f ca="1">IFERROR(OFFSET('4.1(2)新規再エネ導入予定（設備情報）'!$L$1,MATCH($C346,'4.1(2)新規再エネ導入予定（設備情報）'!$G:$G,0)-1,0),"")</f>
        <v/>
      </c>
      <c r="H346" s="536" t="str">
        <f ca="1">IFERROR(OFFSET('4.1(2)新規再エネ導入予定（設備情報）'!$M$1,MATCH($C346,'4.1(2)新規再エネ導入予定（設備情報）'!$G:$G,0)-1,0),"")</f>
        <v/>
      </c>
      <c r="I346" s="538" t="str">
        <f ca="1">IFERROR(OFFSET('4.1(2)新規再エネ導入予定（設備情報）'!$P$1,MATCH($C346,'4.1(2)新規再エネ導入予定（設備情報）'!$G:$G,0)-1,0),"")</f>
        <v/>
      </c>
    </row>
    <row r="347" spans="1:10" ht="16.5" customHeight="1">
      <c r="B347" s="1000" t="s">
        <v>178</v>
      </c>
      <c r="C347" s="1002" t="s">
        <v>14</v>
      </c>
      <c r="D347" s="1004" t="s">
        <v>217</v>
      </c>
      <c r="E347" s="1006" t="s">
        <v>216</v>
      </c>
      <c r="F347" s="1007"/>
      <c r="G347" s="1008"/>
      <c r="H347" s="1006" t="s">
        <v>108</v>
      </c>
      <c r="I347" s="1008"/>
    </row>
    <row r="348" spans="1:10" ht="42.75" customHeight="1">
      <c r="B348" s="1001"/>
      <c r="C348" s="1003"/>
      <c r="D348" s="1005"/>
      <c r="E348" s="207" t="s">
        <v>289</v>
      </c>
      <c r="F348" s="208" t="s">
        <v>109</v>
      </c>
      <c r="G348" s="208" t="s">
        <v>110</v>
      </c>
      <c r="H348" s="208" t="s">
        <v>276</v>
      </c>
      <c r="I348" s="207" t="s">
        <v>243</v>
      </c>
    </row>
    <row r="349" spans="1:10" ht="46.5" customHeight="1">
      <c r="B349" s="536" t="str">
        <f ca="1">IFERROR(OFFSET('4.1(2)新規再エネ導入予定（設備情報）'!$O$1,MATCH($C346,'4.1(2)新規再エネ導入予定（設備情報）'!$G:$G,0)-1,0),"")</f>
        <v/>
      </c>
      <c r="C349" s="536" t="str">
        <f ca="1">IFERROR(OFFSET('4.1(2)新規再エネ導入予定（設備情報）'!$R$1,MATCH($C346,'4.1(2)新規再エネ導入予定（設備情報）'!$G:$G,0)-1,0),"")</f>
        <v/>
      </c>
      <c r="D349" s="536" t="str">
        <f ca="1">IFERROR(OFFSET('4.1(2)新規再エネ導入予定（設備情報）'!$S$1,MATCH($C346,'4.1(2)新規再エネ導入予定（設備情報）'!$G:$G,0)-1,0),"")</f>
        <v/>
      </c>
      <c r="E349" s="536" t="str">
        <f ca="1">IF($C346="","",IFERROR(OFFSET('4.1(2)新規再エネ導入予定(FS調査、系統接続検討状況)'!$L$1,MATCH($C346,'4.1(2)新規再エネ導入予定(FS調査、系統接続検討状況)'!$G:$G,0)-1,0),""))</f>
        <v/>
      </c>
      <c r="F349" s="536" t="str">
        <f ca="1">IF($C346="","",IFERROR(OFFSET('4.1(2)新規再エネ導入予定(FS調査、系統接続検討状況)'!$M$1,MATCH($C346,'4.1(2)新規再エネ導入予定(FS調査、系統接続検討状況)'!$G:$G,0)-1,0),""))</f>
        <v/>
      </c>
      <c r="G349" s="536" t="str">
        <f ca="1">IF($C346="","",IFERROR(OFFSET('4.1(2)新規再エネ導入予定(FS調査、系統接続検討状況)'!$N$1,MATCH($C346,'4.1(2)新規再エネ導入予定(FS調査、系統接続検討状況)'!$G:$G,0)-1,0),""))</f>
        <v/>
      </c>
      <c r="H349" s="536" t="str" cm="1">
        <f t="array" aca="1" ref="H349" ca="1">IFERROR(_xlfn.IFS(OR(I349="検討不要",I349="検討未実施",I349="(低圧)申込完了",I349="(低圧)申込準備開始",I349="(低圧)申込準備完了"),"－",COUNTIF(OFFSET('4.1(2)新規再エネ導入予定(FS調査、系統接続検討状況)'!$O$1,MATCH($C346,'4.1(2)新規再エネ導入予定(FS調査、系統接続検討状況)'!$G:$G,0)-1,0),"*単独*")=1,"単独",COUNTIF(OFFSET('4.1(2)新規再エネ導入予定(FS調査、系統接続検討状況)'!$O$1,MATCH($C346,'4.1(2)新規再エネ導入予定(FS調査、系統接続検討状況)'!$G:$G,0)-1,0),"*一括*")=1,"一括検討"),"")</f>
        <v/>
      </c>
      <c r="I349" s="539" t="str">
        <f ca="1">IFERROR(SUBSTITUTE(SUBSTITUTE(OFFSET('4.1(2)新規再エネ導入予定(FS調査、系統接続検討状況)'!$O$1,MATCH($C346,'4.1(2)新規再エネ導入予定(FS調査、系統接続検討状況)'!$G:$G,0)-1,0),"(一括)",""),"(単独)",""),"")</f>
        <v/>
      </c>
    </row>
    <row r="351" spans="1:10" ht="19">
      <c r="B351" s="200" t="s">
        <v>215</v>
      </c>
    </row>
    <row r="352" spans="1:10" ht="21">
      <c r="B352" s="209" t="str">
        <f ca="1">IFERROR(_xlfn.TEXTJOIN(" ",1,C344,B346,C346),"")</f>
        <v/>
      </c>
      <c r="C352" s="210"/>
      <c r="D352" s="210"/>
    </row>
    <row r="353" spans="1:10" ht="28.5" customHeight="1">
      <c r="B353" s="211" t="s">
        <v>214</v>
      </c>
      <c r="C353" s="211"/>
      <c r="D353" s="211" t="s">
        <v>213</v>
      </c>
      <c r="E353" s="211"/>
      <c r="F353" s="211" t="s">
        <v>227</v>
      </c>
      <c r="G353" s="211"/>
      <c r="H353" s="211"/>
      <c r="I353" s="294"/>
    </row>
    <row r="354" spans="1:10" ht="114.65" customHeight="1">
      <c r="B354" s="997" t="s">
        <v>212</v>
      </c>
      <c r="C354" s="212" t="s">
        <v>211</v>
      </c>
      <c r="D354" s="995" t="s">
        <v>210</v>
      </c>
      <c r="E354" s="996"/>
      <c r="F354" s="992"/>
      <c r="G354" s="993"/>
      <c r="H354" s="993"/>
      <c r="I354" s="994"/>
    </row>
    <row r="355" spans="1:10" ht="114.65" customHeight="1">
      <c r="B355" s="997"/>
      <c r="C355" s="213" t="s">
        <v>209</v>
      </c>
      <c r="D355" s="995" t="s">
        <v>208</v>
      </c>
      <c r="E355" s="996"/>
      <c r="F355" s="992"/>
      <c r="G355" s="993"/>
      <c r="H355" s="993"/>
      <c r="I355" s="994"/>
    </row>
    <row r="356" spans="1:10" ht="114.65" customHeight="1">
      <c r="B356" s="998">
        <v>2</v>
      </c>
      <c r="C356" s="998"/>
      <c r="D356" s="995" t="s">
        <v>207</v>
      </c>
      <c r="E356" s="996"/>
      <c r="F356" s="992"/>
      <c r="G356" s="993"/>
      <c r="H356" s="993"/>
      <c r="I356" s="994"/>
    </row>
    <row r="357" spans="1:10" ht="114.65" customHeight="1">
      <c r="B357" s="999">
        <v>3</v>
      </c>
      <c r="C357" s="213" t="s">
        <v>206</v>
      </c>
      <c r="D357" s="995" t="s">
        <v>205</v>
      </c>
      <c r="E357" s="996"/>
      <c r="F357" s="992"/>
      <c r="G357" s="993"/>
      <c r="H357" s="993"/>
      <c r="I357" s="994"/>
    </row>
    <row r="358" spans="1:10" ht="114.65" customHeight="1">
      <c r="B358" s="999"/>
      <c r="C358" s="213" t="s">
        <v>204</v>
      </c>
      <c r="D358" s="995" t="s">
        <v>203</v>
      </c>
      <c r="E358" s="996"/>
      <c r="F358" s="992"/>
      <c r="G358" s="993"/>
      <c r="H358" s="993"/>
      <c r="I358" s="994"/>
    </row>
    <row r="359" spans="1:10" ht="115" customHeight="1">
      <c r="B359" s="998">
        <v>4</v>
      </c>
      <c r="C359" s="998"/>
      <c r="D359" s="995" t="s">
        <v>202</v>
      </c>
      <c r="E359" s="996"/>
      <c r="F359" s="992"/>
      <c r="G359" s="993"/>
      <c r="H359" s="993"/>
      <c r="I359" s="994"/>
    </row>
    <row r="360" spans="1:10" ht="132" customHeight="1">
      <c r="B360" s="998">
        <v>5</v>
      </c>
      <c r="C360" s="998"/>
      <c r="D360" s="995" t="s">
        <v>201</v>
      </c>
      <c r="E360" s="996"/>
      <c r="F360" s="992"/>
      <c r="G360" s="993"/>
      <c r="H360" s="993"/>
      <c r="I360" s="994"/>
    </row>
    <row r="362" spans="1:10">
      <c r="A362" s="214"/>
      <c r="B362" s="214"/>
      <c r="C362" s="214"/>
      <c r="D362" s="214"/>
      <c r="E362" s="214"/>
      <c r="F362" s="214"/>
      <c r="G362" s="214"/>
      <c r="H362" s="214"/>
      <c r="I362" s="295"/>
      <c r="J362" s="214"/>
    </row>
    <row r="363" spans="1:10" ht="23.5">
      <c r="B363" s="202" t="s">
        <v>27</v>
      </c>
      <c r="C363" s="202" t="str">
        <f ca="1">IFERROR(OFFSET('4.1(2)新規再エネ導入予定（設備情報）'!$X$1,MATCH(COUNTIF($B$1:B363,"発電方式"),'4.1(2)新規再エネ導入予定（設備情報）'!$AK:$AK,0)-1,0),"")</f>
        <v/>
      </c>
      <c r="D363" s="203"/>
    </row>
    <row r="364" spans="1:10" ht="39.75" customHeight="1">
      <c r="B364" s="204" t="s">
        <v>8</v>
      </c>
      <c r="C364" s="204" t="s">
        <v>182</v>
      </c>
      <c r="D364" s="205" t="s">
        <v>181</v>
      </c>
      <c r="E364" s="204" t="s">
        <v>9</v>
      </c>
      <c r="F364" s="206" t="s">
        <v>10</v>
      </c>
      <c r="G364" s="205" t="s">
        <v>31</v>
      </c>
      <c r="H364" s="204" t="s">
        <v>13</v>
      </c>
      <c r="I364" s="206" t="s">
        <v>81</v>
      </c>
    </row>
    <row r="365" spans="1:10" ht="36" customHeight="1">
      <c r="B365" s="535" t="str">
        <f ca="1">IFERROR(OFFSET('4.1(2)新規再エネ導入予定（設備情報）'!$F$1,MATCH($C365,'4.1(2)新規再エネ導入予定（設備情報）'!$G:$G,0)-1,0),"")</f>
        <v/>
      </c>
      <c r="C365" s="536" t="str">
        <f ca="1">IFERROR(OFFSET('4.1(2)新規再エネ導入予定（設備情報）'!$G$7,MATCH(COUNTIF($B$1:B363,"発電方式"),'4.1(2)新規再エネ導入予定（設備情報）'!$AK$8:$AK$1000,0),0),"")</f>
        <v/>
      </c>
      <c r="D365" s="535" t="str">
        <f ca="1">IFERROR(OFFSET('4.1(2)新規再エネ導入予定（設備情報）'!$H$1,MATCH($C365,'4.1(2)新規再エネ導入予定（設備情報）'!$G:$G,0)-1,0),"")</f>
        <v/>
      </c>
      <c r="E365" s="537" t="str">
        <f ca="1">IFERROR(OFFSET('4.1(2)新規再エネ導入予定（設備情報）'!$I$1,MATCH($C365,'4.1(2)新規再エネ導入予定（設備情報）'!$G:$G,0)-1,0),"")</f>
        <v/>
      </c>
      <c r="F365" s="537" t="str">
        <f ca="1">IFERROR(OFFSET('4.1(2)新規再エネ導入予定（設備情報）'!$J$1,MATCH($C365,'4.1(2)新規再エネ導入予定（設備情報）'!$G:$G,0)-1,0),"")</f>
        <v/>
      </c>
      <c r="G365" s="536" t="str">
        <f ca="1">IFERROR(OFFSET('4.1(2)新規再エネ導入予定（設備情報）'!$L$1,MATCH($C365,'4.1(2)新規再エネ導入予定（設備情報）'!$G:$G,0)-1,0),"")</f>
        <v/>
      </c>
      <c r="H365" s="536" t="str">
        <f ca="1">IFERROR(OFFSET('4.1(2)新規再エネ導入予定（設備情報）'!$M$1,MATCH($C365,'4.1(2)新規再エネ導入予定（設備情報）'!$G:$G,0)-1,0),"")</f>
        <v/>
      </c>
      <c r="I365" s="538" t="str">
        <f ca="1">IFERROR(OFFSET('4.1(2)新規再エネ導入予定（設備情報）'!$P$1,MATCH($C365,'4.1(2)新規再エネ導入予定（設備情報）'!$G:$G,0)-1,0),"")</f>
        <v/>
      </c>
    </row>
    <row r="366" spans="1:10" ht="16.5" customHeight="1">
      <c r="B366" s="1000" t="s">
        <v>178</v>
      </c>
      <c r="C366" s="1002" t="s">
        <v>14</v>
      </c>
      <c r="D366" s="1004" t="s">
        <v>217</v>
      </c>
      <c r="E366" s="1006" t="s">
        <v>216</v>
      </c>
      <c r="F366" s="1007"/>
      <c r="G366" s="1008"/>
      <c r="H366" s="1006" t="s">
        <v>108</v>
      </c>
      <c r="I366" s="1008"/>
    </row>
    <row r="367" spans="1:10" ht="42.75" customHeight="1">
      <c r="B367" s="1001"/>
      <c r="C367" s="1003"/>
      <c r="D367" s="1005"/>
      <c r="E367" s="207" t="s">
        <v>289</v>
      </c>
      <c r="F367" s="208" t="s">
        <v>109</v>
      </c>
      <c r="G367" s="208" t="s">
        <v>110</v>
      </c>
      <c r="H367" s="208" t="s">
        <v>276</v>
      </c>
      <c r="I367" s="207" t="s">
        <v>243</v>
      </c>
    </row>
    <row r="368" spans="1:10" ht="46.5" customHeight="1">
      <c r="B368" s="536" t="str">
        <f ca="1">IFERROR(OFFSET('4.1(2)新規再エネ導入予定（設備情報）'!$O$1,MATCH($C365,'4.1(2)新規再エネ導入予定（設備情報）'!$G:$G,0)-1,0),"")</f>
        <v/>
      </c>
      <c r="C368" s="536" t="str">
        <f ca="1">IFERROR(OFFSET('4.1(2)新規再エネ導入予定（設備情報）'!$R$1,MATCH($C365,'4.1(2)新規再エネ導入予定（設備情報）'!$G:$G,0)-1,0),"")</f>
        <v/>
      </c>
      <c r="D368" s="536" t="str">
        <f ca="1">IFERROR(OFFSET('4.1(2)新規再エネ導入予定（設備情報）'!$S$1,MATCH($C365,'4.1(2)新規再エネ導入予定（設備情報）'!$G:$G,0)-1,0),"")</f>
        <v/>
      </c>
      <c r="E368" s="536" t="str">
        <f ca="1">IF($C365="","",IFERROR(OFFSET('4.1(2)新規再エネ導入予定(FS調査、系統接続検討状況)'!$L$1,MATCH($C365,'4.1(2)新規再エネ導入予定(FS調査、系統接続検討状況)'!$G:$G,0)-1,0),""))</f>
        <v/>
      </c>
      <c r="F368" s="536" t="str">
        <f ca="1">IF($C365="","",IFERROR(OFFSET('4.1(2)新規再エネ導入予定(FS調査、系統接続検討状況)'!$M$1,MATCH($C365,'4.1(2)新規再エネ導入予定(FS調査、系統接続検討状況)'!$G:$G,0)-1,0),""))</f>
        <v/>
      </c>
      <c r="G368" s="536" t="str">
        <f ca="1">IF($C365="","",IFERROR(OFFSET('4.1(2)新規再エネ導入予定(FS調査、系統接続検討状況)'!$N$1,MATCH($C365,'4.1(2)新規再エネ導入予定(FS調査、系統接続検討状況)'!$G:$G,0)-1,0),""))</f>
        <v/>
      </c>
      <c r="H368" s="536" t="str" cm="1">
        <f t="array" aca="1" ref="H368" ca="1">IFERROR(_xlfn.IFS(OR(I368="検討不要",I368="検討未実施",I368="(低圧)申込完了",I368="(低圧)申込準備開始",I368="(低圧)申込準備完了"),"－",COUNTIF(OFFSET('4.1(2)新規再エネ導入予定(FS調査、系統接続検討状況)'!$O$1,MATCH($C365,'4.1(2)新規再エネ導入予定(FS調査、系統接続検討状況)'!$G:$G,0)-1,0),"*単独*")=1,"単独",COUNTIF(OFFSET('4.1(2)新規再エネ導入予定(FS調査、系統接続検討状況)'!$O$1,MATCH($C365,'4.1(2)新規再エネ導入予定(FS調査、系統接続検討状況)'!$G:$G,0)-1,0),"*一括*")=1,"一括検討"),"")</f>
        <v/>
      </c>
      <c r="I368" s="539" t="str">
        <f ca="1">IFERROR(SUBSTITUTE(SUBSTITUTE(OFFSET('4.1(2)新規再エネ導入予定(FS調査、系統接続検討状況)'!$O$1,MATCH($C365,'4.1(2)新規再エネ導入予定(FS調査、系統接続検討状況)'!$G:$G,0)-1,0),"(一括)",""),"(単独)",""),"")</f>
        <v/>
      </c>
    </row>
    <row r="370" spans="1:10" ht="19">
      <c r="B370" s="200" t="s">
        <v>215</v>
      </c>
    </row>
    <row r="371" spans="1:10" ht="21">
      <c r="B371" s="209" t="str">
        <f ca="1">IFERROR(_xlfn.TEXTJOIN(" ",1,C363,B365,C365),"")</f>
        <v/>
      </c>
      <c r="C371" s="210"/>
      <c r="D371" s="210"/>
    </row>
    <row r="372" spans="1:10" ht="28.5" customHeight="1">
      <c r="B372" s="211" t="s">
        <v>214</v>
      </c>
      <c r="C372" s="211"/>
      <c r="D372" s="211" t="s">
        <v>213</v>
      </c>
      <c r="E372" s="211"/>
      <c r="F372" s="211" t="s">
        <v>227</v>
      </c>
      <c r="G372" s="211"/>
      <c r="H372" s="211"/>
      <c r="I372" s="294"/>
    </row>
    <row r="373" spans="1:10" ht="114.65" customHeight="1">
      <c r="B373" s="997" t="s">
        <v>212</v>
      </c>
      <c r="C373" s="212" t="s">
        <v>211</v>
      </c>
      <c r="D373" s="995" t="s">
        <v>210</v>
      </c>
      <c r="E373" s="996"/>
      <c r="F373" s="992"/>
      <c r="G373" s="993"/>
      <c r="H373" s="993"/>
      <c r="I373" s="994"/>
    </row>
    <row r="374" spans="1:10" ht="114.65" customHeight="1">
      <c r="B374" s="997"/>
      <c r="C374" s="213" t="s">
        <v>209</v>
      </c>
      <c r="D374" s="995" t="s">
        <v>208</v>
      </c>
      <c r="E374" s="996"/>
      <c r="F374" s="992"/>
      <c r="G374" s="993"/>
      <c r="H374" s="993"/>
      <c r="I374" s="994"/>
    </row>
    <row r="375" spans="1:10" ht="114.65" customHeight="1">
      <c r="B375" s="998">
        <v>2</v>
      </c>
      <c r="C375" s="998"/>
      <c r="D375" s="995" t="s">
        <v>207</v>
      </c>
      <c r="E375" s="996"/>
      <c r="F375" s="992"/>
      <c r="G375" s="993"/>
      <c r="H375" s="993"/>
      <c r="I375" s="994"/>
    </row>
    <row r="376" spans="1:10" ht="114.65" customHeight="1">
      <c r="B376" s="999">
        <v>3</v>
      </c>
      <c r="C376" s="213" t="s">
        <v>206</v>
      </c>
      <c r="D376" s="995" t="s">
        <v>205</v>
      </c>
      <c r="E376" s="996"/>
      <c r="F376" s="992"/>
      <c r="G376" s="993"/>
      <c r="H376" s="993"/>
      <c r="I376" s="994"/>
    </row>
    <row r="377" spans="1:10" ht="114.65" customHeight="1">
      <c r="B377" s="999"/>
      <c r="C377" s="213" t="s">
        <v>204</v>
      </c>
      <c r="D377" s="995" t="s">
        <v>203</v>
      </c>
      <c r="E377" s="996"/>
      <c r="F377" s="992"/>
      <c r="G377" s="993"/>
      <c r="H377" s="993"/>
      <c r="I377" s="994"/>
    </row>
    <row r="378" spans="1:10" ht="115" customHeight="1">
      <c r="B378" s="998">
        <v>4</v>
      </c>
      <c r="C378" s="998"/>
      <c r="D378" s="995" t="s">
        <v>202</v>
      </c>
      <c r="E378" s="996"/>
      <c r="F378" s="992"/>
      <c r="G378" s="993"/>
      <c r="H378" s="993"/>
      <c r="I378" s="994"/>
    </row>
    <row r="379" spans="1:10" ht="132" customHeight="1">
      <c r="B379" s="998">
        <v>5</v>
      </c>
      <c r="C379" s="998"/>
      <c r="D379" s="995" t="s">
        <v>201</v>
      </c>
      <c r="E379" s="996"/>
      <c r="F379" s="992"/>
      <c r="G379" s="993"/>
      <c r="H379" s="993"/>
      <c r="I379" s="994"/>
    </row>
    <row r="381" spans="1:10">
      <c r="A381" s="214"/>
      <c r="B381" s="214"/>
      <c r="C381" s="214"/>
      <c r="D381" s="214"/>
      <c r="E381" s="214"/>
      <c r="F381" s="214"/>
      <c r="G381" s="214"/>
      <c r="H381" s="214"/>
      <c r="I381" s="295"/>
      <c r="J381" s="214"/>
    </row>
    <row r="382" spans="1:10" ht="23.5">
      <c r="B382" s="202" t="s">
        <v>27</v>
      </c>
      <c r="C382" s="202" t="str">
        <f ca="1">IFERROR(OFFSET('4.1(2)新規再エネ導入予定（設備情報）'!$X$1,MATCH(COUNTIF($B$1:B382,"発電方式"),'4.1(2)新規再エネ導入予定（設備情報）'!$AK:$AK,0)-1,0),"")</f>
        <v/>
      </c>
      <c r="D382" s="203"/>
    </row>
    <row r="383" spans="1:10" ht="39.75" customHeight="1">
      <c r="B383" s="204" t="s">
        <v>8</v>
      </c>
      <c r="C383" s="204" t="s">
        <v>182</v>
      </c>
      <c r="D383" s="205" t="s">
        <v>181</v>
      </c>
      <c r="E383" s="204" t="s">
        <v>9</v>
      </c>
      <c r="F383" s="206" t="s">
        <v>10</v>
      </c>
      <c r="G383" s="205" t="s">
        <v>31</v>
      </c>
      <c r="H383" s="204" t="s">
        <v>13</v>
      </c>
      <c r="I383" s="206" t="s">
        <v>81</v>
      </c>
    </row>
    <row r="384" spans="1:10" ht="36" customHeight="1">
      <c r="B384" s="535" t="str">
        <f ca="1">IFERROR(OFFSET('4.1(2)新規再エネ導入予定（設備情報）'!$F$1,MATCH($C384,'4.1(2)新規再エネ導入予定（設備情報）'!$G:$G,0)-1,0),"")</f>
        <v/>
      </c>
      <c r="C384" s="536" t="str">
        <f ca="1">IFERROR(OFFSET('4.1(2)新規再エネ導入予定（設備情報）'!$G$7,MATCH(COUNTIF($B$1:B382,"発電方式"),'4.1(2)新規再エネ導入予定（設備情報）'!$AK$8:$AK$1000,0),0),"")</f>
        <v/>
      </c>
      <c r="D384" s="535" t="str">
        <f ca="1">IFERROR(OFFSET('4.1(2)新規再エネ導入予定（設備情報）'!$H$1,MATCH($C384,'4.1(2)新規再エネ導入予定（設備情報）'!$G:$G,0)-1,0),"")</f>
        <v/>
      </c>
      <c r="E384" s="537" t="str">
        <f ca="1">IFERROR(OFFSET('4.1(2)新規再エネ導入予定（設備情報）'!$I$1,MATCH($C384,'4.1(2)新規再エネ導入予定（設備情報）'!$G:$G,0)-1,0),"")</f>
        <v/>
      </c>
      <c r="F384" s="537" t="str">
        <f ca="1">IFERROR(OFFSET('4.1(2)新規再エネ導入予定（設備情報）'!$J$1,MATCH($C384,'4.1(2)新規再エネ導入予定（設備情報）'!$G:$G,0)-1,0),"")</f>
        <v/>
      </c>
      <c r="G384" s="536" t="str">
        <f ca="1">IFERROR(OFFSET('4.1(2)新規再エネ導入予定（設備情報）'!$L$1,MATCH($C384,'4.1(2)新規再エネ導入予定（設備情報）'!$G:$G,0)-1,0),"")</f>
        <v/>
      </c>
      <c r="H384" s="536" t="str">
        <f ca="1">IFERROR(OFFSET('4.1(2)新規再エネ導入予定（設備情報）'!$M$1,MATCH($C384,'4.1(2)新規再エネ導入予定（設備情報）'!$G:$G,0)-1,0),"")</f>
        <v/>
      </c>
      <c r="I384" s="538" t="str">
        <f ca="1">IFERROR(OFFSET('4.1(2)新規再エネ導入予定（設備情報）'!$P$1,MATCH($C384,'4.1(2)新規再エネ導入予定（設備情報）'!$G:$G,0)-1,0),"")</f>
        <v/>
      </c>
    </row>
    <row r="385" spans="1:10" ht="16.5" customHeight="1">
      <c r="B385" s="1000" t="s">
        <v>178</v>
      </c>
      <c r="C385" s="1002" t="s">
        <v>14</v>
      </c>
      <c r="D385" s="1004" t="s">
        <v>217</v>
      </c>
      <c r="E385" s="1006" t="s">
        <v>216</v>
      </c>
      <c r="F385" s="1007"/>
      <c r="G385" s="1008"/>
      <c r="H385" s="1006" t="s">
        <v>108</v>
      </c>
      <c r="I385" s="1008"/>
    </row>
    <row r="386" spans="1:10" ht="42.75" customHeight="1">
      <c r="B386" s="1001"/>
      <c r="C386" s="1003"/>
      <c r="D386" s="1005"/>
      <c r="E386" s="207" t="s">
        <v>289</v>
      </c>
      <c r="F386" s="208" t="s">
        <v>109</v>
      </c>
      <c r="G386" s="208" t="s">
        <v>110</v>
      </c>
      <c r="H386" s="208" t="s">
        <v>276</v>
      </c>
      <c r="I386" s="207" t="s">
        <v>243</v>
      </c>
    </row>
    <row r="387" spans="1:10" ht="46.5" customHeight="1">
      <c r="B387" s="536" t="str">
        <f ca="1">IFERROR(OFFSET('4.1(2)新規再エネ導入予定（設備情報）'!$O$1,MATCH($C384,'4.1(2)新規再エネ導入予定（設備情報）'!$G:$G,0)-1,0),"")</f>
        <v/>
      </c>
      <c r="C387" s="536" t="str">
        <f ca="1">IFERROR(OFFSET('4.1(2)新規再エネ導入予定（設備情報）'!$R$1,MATCH($C384,'4.1(2)新規再エネ導入予定（設備情報）'!$G:$G,0)-1,0),"")</f>
        <v/>
      </c>
      <c r="D387" s="536" t="str">
        <f ca="1">IFERROR(OFFSET('4.1(2)新規再エネ導入予定（設備情報）'!$S$1,MATCH($C384,'4.1(2)新規再エネ導入予定（設備情報）'!$G:$G,0)-1,0),"")</f>
        <v/>
      </c>
      <c r="E387" s="536" t="str">
        <f ca="1">IF($C384="","",IFERROR(OFFSET('4.1(2)新規再エネ導入予定(FS調査、系統接続検討状況)'!$L$1,MATCH($C384,'4.1(2)新規再エネ導入予定(FS調査、系統接続検討状況)'!$G:$G,0)-1,0),""))</f>
        <v/>
      </c>
      <c r="F387" s="536" t="str">
        <f ca="1">IF($C384="","",IFERROR(OFFSET('4.1(2)新規再エネ導入予定(FS調査、系統接続検討状況)'!$M$1,MATCH($C384,'4.1(2)新規再エネ導入予定(FS調査、系統接続検討状況)'!$G:$G,0)-1,0),""))</f>
        <v/>
      </c>
      <c r="G387" s="536" t="str">
        <f ca="1">IF($C384="","",IFERROR(OFFSET('4.1(2)新規再エネ導入予定(FS調査、系統接続検討状況)'!$N$1,MATCH($C384,'4.1(2)新規再エネ導入予定(FS調査、系統接続検討状況)'!$G:$G,0)-1,0),""))</f>
        <v/>
      </c>
      <c r="H387" s="536" t="str" cm="1">
        <f t="array" aca="1" ref="H387" ca="1">IFERROR(_xlfn.IFS(OR(I387="検討不要",I387="検討未実施",I387="(低圧)申込完了",I387="(低圧)申込準備開始",I387="(低圧)申込準備完了"),"－",COUNTIF(OFFSET('4.1(2)新規再エネ導入予定(FS調査、系統接続検討状況)'!$O$1,MATCH($C384,'4.1(2)新規再エネ導入予定(FS調査、系統接続検討状況)'!$G:$G,0)-1,0),"*単独*")=1,"単独",COUNTIF(OFFSET('4.1(2)新規再エネ導入予定(FS調査、系統接続検討状況)'!$O$1,MATCH($C384,'4.1(2)新規再エネ導入予定(FS調査、系統接続検討状況)'!$G:$G,0)-1,0),"*一括*")=1,"一括検討"),"")</f>
        <v/>
      </c>
      <c r="I387" s="539" t="str">
        <f ca="1">IFERROR(SUBSTITUTE(SUBSTITUTE(OFFSET('4.1(2)新規再エネ導入予定(FS調査、系統接続検討状況)'!$O$1,MATCH($C384,'4.1(2)新規再エネ導入予定(FS調査、系統接続検討状況)'!$G:$G,0)-1,0),"(一括)",""),"(単独)",""),"")</f>
        <v/>
      </c>
    </row>
    <row r="389" spans="1:10" ht="19">
      <c r="B389" s="200" t="s">
        <v>215</v>
      </c>
    </row>
    <row r="390" spans="1:10" ht="21">
      <c r="B390" s="209" t="str">
        <f ca="1">IFERROR(_xlfn.TEXTJOIN(" ",1,C382,B384,C384),"")</f>
        <v/>
      </c>
      <c r="C390" s="210"/>
      <c r="D390" s="210"/>
    </row>
    <row r="391" spans="1:10" ht="28.5" customHeight="1">
      <c r="B391" s="211" t="s">
        <v>214</v>
      </c>
      <c r="C391" s="211"/>
      <c r="D391" s="211" t="s">
        <v>213</v>
      </c>
      <c r="E391" s="211"/>
      <c r="F391" s="211" t="s">
        <v>227</v>
      </c>
      <c r="G391" s="211"/>
      <c r="H391" s="211"/>
      <c r="I391" s="294"/>
    </row>
    <row r="392" spans="1:10" ht="114.65" customHeight="1">
      <c r="B392" s="997" t="s">
        <v>212</v>
      </c>
      <c r="C392" s="212" t="s">
        <v>211</v>
      </c>
      <c r="D392" s="995" t="s">
        <v>210</v>
      </c>
      <c r="E392" s="996"/>
      <c r="F392" s="992"/>
      <c r="G392" s="993"/>
      <c r="H392" s="993"/>
      <c r="I392" s="994"/>
    </row>
    <row r="393" spans="1:10" ht="114.65" customHeight="1">
      <c r="B393" s="997"/>
      <c r="C393" s="213" t="s">
        <v>209</v>
      </c>
      <c r="D393" s="995" t="s">
        <v>208</v>
      </c>
      <c r="E393" s="996"/>
      <c r="F393" s="992"/>
      <c r="G393" s="993"/>
      <c r="H393" s="993"/>
      <c r="I393" s="994"/>
    </row>
    <row r="394" spans="1:10" ht="114.65" customHeight="1">
      <c r="B394" s="998">
        <v>2</v>
      </c>
      <c r="C394" s="998"/>
      <c r="D394" s="995" t="s">
        <v>207</v>
      </c>
      <c r="E394" s="996"/>
      <c r="F394" s="992"/>
      <c r="G394" s="993"/>
      <c r="H394" s="993"/>
      <c r="I394" s="994"/>
    </row>
    <row r="395" spans="1:10" ht="114.65" customHeight="1">
      <c r="B395" s="999">
        <v>3</v>
      </c>
      <c r="C395" s="213" t="s">
        <v>206</v>
      </c>
      <c r="D395" s="995" t="s">
        <v>205</v>
      </c>
      <c r="E395" s="996"/>
      <c r="F395" s="992"/>
      <c r="G395" s="993"/>
      <c r="H395" s="993"/>
      <c r="I395" s="994"/>
    </row>
    <row r="396" spans="1:10" ht="114.65" customHeight="1">
      <c r="B396" s="999"/>
      <c r="C396" s="213" t="s">
        <v>204</v>
      </c>
      <c r="D396" s="995" t="s">
        <v>203</v>
      </c>
      <c r="E396" s="996"/>
      <c r="F396" s="992"/>
      <c r="G396" s="993"/>
      <c r="H396" s="993"/>
      <c r="I396" s="994"/>
    </row>
    <row r="397" spans="1:10" ht="115" customHeight="1">
      <c r="B397" s="998">
        <v>4</v>
      </c>
      <c r="C397" s="998"/>
      <c r="D397" s="995" t="s">
        <v>202</v>
      </c>
      <c r="E397" s="996"/>
      <c r="F397" s="992"/>
      <c r="G397" s="993"/>
      <c r="H397" s="993"/>
      <c r="I397" s="994"/>
    </row>
    <row r="398" spans="1:10" ht="132" customHeight="1">
      <c r="B398" s="998">
        <v>5</v>
      </c>
      <c r="C398" s="998"/>
      <c r="D398" s="995" t="s">
        <v>201</v>
      </c>
      <c r="E398" s="996"/>
      <c r="F398" s="992"/>
      <c r="G398" s="993"/>
      <c r="H398" s="993"/>
      <c r="I398" s="994"/>
    </row>
    <row r="400" spans="1:10">
      <c r="A400" s="214"/>
      <c r="B400" s="214"/>
      <c r="C400" s="214"/>
      <c r="D400" s="214"/>
      <c r="E400" s="214"/>
      <c r="F400" s="214"/>
      <c r="G400" s="214"/>
      <c r="H400" s="214"/>
      <c r="I400" s="295"/>
      <c r="J400" s="214"/>
    </row>
    <row r="401" spans="2:9" ht="23.5">
      <c r="B401" s="202" t="s">
        <v>27</v>
      </c>
      <c r="C401" s="202" t="str">
        <f ca="1">IFERROR(OFFSET('4.1(2)新規再エネ導入予定（設備情報）'!$X$1,MATCH(COUNTIF($B$1:B401,"発電方式"),'4.1(2)新規再エネ導入予定（設備情報）'!$AK:$AK,0)-1,0),"")</f>
        <v/>
      </c>
      <c r="D401" s="203"/>
    </row>
    <row r="402" spans="2:9" ht="39.75" customHeight="1">
      <c r="B402" s="204" t="s">
        <v>8</v>
      </c>
      <c r="C402" s="204" t="s">
        <v>182</v>
      </c>
      <c r="D402" s="205" t="s">
        <v>181</v>
      </c>
      <c r="E402" s="204" t="s">
        <v>9</v>
      </c>
      <c r="F402" s="206" t="s">
        <v>10</v>
      </c>
      <c r="G402" s="205" t="s">
        <v>31</v>
      </c>
      <c r="H402" s="204" t="s">
        <v>13</v>
      </c>
      <c r="I402" s="206" t="s">
        <v>81</v>
      </c>
    </row>
    <row r="403" spans="2:9" ht="36" customHeight="1">
      <c r="B403" s="535" t="str">
        <f ca="1">IFERROR(OFFSET('4.1(2)新規再エネ導入予定（設備情報）'!$F$1,MATCH($C403,'4.1(2)新規再エネ導入予定（設備情報）'!$G:$G,0)-1,0),"")</f>
        <v/>
      </c>
      <c r="C403" s="536" t="str">
        <f ca="1">IFERROR(OFFSET('4.1(2)新規再エネ導入予定（設備情報）'!$G$7,MATCH(COUNTIF($B$1:B401,"発電方式"),'4.1(2)新規再エネ導入予定（設備情報）'!$AK$8:$AK$1000,0),0),"")</f>
        <v/>
      </c>
      <c r="D403" s="535" t="str">
        <f ca="1">IFERROR(OFFSET('4.1(2)新規再エネ導入予定（設備情報）'!$H$1,MATCH($C403,'4.1(2)新規再エネ導入予定（設備情報）'!$G:$G,0)-1,0),"")</f>
        <v/>
      </c>
      <c r="E403" s="537" t="str">
        <f ca="1">IFERROR(OFFSET('4.1(2)新規再エネ導入予定（設備情報）'!$I$1,MATCH($C403,'4.1(2)新規再エネ導入予定（設備情報）'!$G:$G,0)-1,0),"")</f>
        <v/>
      </c>
      <c r="F403" s="537" t="str">
        <f ca="1">IFERROR(OFFSET('4.1(2)新規再エネ導入予定（設備情報）'!$J$1,MATCH($C403,'4.1(2)新規再エネ導入予定（設備情報）'!$G:$G,0)-1,0),"")</f>
        <v/>
      </c>
      <c r="G403" s="536" t="str">
        <f ca="1">IFERROR(OFFSET('4.1(2)新規再エネ導入予定（設備情報）'!$L$1,MATCH($C403,'4.1(2)新規再エネ導入予定（設備情報）'!$G:$G,0)-1,0),"")</f>
        <v/>
      </c>
      <c r="H403" s="536" t="str">
        <f ca="1">IFERROR(OFFSET('4.1(2)新規再エネ導入予定（設備情報）'!$M$1,MATCH($C403,'4.1(2)新規再エネ導入予定（設備情報）'!$G:$G,0)-1,0),"")</f>
        <v/>
      </c>
      <c r="I403" s="538" t="str">
        <f ca="1">IFERROR(OFFSET('4.1(2)新規再エネ導入予定（設備情報）'!$P$1,MATCH($C403,'4.1(2)新規再エネ導入予定（設備情報）'!$G:$G,0)-1,0),"")</f>
        <v/>
      </c>
    </row>
    <row r="404" spans="2:9" ht="16.5" customHeight="1">
      <c r="B404" s="1000" t="s">
        <v>178</v>
      </c>
      <c r="C404" s="1002" t="s">
        <v>14</v>
      </c>
      <c r="D404" s="1004" t="s">
        <v>217</v>
      </c>
      <c r="E404" s="1006" t="s">
        <v>216</v>
      </c>
      <c r="F404" s="1007"/>
      <c r="G404" s="1008"/>
      <c r="H404" s="1006" t="s">
        <v>108</v>
      </c>
      <c r="I404" s="1008"/>
    </row>
    <row r="405" spans="2:9" ht="42.75" customHeight="1">
      <c r="B405" s="1001"/>
      <c r="C405" s="1003"/>
      <c r="D405" s="1005"/>
      <c r="E405" s="207" t="s">
        <v>289</v>
      </c>
      <c r="F405" s="208" t="s">
        <v>109</v>
      </c>
      <c r="G405" s="208" t="s">
        <v>110</v>
      </c>
      <c r="H405" s="208" t="s">
        <v>276</v>
      </c>
      <c r="I405" s="207" t="s">
        <v>243</v>
      </c>
    </row>
    <row r="406" spans="2:9" ht="46.5" customHeight="1">
      <c r="B406" s="536" t="str">
        <f ca="1">IFERROR(OFFSET('4.1(2)新規再エネ導入予定（設備情報）'!$O$1,MATCH($C403,'4.1(2)新規再エネ導入予定（設備情報）'!$G:$G,0)-1,0),"")</f>
        <v/>
      </c>
      <c r="C406" s="536" t="str">
        <f ca="1">IFERROR(OFFSET('4.1(2)新規再エネ導入予定（設備情報）'!$R$1,MATCH($C403,'4.1(2)新規再エネ導入予定（設備情報）'!$G:$G,0)-1,0),"")</f>
        <v/>
      </c>
      <c r="D406" s="536" t="str">
        <f ca="1">IFERROR(OFFSET('4.1(2)新規再エネ導入予定（設備情報）'!$S$1,MATCH($C403,'4.1(2)新規再エネ導入予定（設備情報）'!$G:$G,0)-1,0),"")</f>
        <v/>
      </c>
      <c r="E406" s="536" t="str">
        <f ca="1">IF($C403="","",IFERROR(OFFSET('4.1(2)新規再エネ導入予定(FS調査、系統接続検討状況)'!$L$1,MATCH($C403,'4.1(2)新規再エネ導入予定(FS調査、系統接続検討状況)'!$G:$G,0)-1,0),""))</f>
        <v/>
      </c>
      <c r="F406" s="536" t="str">
        <f ca="1">IF($C403="","",IFERROR(OFFSET('4.1(2)新規再エネ導入予定(FS調査、系統接続検討状況)'!$M$1,MATCH($C403,'4.1(2)新規再エネ導入予定(FS調査、系統接続検討状況)'!$G:$G,0)-1,0),""))</f>
        <v/>
      </c>
      <c r="G406" s="536" t="str">
        <f ca="1">IF($C403="","",IFERROR(OFFSET('4.1(2)新規再エネ導入予定(FS調査、系統接続検討状況)'!$N$1,MATCH($C403,'4.1(2)新規再エネ導入予定(FS調査、系統接続検討状況)'!$G:$G,0)-1,0),""))</f>
        <v/>
      </c>
      <c r="H406" s="536" t="str" cm="1">
        <f t="array" aca="1" ref="H406" ca="1">IFERROR(_xlfn.IFS(OR(I406="検討不要",I406="検討未実施",I406="(低圧)申込完了",I406="(低圧)申込準備開始",I406="(低圧)申込準備完了"),"－",COUNTIF(OFFSET('4.1(2)新規再エネ導入予定(FS調査、系統接続検討状況)'!$O$1,MATCH($C403,'4.1(2)新規再エネ導入予定(FS調査、系統接続検討状況)'!$G:$G,0)-1,0),"*単独*")=1,"単独",COUNTIF(OFFSET('4.1(2)新規再エネ導入予定(FS調査、系統接続検討状況)'!$O$1,MATCH($C403,'4.1(2)新規再エネ導入予定(FS調査、系統接続検討状況)'!$G:$G,0)-1,0),"*一括*")=1,"一括検討"),"")</f>
        <v/>
      </c>
      <c r="I406" s="539" t="str">
        <f ca="1">IFERROR(SUBSTITUTE(SUBSTITUTE(OFFSET('4.1(2)新規再エネ導入予定(FS調査、系統接続検討状況)'!$O$1,MATCH($C403,'4.1(2)新規再エネ導入予定(FS調査、系統接続検討状況)'!$G:$G,0)-1,0),"(一括)",""),"(単独)",""),"")</f>
        <v/>
      </c>
    </row>
    <row r="408" spans="2:9" ht="19">
      <c r="B408" s="200" t="s">
        <v>215</v>
      </c>
    </row>
    <row r="409" spans="2:9" ht="21">
      <c r="B409" s="209" t="str">
        <f ca="1">IFERROR(_xlfn.TEXTJOIN(" ",1,C401,B403,C403),"")</f>
        <v/>
      </c>
      <c r="C409" s="210"/>
      <c r="D409" s="210"/>
    </row>
    <row r="410" spans="2:9" ht="28.5" customHeight="1">
      <c r="B410" s="211" t="s">
        <v>214</v>
      </c>
      <c r="C410" s="211"/>
      <c r="D410" s="211" t="s">
        <v>213</v>
      </c>
      <c r="E410" s="211"/>
      <c r="F410" s="211" t="s">
        <v>227</v>
      </c>
      <c r="G410" s="211"/>
      <c r="H410" s="211"/>
      <c r="I410" s="294"/>
    </row>
    <row r="411" spans="2:9" ht="114.65" customHeight="1">
      <c r="B411" s="997" t="s">
        <v>212</v>
      </c>
      <c r="C411" s="212" t="s">
        <v>211</v>
      </c>
      <c r="D411" s="995" t="s">
        <v>210</v>
      </c>
      <c r="E411" s="996"/>
      <c r="F411" s="992"/>
      <c r="G411" s="993"/>
      <c r="H411" s="993"/>
      <c r="I411" s="994"/>
    </row>
    <row r="412" spans="2:9" ht="114.65" customHeight="1">
      <c r="B412" s="997"/>
      <c r="C412" s="213" t="s">
        <v>209</v>
      </c>
      <c r="D412" s="995" t="s">
        <v>208</v>
      </c>
      <c r="E412" s="996"/>
      <c r="F412" s="992"/>
      <c r="G412" s="993"/>
      <c r="H412" s="993"/>
      <c r="I412" s="994"/>
    </row>
    <row r="413" spans="2:9" ht="114.65" customHeight="1">
      <c r="B413" s="998">
        <v>2</v>
      </c>
      <c r="C413" s="998"/>
      <c r="D413" s="995" t="s">
        <v>207</v>
      </c>
      <c r="E413" s="996"/>
      <c r="F413" s="992"/>
      <c r="G413" s="993"/>
      <c r="H413" s="993"/>
      <c r="I413" s="994"/>
    </row>
    <row r="414" spans="2:9" ht="114.65" customHeight="1">
      <c r="B414" s="999">
        <v>3</v>
      </c>
      <c r="C414" s="213" t="s">
        <v>206</v>
      </c>
      <c r="D414" s="995" t="s">
        <v>205</v>
      </c>
      <c r="E414" s="996"/>
      <c r="F414" s="992"/>
      <c r="G414" s="993"/>
      <c r="H414" s="993"/>
      <c r="I414" s="994"/>
    </row>
    <row r="415" spans="2:9" ht="114.65" customHeight="1">
      <c r="B415" s="999"/>
      <c r="C415" s="213" t="s">
        <v>204</v>
      </c>
      <c r="D415" s="995" t="s">
        <v>203</v>
      </c>
      <c r="E415" s="996"/>
      <c r="F415" s="992"/>
      <c r="G415" s="993"/>
      <c r="H415" s="993"/>
      <c r="I415" s="994"/>
    </row>
    <row r="416" spans="2:9" ht="115" customHeight="1">
      <c r="B416" s="998">
        <v>4</v>
      </c>
      <c r="C416" s="998"/>
      <c r="D416" s="995" t="s">
        <v>202</v>
      </c>
      <c r="E416" s="996"/>
      <c r="F416" s="992"/>
      <c r="G416" s="993"/>
      <c r="H416" s="993"/>
      <c r="I416" s="994"/>
    </row>
    <row r="417" spans="1:10" ht="132" customHeight="1">
      <c r="B417" s="998">
        <v>5</v>
      </c>
      <c r="C417" s="998"/>
      <c r="D417" s="995" t="s">
        <v>201</v>
      </c>
      <c r="E417" s="996"/>
      <c r="F417" s="992"/>
      <c r="G417" s="993"/>
      <c r="H417" s="993"/>
      <c r="I417" s="994"/>
    </row>
    <row r="419" spans="1:10">
      <c r="A419" s="214"/>
      <c r="B419" s="214"/>
      <c r="C419" s="214"/>
      <c r="D419" s="214"/>
      <c r="E419" s="214"/>
      <c r="F419" s="214"/>
      <c r="G419" s="214"/>
      <c r="H419" s="214"/>
      <c r="I419" s="295"/>
      <c r="J419" s="214"/>
    </row>
    <row r="420" spans="1:10" ht="23.5">
      <c r="B420" s="202" t="s">
        <v>27</v>
      </c>
      <c r="C420" s="202" t="str">
        <f ca="1">IFERROR(OFFSET('4.1(2)新規再エネ導入予定（設備情報）'!$X$1,MATCH(COUNTIF($B$1:B420,"発電方式"),'4.1(2)新規再エネ導入予定（設備情報）'!$AK:$AK,0)-1,0),"")</f>
        <v/>
      </c>
      <c r="D420" s="203"/>
    </row>
    <row r="421" spans="1:10" ht="39.75" customHeight="1">
      <c r="B421" s="204" t="s">
        <v>8</v>
      </c>
      <c r="C421" s="204" t="s">
        <v>182</v>
      </c>
      <c r="D421" s="205" t="s">
        <v>181</v>
      </c>
      <c r="E421" s="204" t="s">
        <v>9</v>
      </c>
      <c r="F421" s="206" t="s">
        <v>10</v>
      </c>
      <c r="G421" s="205" t="s">
        <v>31</v>
      </c>
      <c r="H421" s="204" t="s">
        <v>13</v>
      </c>
      <c r="I421" s="206" t="s">
        <v>81</v>
      </c>
    </row>
    <row r="422" spans="1:10" ht="36" customHeight="1">
      <c r="B422" s="535" t="str">
        <f ca="1">IFERROR(OFFSET('4.1(2)新規再エネ導入予定（設備情報）'!$F$1,MATCH($C422,'4.1(2)新規再エネ導入予定（設備情報）'!$G:$G,0)-1,0),"")</f>
        <v/>
      </c>
      <c r="C422" s="536" t="str">
        <f ca="1">IFERROR(OFFSET('4.1(2)新規再エネ導入予定（設備情報）'!$G$7,MATCH(COUNTIF($B$1:B420,"発電方式"),'4.1(2)新規再エネ導入予定（設備情報）'!$AK$8:$AK$1000,0),0),"")</f>
        <v/>
      </c>
      <c r="D422" s="535" t="str">
        <f ca="1">IFERROR(OFFSET('4.1(2)新規再エネ導入予定（設備情報）'!$H$1,MATCH($C422,'4.1(2)新規再エネ導入予定（設備情報）'!$G:$G,0)-1,0),"")</f>
        <v/>
      </c>
      <c r="E422" s="537" t="str">
        <f ca="1">IFERROR(OFFSET('4.1(2)新規再エネ導入予定（設備情報）'!$I$1,MATCH($C422,'4.1(2)新規再エネ導入予定（設備情報）'!$G:$G,0)-1,0),"")</f>
        <v/>
      </c>
      <c r="F422" s="537" t="str">
        <f ca="1">IFERROR(OFFSET('4.1(2)新規再エネ導入予定（設備情報）'!$J$1,MATCH($C422,'4.1(2)新規再エネ導入予定（設備情報）'!$G:$G,0)-1,0),"")</f>
        <v/>
      </c>
      <c r="G422" s="536" t="str">
        <f ca="1">IFERROR(OFFSET('4.1(2)新規再エネ導入予定（設備情報）'!$L$1,MATCH($C422,'4.1(2)新規再エネ導入予定（設備情報）'!$G:$G,0)-1,0),"")</f>
        <v/>
      </c>
      <c r="H422" s="536" t="str">
        <f ca="1">IFERROR(OFFSET('4.1(2)新規再エネ導入予定（設備情報）'!$M$1,MATCH($C422,'4.1(2)新規再エネ導入予定（設備情報）'!$G:$G,0)-1,0),"")</f>
        <v/>
      </c>
      <c r="I422" s="538" t="str">
        <f ca="1">IFERROR(OFFSET('4.1(2)新規再エネ導入予定（設備情報）'!$P$1,MATCH($C422,'4.1(2)新規再エネ導入予定（設備情報）'!$G:$G,0)-1,0),"")</f>
        <v/>
      </c>
    </row>
    <row r="423" spans="1:10" ht="16.5" customHeight="1">
      <c r="B423" s="1000" t="s">
        <v>178</v>
      </c>
      <c r="C423" s="1002" t="s">
        <v>14</v>
      </c>
      <c r="D423" s="1004" t="s">
        <v>217</v>
      </c>
      <c r="E423" s="1006" t="s">
        <v>216</v>
      </c>
      <c r="F423" s="1007"/>
      <c r="G423" s="1008"/>
      <c r="H423" s="1006" t="s">
        <v>108</v>
      </c>
      <c r="I423" s="1008"/>
    </row>
    <row r="424" spans="1:10" ht="42.75" customHeight="1">
      <c r="B424" s="1001"/>
      <c r="C424" s="1003"/>
      <c r="D424" s="1005"/>
      <c r="E424" s="207" t="s">
        <v>289</v>
      </c>
      <c r="F424" s="208" t="s">
        <v>109</v>
      </c>
      <c r="G424" s="208" t="s">
        <v>110</v>
      </c>
      <c r="H424" s="208" t="s">
        <v>276</v>
      </c>
      <c r="I424" s="207" t="s">
        <v>243</v>
      </c>
    </row>
    <row r="425" spans="1:10" ht="46.5" customHeight="1">
      <c r="B425" s="536" t="str">
        <f ca="1">IFERROR(OFFSET('4.1(2)新規再エネ導入予定（設備情報）'!$O$1,MATCH($C422,'4.1(2)新規再エネ導入予定（設備情報）'!$G:$G,0)-1,0),"")</f>
        <v/>
      </c>
      <c r="C425" s="536" t="str">
        <f ca="1">IFERROR(OFFSET('4.1(2)新規再エネ導入予定（設備情報）'!$R$1,MATCH($C422,'4.1(2)新規再エネ導入予定（設備情報）'!$G:$G,0)-1,0),"")</f>
        <v/>
      </c>
      <c r="D425" s="536" t="str">
        <f ca="1">IFERROR(OFFSET('4.1(2)新規再エネ導入予定（設備情報）'!$S$1,MATCH($C422,'4.1(2)新規再エネ導入予定（設備情報）'!$G:$G,0)-1,0),"")</f>
        <v/>
      </c>
      <c r="E425" s="536" t="str">
        <f ca="1">IF($C422="","",IFERROR(OFFSET('4.1(2)新規再エネ導入予定(FS調査、系統接続検討状況)'!$L$1,MATCH($C422,'4.1(2)新規再エネ導入予定(FS調査、系統接続検討状況)'!$G:$G,0)-1,0),""))</f>
        <v/>
      </c>
      <c r="F425" s="536" t="str">
        <f ca="1">IF($C422="","",IFERROR(OFFSET('4.1(2)新規再エネ導入予定(FS調査、系統接続検討状況)'!$M$1,MATCH($C422,'4.1(2)新規再エネ導入予定(FS調査、系統接続検討状況)'!$G:$G,0)-1,0),""))</f>
        <v/>
      </c>
      <c r="G425" s="536" t="str">
        <f ca="1">IF($C422="","",IFERROR(OFFSET('4.1(2)新規再エネ導入予定(FS調査、系統接続検討状況)'!$N$1,MATCH($C422,'4.1(2)新規再エネ導入予定(FS調査、系統接続検討状況)'!$G:$G,0)-1,0),""))</f>
        <v/>
      </c>
      <c r="H425" s="536" t="str" cm="1">
        <f t="array" aca="1" ref="H425" ca="1">IFERROR(_xlfn.IFS(OR(I425="検討不要",I425="検討未実施",I425="(低圧)申込完了",I425="(低圧)申込準備開始",I425="(低圧)申込準備完了"),"－",COUNTIF(OFFSET('4.1(2)新規再エネ導入予定(FS調査、系統接続検討状況)'!$O$1,MATCH($C422,'4.1(2)新規再エネ導入予定(FS調査、系統接続検討状況)'!$G:$G,0)-1,0),"*単独*")=1,"単独",COUNTIF(OFFSET('4.1(2)新規再エネ導入予定(FS調査、系統接続検討状況)'!$O$1,MATCH($C422,'4.1(2)新規再エネ導入予定(FS調査、系統接続検討状況)'!$G:$G,0)-1,0),"*一括*")=1,"一括検討"),"")</f>
        <v/>
      </c>
      <c r="I425" s="539" t="str">
        <f ca="1">IFERROR(SUBSTITUTE(SUBSTITUTE(OFFSET('4.1(2)新規再エネ導入予定(FS調査、系統接続検討状況)'!$O$1,MATCH($C422,'4.1(2)新規再エネ導入予定(FS調査、系統接続検討状況)'!$G:$G,0)-1,0),"(一括)",""),"(単独)",""),"")</f>
        <v/>
      </c>
    </row>
    <row r="427" spans="1:10" ht="19">
      <c r="B427" s="200" t="s">
        <v>215</v>
      </c>
    </row>
    <row r="428" spans="1:10" ht="21">
      <c r="B428" s="209" t="str">
        <f ca="1">IFERROR(_xlfn.TEXTJOIN(" ",1,C420,B422,C422),"")</f>
        <v/>
      </c>
      <c r="C428" s="210"/>
      <c r="D428" s="210"/>
    </row>
    <row r="429" spans="1:10" ht="28.5" customHeight="1">
      <c r="B429" s="211" t="s">
        <v>214</v>
      </c>
      <c r="C429" s="211"/>
      <c r="D429" s="211" t="s">
        <v>213</v>
      </c>
      <c r="E429" s="211"/>
      <c r="F429" s="211" t="s">
        <v>227</v>
      </c>
      <c r="G429" s="211"/>
      <c r="H429" s="211"/>
      <c r="I429" s="294"/>
    </row>
    <row r="430" spans="1:10" ht="114.65" customHeight="1">
      <c r="B430" s="997" t="s">
        <v>212</v>
      </c>
      <c r="C430" s="212" t="s">
        <v>211</v>
      </c>
      <c r="D430" s="995" t="s">
        <v>210</v>
      </c>
      <c r="E430" s="996"/>
      <c r="F430" s="992"/>
      <c r="G430" s="993"/>
      <c r="H430" s="993"/>
      <c r="I430" s="994"/>
    </row>
    <row r="431" spans="1:10" ht="114.65" customHeight="1">
      <c r="B431" s="997"/>
      <c r="C431" s="213" t="s">
        <v>209</v>
      </c>
      <c r="D431" s="995" t="s">
        <v>208</v>
      </c>
      <c r="E431" s="996"/>
      <c r="F431" s="992"/>
      <c r="G431" s="993"/>
      <c r="H431" s="993"/>
      <c r="I431" s="994"/>
    </row>
    <row r="432" spans="1:10" ht="114.65" customHeight="1">
      <c r="B432" s="998">
        <v>2</v>
      </c>
      <c r="C432" s="998"/>
      <c r="D432" s="995" t="s">
        <v>207</v>
      </c>
      <c r="E432" s="996"/>
      <c r="F432" s="992"/>
      <c r="G432" s="993"/>
      <c r="H432" s="993"/>
      <c r="I432" s="994"/>
    </row>
    <row r="433" spans="1:10" ht="114.65" customHeight="1">
      <c r="B433" s="999">
        <v>3</v>
      </c>
      <c r="C433" s="213" t="s">
        <v>206</v>
      </c>
      <c r="D433" s="995" t="s">
        <v>205</v>
      </c>
      <c r="E433" s="996"/>
      <c r="F433" s="992"/>
      <c r="G433" s="993"/>
      <c r="H433" s="993"/>
      <c r="I433" s="994"/>
    </row>
    <row r="434" spans="1:10" ht="114.65" customHeight="1">
      <c r="B434" s="999"/>
      <c r="C434" s="213" t="s">
        <v>204</v>
      </c>
      <c r="D434" s="995" t="s">
        <v>203</v>
      </c>
      <c r="E434" s="996"/>
      <c r="F434" s="992"/>
      <c r="G434" s="993"/>
      <c r="H434" s="993"/>
      <c r="I434" s="994"/>
    </row>
    <row r="435" spans="1:10" ht="115" customHeight="1">
      <c r="B435" s="998">
        <v>4</v>
      </c>
      <c r="C435" s="998"/>
      <c r="D435" s="995" t="s">
        <v>202</v>
      </c>
      <c r="E435" s="996"/>
      <c r="F435" s="992"/>
      <c r="G435" s="993"/>
      <c r="H435" s="993"/>
      <c r="I435" s="994"/>
    </row>
    <row r="436" spans="1:10" ht="132" customHeight="1">
      <c r="B436" s="998">
        <v>5</v>
      </c>
      <c r="C436" s="998"/>
      <c r="D436" s="995" t="s">
        <v>201</v>
      </c>
      <c r="E436" s="996"/>
      <c r="F436" s="992"/>
      <c r="G436" s="993"/>
      <c r="H436" s="993"/>
      <c r="I436" s="994"/>
    </row>
    <row r="438" spans="1:10">
      <c r="A438" s="214"/>
      <c r="B438" s="214"/>
      <c r="C438" s="214"/>
      <c r="D438" s="214"/>
      <c r="E438" s="214"/>
      <c r="F438" s="214"/>
      <c r="G438" s="214"/>
      <c r="H438" s="214"/>
      <c r="I438" s="295"/>
      <c r="J438" s="214"/>
    </row>
    <row r="439" spans="1:10" ht="23.5">
      <c r="B439" s="202" t="s">
        <v>27</v>
      </c>
      <c r="C439" s="202" t="str">
        <f ca="1">IFERROR(OFFSET('4.1(2)新規再エネ導入予定（設備情報）'!$X$1,MATCH(COUNTIF($B$1:B439,"発電方式"),'4.1(2)新規再エネ導入予定（設備情報）'!$AK:$AK,0)-1,0),"")</f>
        <v/>
      </c>
      <c r="D439" s="203"/>
    </row>
    <row r="440" spans="1:10" ht="39.75" customHeight="1">
      <c r="B440" s="204" t="s">
        <v>8</v>
      </c>
      <c r="C440" s="204" t="s">
        <v>182</v>
      </c>
      <c r="D440" s="205" t="s">
        <v>181</v>
      </c>
      <c r="E440" s="204" t="s">
        <v>9</v>
      </c>
      <c r="F440" s="206" t="s">
        <v>10</v>
      </c>
      <c r="G440" s="205" t="s">
        <v>31</v>
      </c>
      <c r="H440" s="204" t="s">
        <v>13</v>
      </c>
      <c r="I440" s="206" t="s">
        <v>81</v>
      </c>
    </row>
    <row r="441" spans="1:10" ht="36" customHeight="1">
      <c r="B441" s="535" t="str">
        <f ca="1">IFERROR(OFFSET('4.1(2)新規再エネ導入予定（設備情報）'!$F$1,MATCH($C441,'4.1(2)新規再エネ導入予定（設備情報）'!$G:$G,0)-1,0),"")</f>
        <v/>
      </c>
      <c r="C441" s="536" t="str">
        <f ca="1">IFERROR(OFFSET('4.1(2)新規再エネ導入予定（設備情報）'!$G$7,MATCH(COUNTIF($B$1:B439,"発電方式"),'4.1(2)新規再エネ導入予定（設備情報）'!$AK$8:$AK$1000,0),0),"")</f>
        <v/>
      </c>
      <c r="D441" s="535" t="str">
        <f ca="1">IFERROR(OFFSET('4.1(2)新規再エネ導入予定（設備情報）'!$H$1,MATCH($C441,'4.1(2)新規再エネ導入予定（設備情報）'!$G:$G,0)-1,0),"")</f>
        <v/>
      </c>
      <c r="E441" s="537" t="str">
        <f ca="1">IFERROR(OFFSET('4.1(2)新規再エネ導入予定（設備情報）'!$I$1,MATCH($C441,'4.1(2)新規再エネ導入予定（設備情報）'!$G:$G,0)-1,0),"")</f>
        <v/>
      </c>
      <c r="F441" s="537" t="str">
        <f ca="1">IFERROR(OFFSET('4.1(2)新規再エネ導入予定（設備情報）'!$J$1,MATCH($C441,'4.1(2)新規再エネ導入予定（設備情報）'!$G:$G,0)-1,0),"")</f>
        <v/>
      </c>
      <c r="G441" s="536" t="str">
        <f ca="1">IFERROR(OFFSET('4.1(2)新規再エネ導入予定（設備情報）'!$L$1,MATCH($C441,'4.1(2)新規再エネ導入予定（設備情報）'!$G:$G,0)-1,0),"")</f>
        <v/>
      </c>
      <c r="H441" s="536" t="str">
        <f ca="1">IFERROR(OFFSET('4.1(2)新規再エネ導入予定（設備情報）'!$M$1,MATCH($C441,'4.1(2)新規再エネ導入予定（設備情報）'!$G:$G,0)-1,0),"")</f>
        <v/>
      </c>
      <c r="I441" s="538" t="str">
        <f ca="1">IFERROR(OFFSET('4.1(2)新規再エネ導入予定（設備情報）'!$P$1,MATCH($C441,'4.1(2)新規再エネ導入予定（設備情報）'!$G:$G,0)-1,0),"")</f>
        <v/>
      </c>
    </row>
    <row r="442" spans="1:10" ht="16.5" customHeight="1">
      <c r="B442" s="1000" t="s">
        <v>178</v>
      </c>
      <c r="C442" s="1002" t="s">
        <v>14</v>
      </c>
      <c r="D442" s="1004" t="s">
        <v>217</v>
      </c>
      <c r="E442" s="1006" t="s">
        <v>216</v>
      </c>
      <c r="F442" s="1007"/>
      <c r="G442" s="1008"/>
      <c r="H442" s="1006" t="s">
        <v>108</v>
      </c>
      <c r="I442" s="1008"/>
    </row>
    <row r="443" spans="1:10" ht="42.75" customHeight="1">
      <c r="B443" s="1001"/>
      <c r="C443" s="1003"/>
      <c r="D443" s="1005"/>
      <c r="E443" s="207" t="s">
        <v>289</v>
      </c>
      <c r="F443" s="208" t="s">
        <v>109</v>
      </c>
      <c r="G443" s="208" t="s">
        <v>110</v>
      </c>
      <c r="H443" s="208" t="s">
        <v>276</v>
      </c>
      <c r="I443" s="207" t="s">
        <v>243</v>
      </c>
    </row>
    <row r="444" spans="1:10" ht="46.5" customHeight="1">
      <c r="B444" s="536" t="str">
        <f ca="1">IFERROR(OFFSET('4.1(2)新規再エネ導入予定（設備情報）'!$O$1,MATCH($C441,'4.1(2)新規再エネ導入予定（設備情報）'!$G:$G,0)-1,0),"")</f>
        <v/>
      </c>
      <c r="C444" s="536" t="str">
        <f ca="1">IFERROR(OFFSET('4.1(2)新規再エネ導入予定（設備情報）'!$R$1,MATCH($C441,'4.1(2)新規再エネ導入予定（設備情報）'!$G:$G,0)-1,0),"")</f>
        <v/>
      </c>
      <c r="D444" s="536" t="str">
        <f ca="1">IFERROR(OFFSET('4.1(2)新規再エネ導入予定（設備情報）'!$S$1,MATCH($C441,'4.1(2)新規再エネ導入予定（設備情報）'!$G:$G,0)-1,0),"")</f>
        <v/>
      </c>
      <c r="E444" s="536" t="str">
        <f ca="1">IF($C441="","",IFERROR(OFFSET('4.1(2)新規再エネ導入予定(FS調査、系統接続検討状況)'!$L$1,MATCH($C441,'4.1(2)新規再エネ導入予定(FS調査、系統接続検討状況)'!$G:$G,0)-1,0),""))</f>
        <v/>
      </c>
      <c r="F444" s="536" t="str">
        <f ca="1">IF($C441="","",IFERROR(OFFSET('4.1(2)新規再エネ導入予定(FS調査、系統接続検討状況)'!$M$1,MATCH($C441,'4.1(2)新規再エネ導入予定(FS調査、系統接続検討状況)'!$G:$G,0)-1,0),""))</f>
        <v/>
      </c>
      <c r="G444" s="536" t="str">
        <f ca="1">IF($C441="","",IFERROR(OFFSET('4.1(2)新規再エネ導入予定(FS調査、系統接続検討状況)'!$N$1,MATCH($C441,'4.1(2)新規再エネ導入予定(FS調査、系統接続検討状況)'!$G:$G,0)-1,0),""))</f>
        <v/>
      </c>
      <c r="H444" s="536" t="str" cm="1">
        <f t="array" aca="1" ref="H444" ca="1">IFERROR(_xlfn.IFS(OR(I444="検討不要",I444="検討未実施",I444="(低圧)申込完了",I444="(低圧)申込準備開始",I444="(低圧)申込準備完了"),"－",COUNTIF(OFFSET('4.1(2)新規再エネ導入予定(FS調査、系統接続検討状況)'!$O$1,MATCH($C441,'4.1(2)新規再エネ導入予定(FS調査、系統接続検討状況)'!$G:$G,0)-1,0),"*単独*")=1,"単独",COUNTIF(OFFSET('4.1(2)新規再エネ導入予定(FS調査、系統接続検討状況)'!$O$1,MATCH($C441,'4.1(2)新規再エネ導入予定(FS調査、系統接続検討状況)'!$G:$G,0)-1,0),"*一括*")=1,"一括検討"),"")</f>
        <v/>
      </c>
      <c r="I444" s="539" t="str">
        <f ca="1">IFERROR(SUBSTITUTE(SUBSTITUTE(OFFSET('4.1(2)新規再エネ導入予定(FS調査、系統接続検討状況)'!$O$1,MATCH($C441,'4.1(2)新規再エネ導入予定(FS調査、系統接続検討状況)'!$G:$G,0)-1,0),"(一括)",""),"(単独)",""),"")</f>
        <v/>
      </c>
    </row>
    <row r="446" spans="1:10" ht="19">
      <c r="B446" s="200" t="s">
        <v>215</v>
      </c>
    </row>
    <row r="447" spans="1:10" ht="21">
      <c r="B447" s="209" t="str">
        <f ca="1">IFERROR(_xlfn.TEXTJOIN(" ",1,C439,B441,C441),"")</f>
        <v/>
      </c>
      <c r="C447" s="210"/>
      <c r="D447" s="210"/>
    </row>
    <row r="448" spans="1:10" ht="28.5" customHeight="1">
      <c r="B448" s="211" t="s">
        <v>214</v>
      </c>
      <c r="C448" s="211"/>
      <c r="D448" s="211" t="s">
        <v>213</v>
      </c>
      <c r="E448" s="211"/>
      <c r="F448" s="211" t="s">
        <v>227</v>
      </c>
      <c r="G448" s="211"/>
      <c r="H448" s="211"/>
      <c r="I448" s="294"/>
    </row>
    <row r="449" spans="1:10" ht="114.65" customHeight="1">
      <c r="B449" s="997" t="s">
        <v>212</v>
      </c>
      <c r="C449" s="212" t="s">
        <v>211</v>
      </c>
      <c r="D449" s="995" t="s">
        <v>210</v>
      </c>
      <c r="E449" s="996"/>
      <c r="F449" s="992"/>
      <c r="G449" s="993"/>
      <c r="H449" s="993"/>
      <c r="I449" s="994"/>
    </row>
    <row r="450" spans="1:10" ht="114.65" customHeight="1">
      <c r="B450" s="997"/>
      <c r="C450" s="213" t="s">
        <v>209</v>
      </c>
      <c r="D450" s="995" t="s">
        <v>208</v>
      </c>
      <c r="E450" s="996"/>
      <c r="F450" s="992"/>
      <c r="G450" s="993"/>
      <c r="H450" s="993"/>
      <c r="I450" s="994"/>
    </row>
    <row r="451" spans="1:10" ht="114.65" customHeight="1">
      <c r="B451" s="998">
        <v>2</v>
      </c>
      <c r="C451" s="998"/>
      <c r="D451" s="995" t="s">
        <v>207</v>
      </c>
      <c r="E451" s="996"/>
      <c r="F451" s="992"/>
      <c r="G451" s="993"/>
      <c r="H451" s="993"/>
      <c r="I451" s="994"/>
    </row>
    <row r="452" spans="1:10" ht="114.65" customHeight="1">
      <c r="B452" s="999">
        <v>3</v>
      </c>
      <c r="C452" s="213" t="s">
        <v>206</v>
      </c>
      <c r="D452" s="995" t="s">
        <v>205</v>
      </c>
      <c r="E452" s="996"/>
      <c r="F452" s="992"/>
      <c r="G452" s="993"/>
      <c r="H452" s="993"/>
      <c r="I452" s="994"/>
    </row>
    <row r="453" spans="1:10" ht="114.65" customHeight="1">
      <c r="B453" s="999"/>
      <c r="C453" s="213" t="s">
        <v>204</v>
      </c>
      <c r="D453" s="995" t="s">
        <v>203</v>
      </c>
      <c r="E453" s="996"/>
      <c r="F453" s="992"/>
      <c r="G453" s="993"/>
      <c r="H453" s="993"/>
      <c r="I453" s="994"/>
    </row>
    <row r="454" spans="1:10" ht="115" customHeight="1">
      <c r="B454" s="998">
        <v>4</v>
      </c>
      <c r="C454" s="998"/>
      <c r="D454" s="995" t="s">
        <v>202</v>
      </c>
      <c r="E454" s="996"/>
      <c r="F454" s="992"/>
      <c r="G454" s="993"/>
      <c r="H454" s="993"/>
      <c r="I454" s="994"/>
    </row>
    <row r="455" spans="1:10" ht="132" customHeight="1">
      <c r="B455" s="998">
        <v>5</v>
      </c>
      <c r="C455" s="998"/>
      <c r="D455" s="995" t="s">
        <v>201</v>
      </c>
      <c r="E455" s="996"/>
      <c r="F455" s="992"/>
      <c r="G455" s="993"/>
      <c r="H455" s="993"/>
      <c r="I455" s="994"/>
    </row>
    <row r="457" spans="1:10">
      <c r="A457" s="214"/>
      <c r="B457" s="214"/>
      <c r="C457" s="214"/>
      <c r="D457" s="214"/>
      <c r="E457" s="214"/>
      <c r="F457" s="214"/>
      <c r="G457" s="214"/>
      <c r="H457" s="214"/>
      <c r="I457" s="295"/>
      <c r="J457" s="214"/>
    </row>
    <row r="458" spans="1:10" ht="23.5">
      <c r="B458" s="202" t="s">
        <v>27</v>
      </c>
      <c r="C458" s="202" t="str">
        <f ca="1">IFERROR(OFFSET('4.1(2)新規再エネ導入予定（設備情報）'!$X$1,MATCH(COUNTIF($B$1:B458,"発電方式"),'4.1(2)新規再エネ導入予定（設備情報）'!$AK:$AK,0)-1,0),"")</f>
        <v/>
      </c>
      <c r="D458" s="203"/>
    </row>
    <row r="459" spans="1:10" ht="39.75" customHeight="1">
      <c r="B459" s="204" t="s">
        <v>8</v>
      </c>
      <c r="C459" s="204" t="s">
        <v>182</v>
      </c>
      <c r="D459" s="205" t="s">
        <v>181</v>
      </c>
      <c r="E459" s="204" t="s">
        <v>9</v>
      </c>
      <c r="F459" s="206" t="s">
        <v>10</v>
      </c>
      <c r="G459" s="205" t="s">
        <v>31</v>
      </c>
      <c r="H459" s="204" t="s">
        <v>13</v>
      </c>
      <c r="I459" s="206" t="s">
        <v>81</v>
      </c>
    </row>
    <row r="460" spans="1:10" ht="36" customHeight="1">
      <c r="B460" s="535" t="str">
        <f ca="1">IFERROR(OFFSET('4.1(2)新規再エネ導入予定（設備情報）'!$F$1,MATCH($C460,'4.1(2)新規再エネ導入予定（設備情報）'!$G:$G,0)-1,0),"")</f>
        <v/>
      </c>
      <c r="C460" s="536" t="str">
        <f ca="1">IFERROR(OFFSET('4.1(2)新規再エネ導入予定（設備情報）'!$G$7,MATCH(COUNTIF($B$1:B458,"発電方式"),'4.1(2)新規再エネ導入予定（設備情報）'!$AK$8:$AK$1000,0),0),"")</f>
        <v/>
      </c>
      <c r="D460" s="535" t="str">
        <f ca="1">IFERROR(OFFSET('4.1(2)新規再エネ導入予定（設備情報）'!$H$1,MATCH($C460,'4.1(2)新規再エネ導入予定（設備情報）'!$G:$G,0)-1,0),"")</f>
        <v/>
      </c>
      <c r="E460" s="537" t="str">
        <f ca="1">IFERROR(OFFSET('4.1(2)新規再エネ導入予定（設備情報）'!$I$1,MATCH($C460,'4.1(2)新規再エネ導入予定（設備情報）'!$G:$G,0)-1,0),"")</f>
        <v/>
      </c>
      <c r="F460" s="537" t="str">
        <f ca="1">IFERROR(OFFSET('4.1(2)新規再エネ導入予定（設備情報）'!$J$1,MATCH($C460,'4.1(2)新規再エネ導入予定（設備情報）'!$G:$G,0)-1,0),"")</f>
        <v/>
      </c>
      <c r="G460" s="536" t="str">
        <f ca="1">IFERROR(OFFSET('4.1(2)新規再エネ導入予定（設備情報）'!$L$1,MATCH($C460,'4.1(2)新規再エネ導入予定（設備情報）'!$G:$G,0)-1,0),"")</f>
        <v/>
      </c>
      <c r="H460" s="536" t="str">
        <f ca="1">IFERROR(OFFSET('4.1(2)新規再エネ導入予定（設備情報）'!$M$1,MATCH($C460,'4.1(2)新規再エネ導入予定（設備情報）'!$G:$G,0)-1,0),"")</f>
        <v/>
      </c>
      <c r="I460" s="538" t="str">
        <f ca="1">IFERROR(OFFSET('4.1(2)新規再エネ導入予定（設備情報）'!$P$1,MATCH($C460,'4.1(2)新規再エネ導入予定（設備情報）'!$G:$G,0)-1,0),"")</f>
        <v/>
      </c>
    </row>
    <row r="461" spans="1:10" ht="16.5" customHeight="1">
      <c r="B461" s="1000" t="s">
        <v>178</v>
      </c>
      <c r="C461" s="1002" t="s">
        <v>14</v>
      </c>
      <c r="D461" s="1004" t="s">
        <v>217</v>
      </c>
      <c r="E461" s="1006" t="s">
        <v>216</v>
      </c>
      <c r="F461" s="1007"/>
      <c r="G461" s="1008"/>
      <c r="H461" s="1006" t="s">
        <v>108</v>
      </c>
      <c r="I461" s="1008"/>
    </row>
    <row r="462" spans="1:10" ht="42.75" customHeight="1">
      <c r="B462" s="1001"/>
      <c r="C462" s="1003"/>
      <c r="D462" s="1005"/>
      <c r="E462" s="207" t="s">
        <v>289</v>
      </c>
      <c r="F462" s="208" t="s">
        <v>109</v>
      </c>
      <c r="G462" s="208" t="s">
        <v>110</v>
      </c>
      <c r="H462" s="208" t="s">
        <v>276</v>
      </c>
      <c r="I462" s="207" t="s">
        <v>243</v>
      </c>
    </row>
    <row r="463" spans="1:10" ht="46.5" customHeight="1">
      <c r="B463" s="536" t="str">
        <f ca="1">IFERROR(OFFSET('4.1(2)新規再エネ導入予定（設備情報）'!$O$1,MATCH($C460,'4.1(2)新規再エネ導入予定（設備情報）'!$G:$G,0)-1,0),"")</f>
        <v/>
      </c>
      <c r="C463" s="536" t="str">
        <f ca="1">IFERROR(OFFSET('4.1(2)新規再エネ導入予定（設備情報）'!$R$1,MATCH($C460,'4.1(2)新規再エネ導入予定（設備情報）'!$G:$G,0)-1,0),"")</f>
        <v/>
      </c>
      <c r="D463" s="536" t="str">
        <f ca="1">IFERROR(OFFSET('4.1(2)新規再エネ導入予定（設備情報）'!$S$1,MATCH($C460,'4.1(2)新規再エネ導入予定（設備情報）'!$G:$G,0)-1,0),"")</f>
        <v/>
      </c>
      <c r="E463" s="536" t="str">
        <f ca="1">IF($C460="","",IFERROR(OFFSET('4.1(2)新規再エネ導入予定(FS調査、系統接続検討状況)'!$L$1,MATCH($C460,'4.1(2)新規再エネ導入予定(FS調査、系統接続検討状況)'!$G:$G,0)-1,0),""))</f>
        <v/>
      </c>
      <c r="F463" s="536" t="str">
        <f ca="1">IF($C460="","",IFERROR(OFFSET('4.1(2)新規再エネ導入予定(FS調査、系統接続検討状況)'!$M$1,MATCH($C460,'4.1(2)新規再エネ導入予定(FS調査、系統接続検討状況)'!$G:$G,0)-1,0),""))</f>
        <v/>
      </c>
      <c r="G463" s="536" t="str">
        <f ca="1">IF($C460="","",IFERROR(OFFSET('4.1(2)新規再エネ導入予定(FS調査、系統接続検討状況)'!$N$1,MATCH($C460,'4.1(2)新規再エネ導入予定(FS調査、系統接続検討状況)'!$G:$G,0)-1,0),""))</f>
        <v/>
      </c>
      <c r="H463" s="536" t="str" cm="1">
        <f t="array" aca="1" ref="H463" ca="1">IFERROR(_xlfn.IFS(OR(I463="検討不要",I463="検討未実施",I463="(低圧)申込完了",I463="(低圧)申込準備開始",I463="(低圧)申込準備完了"),"－",COUNTIF(OFFSET('4.1(2)新規再エネ導入予定(FS調査、系統接続検討状況)'!$O$1,MATCH($C460,'4.1(2)新規再エネ導入予定(FS調査、系統接続検討状況)'!$G:$G,0)-1,0),"*単独*")=1,"単独",COUNTIF(OFFSET('4.1(2)新規再エネ導入予定(FS調査、系統接続検討状況)'!$O$1,MATCH($C460,'4.1(2)新規再エネ導入予定(FS調査、系統接続検討状況)'!$G:$G,0)-1,0),"*一括*")=1,"一括検討"),"")</f>
        <v/>
      </c>
      <c r="I463" s="539" t="str">
        <f ca="1">IFERROR(SUBSTITUTE(SUBSTITUTE(OFFSET('4.1(2)新規再エネ導入予定(FS調査、系統接続検討状況)'!$O$1,MATCH($C460,'4.1(2)新規再エネ導入予定(FS調査、系統接続検討状況)'!$G:$G,0)-1,0),"(一括)",""),"(単独)",""),"")</f>
        <v/>
      </c>
    </row>
    <row r="465" spans="1:10" ht="19">
      <c r="B465" s="200" t="s">
        <v>215</v>
      </c>
    </row>
    <row r="466" spans="1:10" ht="21">
      <c r="B466" s="209" t="str">
        <f ca="1">IFERROR(_xlfn.TEXTJOIN(" ",1,C458,B460,C460),"")</f>
        <v/>
      </c>
      <c r="C466" s="210"/>
      <c r="D466" s="210"/>
    </row>
    <row r="467" spans="1:10" ht="28.5" customHeight="1">
      <c r="B467" s="211" t="s">
        <v>214</v>
      </c>
      <c r="C467" s="211"/>
      <c r="D467" s="211" t="s">
        <v>213</v>
      </c>
      <c r="E467" s="211"/>
      <c r="F467" s="211" t="s">
        <v>227</v>
      </c>
      <c r="G467" s="211"/>
      <c r="H467" s="211"/>
      <c r="I467" s="294"/>
    </row>
    <row r="468" spans="1:10" ht="114.65" customHeight="1">
      <c r="B468" s="997" t="s">
        <v>212</v>
      </c>
      <c r="C468" s="212" t="s">
        <v>211</v>
      </c>
      <c r="D468" s="995" t="s">
        <v>210</v>
      </c>
      <c r="E468" s="996"/>
      <c r="F468" s="992"/>
      <c r="G468" s="993"/>
      <c r="H468" s="993"/>
      <c r="I468" s="994"/>
    </row>
    <row r="469" spans="1:10" ht="114.65" customHeight="1">
      <c r="B469" s="997"/>
      <c r="C469" s="213" t="s">
        <v>209</v>
      </c>
      <c r="D469" s="995" t="s">
        <v>208</v>
      </c>
      <c r="E469" s="996"/>
      <c r="F469" s="992"/>
      <c r="G469" s="993"/>
      <c r="H469" s="993"/>
      <c r="I469" s="994"/>
    </row>
    <row r="470" spans="1:10" ht="114.65" customHeight="1">
      <c r="B470" s="998">
        <v>2</v>
      </c>
      <c r="C470" s="998"/>
      <c r="D470" s="995" t="s">
        <v>207</v>
      </c>
      <c r="E470" s="996"/>
      <c r="F470" s="992"/>
      <c r="G470" s="993"/>
      <c r="H470" s="993"/>
      <c r="I470" s="994"/>
    </row>
    <row r="471" spans="1:10" ht="114.65" customHeight="1">
      <c r="B471" s="999">
        <v>3</v>
      </c>
      <c r="C471" s="213" t="s">
        <v>206</v>
      </c>
      <c r="D471" s="995" t="s">
        <v>205</v>
      </c>
      <c r="E471" s="996"/>
      <c r="F471" s="992"/>
      <c r="G471" s="993"/>
      <c r="H471" s="993"/>
      <c r="I471" s="994"/>
    </row>
    <row r="472" spans="1:10" ht="114.65" customHeight="1">
      <c r="B472" s="999"/>
      <c r="C472" s="213" t="s">
        <v>204</v>
      </c>
      <c r="D472" s="995" t="s">
        <v>203</v>
      </c>
      <c r="E472" s="996"/>
      <c r="F472" s="992"/>
      <c r="G472" s="993"/>
      <c r="H472" s="993"/>
      <c r="I472" s="994"/>
    </row>
    <row r="473" spans="1:10" ht="115" customHeight="1">
      <c r="B473" s="998">
        <v>4</v>
      </c>
      <c r="C473" s="998"/>
      <c r="D473" s="995" t="s">
        <v>202</v>
      </c>
      <c r="E473" s="996"/>
      <c r="F473" s="992"/>
      <c r="G473" s="993"/>
      <c r="H473" s="993"/>
      <c r="I473" s="994"/>
    </row>
    <row r="474" spans="1:10" ht="132" customHeight="1">
      <c r="B474" s="998">
        <v>5</v>
      </c>
      <c r="C474" s="998"/>
      <c r="D474" s="995" t="s">
        <v>201</v>
      </c>
      <c r="E474" s="996"/>
      <c r="F474" s="992"/>
      <c r="G474" s="993"/>
      <c r="H474" s="993"/>
      <c r="I474" s="994"/>
    </row>
    <row r="476" spans="1:10">
      <c r="A476" s="214"/>
      <c r="B476" s="214"/>
      <c r="C476" s="214"/>
      <c r="D476" s="214"/>
      <c r="E476" s="214"/>
      <c r="F476" s="214"/>
      <c r="G476" s="214"/>
      <c r="H476" s="214"/>
      <c r="I476" s="295"/>
      <c r="J476" s="214"/>
    </row>
    <row r="477" spans="1:10" ht="23.5">
      <c r="B477" s="202" t="s">
        <v>27</v>
      </c>
      <c r="C477" s="202" t="str">
        <f ca="1">IFERROR(OFFSET('4.1(2)新規再エネ導入予定（設備情報）'!$X$1,MATCH(COUNTIF($B$1:B477,"発電方式"),'4.1(2)新規再エネ導入予定（設備情報）'!$AK:$AK,0)-1,0),"")</f>
        <v/>
      </c>
      <c r="D477" s="203"/>
    </row>
    <row r="478" spans="1:10" ht="39.75" customHeight="1">
      <c r="B478" s="204" t="s">
        <v>8</v>
      </c>
      <c r="C478" s="204" t="s">
        <v>182</v>
      </c>
      <c r="D478" s="205" t="s">
        <v>181</v>
      </c>
      <c r="E478" s="204" t="s">
        <v>9</v>
      </c>
      <c r="F478" s="206" t="s">
        <v>10</v>
      </c>
      <c r="G478" s="205" t="s">
        <v>31</v>
      </c>
      <c r="H478" s="204" t="s">
        <v>13</v>
      </c>
      <c r="I478" s="206" t="s">
        <v>81</v>
      </c>
    </row>
    <row r="479" spans="1:10" ht="36" customHeight="1">
      <c r="B479" s="535" t="str">
        <f ca="1">IFERROR(OFFSET('4.1(2)新規再エネ導入予定（設備情報）'!$F$1,MATCH($C479,'4.1(2)新規再エネ導入予定（設備情報）'!$G:$G,0)-1,0),"")</f>
        <v/>
      </c>
      <c r="C479" s="536" t="str">
        <f ca="1">IFERROR(OFFSET('4.1(2)新規再エネ導入予定（設備情報）'!$G$7,MATCH(COUNTIF($B$1:B477,"発電方式"),'4.1(2)新規再エネ導入予定（設備情報）'!$AK$8:$AK$1000,0),0),"")</f>
        <v/>
      </c>
      <c r="D479" s="535" t="str">
        <f ca="1">IFERROR(OFFSET('4.1(2)新規再エネ導入予定（設備情報）'!$H$1,MATCH($C479,'4.1(2)新規再エネ導入予定（設備情報）'!$G:$G,0)-1,0),"")</f>
        <v/>
      </c>
      <c r="E479" s="537" t="str">
        <f ca="1">IFERROR(OFFSET('4.1(2)新規再エネ導入予定（設備情報）'!$I$1,MATCH($C479,'4.1(2)新規再エネ導入予定（設備情報）'!$G:$G,0)-1,0),"")</f>
        <v/>
      </c>
      <c r="F479" s="537" t="str">
        <f ca="1">IFERROR(OFFSET('4.1(2)新規再エネ導入予定（設備情報）'!$J$1,MATCH($C479,'4.1(2)新規再エネ導入予定（設備情報）'!$G:$G,0)-1,0),"")</f>
        <v/>
      </c>
      <c r="G479" s="536" t="str">
        <f ca="1">IFERROR(OFFSET('4.1(2)新規再エネ導入予定（設備情報）'!$L$1,MATCH($C479,'4.1(2)新規再エネ導入予定（設備情報）'!$G:$G,0)-1,0),"")</f>
        <v/>
      </c>
      <c r="H479" s="536" t="str">
        <f ca="1">IFERROR(OFFSET('4.1(2)新規再エネ導入予定（設備情報）'!$M$1,MATCH($C479,'4.1(2)新規再エネ導入予定（設備情報）'!$G:$G,0)-1,0),"")</f>
        <v/>
      </c>
      <c r="I479" s="538" t="str">
        <f ca="1">IFERROR(OFFSET('4.1(2)新規再エネ導入予定（設備情報）'!$P$1,MATCH($C479,'4.1(2)新規再エネ導入予定（設備情報）'!$G:$G,0)-1,0),"")</f>
        <v/>
      </c>
    </row>
    <row r="480" spans="1:10" ht="16.5" customHeight="1">
      <c r="B480" s="1000" t="s">
        <v>178</v>
      </c>
      <c r="C480" s="1002" t="s">
        <v>14</v>
      </c>
      <c r="D480" s="1004" t="s">
        <v>217</v>
      </c>
      <c r="E480" s="1006" t="s">
        <v>216</v>
      </c>
      <c r="F480" s="1007"/>
      <c r="G480" s="1008"/>
      <c r="H480" s="1006" t="s">
        <v>108</v>
      </c>
      <c r="I480" s="1008"/>
    </row>
    <row r="481" spans="1:10" ht="42.75" customHeight="1">
      <c r="B481" s="1001"/>
      <c r="C481" s="1003"/>
      <c r="D481" s="1005"/>
      <c r="E481" s="207" t="s">
        <v>289</v>
      </c>
      <c r="F481" s="208" t="s">
        <v>109</v>
      </c>
      <c r="G481" s="208" t="s">
        <v>110</v>
      </c>
      <c r="H481" s="208" t="s">
        <v>276</v>
      </c>
      <c r="I481" s="207" t="s">
        <v>243</v>
      </c>
    </row>
    <row r="482" spans="1:10" ht="46.5" customHeight="1">
      <c r="B482" s="536" t="str">
        <f ca="1">IFERROR(OFFSET('4.1(2)新規再エネ導入予定（設備情報）'!$O$1,MATCH($C479,'4.1(2)新規再エネ導入予定（設備情報）'!$G:$G,0)-1,0),"")</f>
        <v/>
      </c>
      <c r="C482" s="536" t="str">
        <f ca="1">IFERROR(OFFSET('4.1(2)新規再エネ導入予定（設備情報）'!$R$1,MATCH($C479,'4.1(2)新規再エネ導入予定（設備情報）'!$G:$G,0)-1,0),"")</f>
        <v/>
      </c>
      <c r="D482" s="536" t="str">
        <f ca="1">IFERROR(OFFSET('4.1(2)新規再エネ導入予定（設備情報）'!$S$1,MATCH($C479,'4.1(2)新規再エネ導入予定（設備情報）'!$G:$G,0)-1,0),"")</f>
        <v/>
      </c>
      <c r="E482" s="536" t="str">
        <f ca="1">IF($C479="","",IFERROR(OFFSET('4.1(2)新規再エネ導入予定(FS調査、系統接続検討状況)'!$L$1,MATCH($C479,'4.1(2)新規再エネ導入予定(FS調査、系統接続検討状況)'!$G:$G,0)-1,0),""))</f>
        <v/>
      </c>
      <c r="F482" s="536" t="str">
        <f ca="1">IF($C479="","",IFERROR(OFFSET('4.1(2)新規再エネ導入予定(FS調査、系統接続検討状況)'!$M$1,MATCH($C479,'4.1(2)新規再エネ導入予定(FS調査、系統接続検討状況)'!$G:$G,0)-1,0),""))</f>
        <v/>
      </c>
      <c r="G482" s="536" t="str">
        <f ca="1">IF($C479="","",IFERROR(OFFSET('4.1(2)新規再エネ導入予定(FS調査、系統接続検討状況)'!$N$1,MATCH($C479,'4.1(2)新規再エネ導入予定(FS調査、系統接続検討状況)'!$G:$G,0)-1,0),""))</f>
        <v/>
      </c>
      <c r="H482" s="536" t="str" cm="1">
        <f t="array" aca="1" ref="H482" ca="1">IFERROR(_xlfn.IFS(OR(I482="検討不要",I482="検討未実施",I482="(低圧)申込完了",I482="(低圧)申込準備開始",I482="(低圧)申込準備完了"),"－",COUNTIF(OFFSET('4.1(2)新規再エネ導入予定(FS調査、系統接続検討状況)'!$O$1,MATCH($C479,'4.1(2)新規再エネ導入予定(FS調査、系統接続検討状況)'!$G:$G,0)-1,0),"*単独*")=1,"単独",COUNTIF(OFFSET('4.1(2)新規再エネ導入予定(FS調査、系統接続検討状況)'!$O$1,MATCH($C479,'4.1(2)新規再エネ導入予定(FS調査、系統接続検討状況)'!$G:$G,0)-1,0),"*一括*")=1,"一括検討"),"")</f>
        <v/>
      </c>
      <c r="I482" s="539" t="str">
        <f ca="1">IFERROR(SUBSTITUTE(SUBSTITUTE(OFFSET('4.1(2)新規再エネ導入予定(FS調査、系統接続検討状況)'!$O$1,MATCH($C479,'4.1(2)新規再エネ導入予定(FS調査、系統接続検討状況)'!$G:$G,0)-1,0),"(一括)",""),"(単独)",""),"")</f>
        <v/>
      </c>
    </row>
    <row r="484" spans="1:10" ht="19">
      <c r="B484" s="200" t="s">
        <v>215</v>
      </c>
    </row>
    <row r="485" spans="1:10" ht="21">
      <c r="B485" s="209" t="str">
        <f ca="1">IFERROR(_xlfn.TEXTJOIN(" ",1,C477,B479,C479),"")</f>
        <v/>
      </c>
      <c r="C485" s="210"/>
      <c r="D485" s="210"/>
    </row>
    <row r="486" spans="1:10" ht="28.5" customHeight="1">
      <c r="B486" s="211" t="s">
        <v>214</v>
      </c>
      <c r="C486" s="211"/>
      <c r="D486" s="211" t="s">
        <v>213</v>
      </c>
      <c r="E486" s="211"/>
      <c r="F486" s="211" t="s">
        <v>227</v>
      </c>
      <c r="G486" s="211"/>
      <c r="H486" s="211"/>
      <c r="I486" s="294"/>
    </row>
    <row r="487" spans="1:10" ht="114.65" customHeight="1">
      <c r="B487" s="997" t="s">
        <v>212</v>
      </c>
      <c r="C487" s="212" t="s">
        <v>211</v>
      </c>
      <c r="D487" s="995" t="s">
        <v>210</v>
      </c>
      <c r="E487" s="996"/>
      <c r="F487" s="992"/>
      <c r="G487" s="993"/>
      <c r="H487" s="993"/>
      <c r="I487" s="994"/>
    </row>
    <row r="488" spans="1:10" ht="114.65" customHeight="1">
      <c r="B488" s="997"/>
      <c r="C488" s="213" t="s">
        <v>209</v>
      </c>
      <c r="D488" s="995" t="s">
        <v>208</v>
      </c>
      <c r="E488" s="996"/>
      <c r="F488" s="992"/>
      <c r="G488" s="993"/>
      <c r="H488" s="993"/>
      <c r="I488" s="994"/>
    </row>
    <row r="489" spans="1:10" ht="114.65" customHeight="1">
      <c r="B489" s="998">
        <v>2</v>
      </c>
      <c r="C489" s="998"/>
      <c r="D489" s="995" t="s">
        <v>207</v>
      </c>
      <c r="E489" s="996"/>
      <c r="F489" s="992"/>
      <c r="G489" s="993"/>
      <c r="H489" s="993"/>
      <c r="I489" s="994"/>
    </row>
    <row r="490" spans="1:10" ht="114.65" customHeight="1">
      <c r="B490" s="999">
        <v>3</v>
      </c>
      <c r="C490" s="213" t="s">
        <v>206</v>
      </c>
      <c r="D490" s="995" t="s">
        <v>205</v>
      </c>
      <c r="E490" s="996"/>
      <c r="F490" s="992"/>
      <c r="G490" s="993"/>
      <c r="H490" s="993"/>
      <c r="I490" s="994"/>
    </row>
    <row r="491" spans="1:10" ht="114.65" customHeight="1">
      <c r="B491" s="999"/>
      <c r="C491" s="213" t="s">
        <v>204</v>
      </c>
      <c r="D491" s="995" t="s">
        <v>203</v>
      </c>
      <c r="E491" s="996"/>
      <c r="F491" s="992"/>
      <c r="G491" s="993"/>
      <c r="H491" s="993"/>
      <c r="I491" s="994"/>
    </row>
    <row r="492" spans="1:10" ht="115" customHeight="1">
      <c r="B492" s="998">
        <v>4</v>
      </c>
      <c r="C492" s="998"/>
      <c r="D492" s="995" t="s">
        <v>202</v>
      </c>
      <c r="E492" s="996"/>
      <c r="F492" s="992"/>
      <c r="G492" s="993"/>
      <c r="H492" s="993"/>
      <c r="I492" s="994"/>
    </row>
    <row r="493" spans="1:10" ht="132" customHeight="1">
      <c r="B493" s="998">
        <v>5</v>
      </c>
      <c r="C493" s="998"/>
      <c r="D493" s="995" t="s">
        <v>201</v>
      </c>
      <c r="E493" s="996"/>
      <c r="F493" s="992"/>
      <c r="G493" s="993"/>
      <c r="H493" s="993"/>
      <c r="I493" s="994"/>
    </row>
    <row r="495" spans="1:10">
      <c r="A495" s="214"/>
      <c r="B495" s="214"/>
      <c r="C495" s="214"/>
      <c r="D495" s="214"/>
      <c r="E495" s="214"/>
      <c r="F495" s="214"/>
      <c r="G495" s="214"/>
      <c r="H495" s="214"/>
      <c r="I495" s="295"/>
      <c r="J495" s="214"/>
    </row>
    <row r="496" spans="1:10" ht="23.5">
      <c r="B496" s="202" t="s">
        <v>27</v>
      </c>
      <c r="C496" s="202" t="str">
        <f ca="1">IFERROR(OFFSET('4.1(2)新規再エネ導入予定（設備情報）'!$X$1,MATCH(COUNTIF($B$1:B496,"発電方式"),'4.1(2)新規再エネ導入予定（設備情報）'!$AK:$AK,0)-1,0),"")</f>
        <v/>
      </c>
      <c r="D496" s="203"/>
    </row>
    <row r="497" spans="2:9" ht="39.75" customHeight="1">
      <c r="B497" s="204" t="s">
        <v>8</v>
      </c>
      <c r="C497" s="204" t="s">
        <v>182</v>
      </c>
      <c r="D497" s="205" t="s">
        <v>181</v>
      </c>
      <c r="E497" s="204" t="s">
        <v>9</v>
      </c>
      <c r="F497" s="206" t="s">
        <v>10</v>
      </c>
      <c r="G497" s="205" t="s">
        <v>31</v>
      </c>
      <c r="H497" s="204" t="s">
        <v>13</v>
      </c>
      <c r="I497" s="206" t="s">
        <v>81</v>
      </c>
    </row>
    <row r="498" spans="2:9" ht="36" customHeight="1">
      <c r="B498" s="535" t="str">
        <f ca="1">IFERROR(OFFSET('4.1(2)新規再エネ導入予定（設備情報）'!$F$1,MATCH($C498,'4.1(2)新規再エネ導入予定（設備情報）'!$G:$G,0)-1,0),"")</f>
        <v/>
      </c>
      <c r="C498" s="536" t="str">
        <f ca="1">IFERROR(OFFSET('4.1(2)新規再エネ導入予定（設備情報）'!$G$7,MATCH(COUNTIF($B$1:B496,"発電方式"),'4.1(2)新規再エネ導入予定（設備情報）'!$AK$8:$AK$1000,0),0),"")</f>
        <v/>
      </c>
      <c r="D498" s="535" t="str">
        <f ca="1">IFERROR(OFFSET('4.1(2)新規再エネ導入予定（設備情報）'!$H$1,MATCH($C498,'4.1(2)新規再エネ導入予定（設備情報）'!$G:$G,0)-1,0),"")</f>
        <v/>
      </c>
      <c r="E498" s="537" t="str">
        <f ca="1">IFERROR(OFFSET('4.1(2)新規再エネ導入予定（設備情報）'!$I$1,MATCH($C498,'4.1(2)新規再エネ導入予定（設備情報）'!$G:$G,0)-1,0),"")</f>
        <v/>
      </c>
      <c r="F498" s="537" t="str">
        <f ca="1">IFERROR(OFFSET('4.1(2)新規再エネ導入予定（設備情報）'!$J$1,MATCH($C498,'4.1(2)新規再エネ導入予定（設備情報）'!$G:$G,0)-1,0),"")</f>
        <v/>
      </c>
      <c r="G498" s="536" t="str">
        <f ca="1">IFERROR(OFFSET('4.1(2)新規再エネ導入予定（設備情報）'!$L$1,MATCH($C498,'4.1(2)新規再エネ導入予定（設備情報）'!$G:$G,0)-1,0),"")</f>
        <v/>
      </c>
      <c r="H498" s="536" t="str">
        <f ca="1">IFERROR(OFFSET('4.1(2)新規再エネ導入予定（設備情報）'!$M$1,MATCH($C498,'4.1(2)新規再エネ導入予定（設備情報）'!$G:$G,0)-1,0),"")</f>
        <v/>
      </c>
      <c r="I498" s="538" t="str">
        <f ca="1">IFERROR(OFFSET('4.1(2)新規再エネ導入予定（設備情報）'!$P$1,MATCH($C498,'4.1(2)新規再エネ導入予定（設備情報）'!$G:$G,0)-1,0),"")</f>
        <v/>
      </c>
    </row>
    <row r="499" spans="2:9" ht="16.5" customHeight="1">
      <c r="B499" s="1000" t="s">
        <v>178</v>
      </c>
      <c r="C499" s="1002" t="s">
        <v>14</v>
      </c>
      <c r="D499" s="1004" t="s">
        <v>217</v>
      </c>
      <c r="E499" s="1006" t="s">
        <v>216</v>
      </c>
      <c r="F499" s="1007"/>
      <c r="G499" s="1008"/>
      <c r="H499" s="1006" t="s">
        <v>108</v>
      </c>
      <c r="I499" s="1008"/>
    </row>
    <row r="500" spans="2:9" ht="42.75" customHeight="1">
      <c r="B500" s="1001"/>
      <c r="C500" s="1003"/>
      <c r="D500" s="1005"/>
      <c r="E500" s="207" t="s">
        <v>289</v>
      </c>
      <c r="F500" s="208" t="s">
        <v>109</v>
      </c>
      <c r="G500" s="208" t="s">
        <v>110</v>
      </c>
      <c r="H500" s="208" t="s">
        <v>276</v>
      </c>
      <c r="I500" s="207" t="s">
        <v>243</v>
      </c>
    </row>
    <row r="501" spans="2:9" ht="46.5" customHeight="1">
      <c r="B501" s="536" t="str">
        <f ca="1">IFERROR(OFFSET('4.1(2)新規再エネ導入予定（設備情報）'!$O$1,MATCH($C498,'4.1(2)新規再エネ導入予定（設備情報）'!$G:$G,0)-1,0),"")</f>
        <v/>
      </c>
      <c r="C501" s="536" t="str">
        <f ca="1">IFERROR(OFFSET('4.1(2)新規再エネ導入予定（設備情報）'!$R$1,MATCH($C498,'4.1(2)新規再エネ導入予定（設備情報）'!$G:$G,0)-1,0),"")</f>
        <v/>
      </c>
      <c r="D501" s="536" t="str">
        <f ca="1">IFERROR(OFFSET('4.1(2)新規再エネ導入予定（設備情報）'!$S$1,MATCH($C498,'4.1(2)新規再エネ導入予定（設備情報）'!$G:$G,0)-1,0),"")</f>
        <v/>
      </c>
      <c r="E501" s="536" t="str">
        <f ca="1">IF($C498="","",IFERROR(OFFSET('4.1(2)新規再エネ導入予定(FS調査、系統接続検討状況)'!$L$1,MATCH($C498,'4.1(2)新規再エネ導入予定(FS調査、系統接続検討状況)'!$G:$G,0)-1,0),""))</f>
        <v/>
      </c>
      <c r="F501" s="536" t="str">
        <f ca="1">IF($C498="","",IFERROR(OFFSET('4.1(2)新規再エネ導入予定(FS調査、系統接続検討状況)'!$M$1,MATCH($C498,'4.1(2)新規再エネ導入予定(FS調査、系統接続検討状況)'!$G:$G,0)-1,0),""))</f>
        <v/>
      </c>
      <c r="G501" s="536" t="str">
        <f ca="1">IF($C498="","",IFERROR(OFFSET('4.1(2)新規再エネ導入予定(FS調査、系統接続検討状況)'!$N$1,MATCH($C498,'4.1(2)新規再エネ導入予定(FS調査、系統接続検討状況)'!$G:$G,0)-1,0),""))</f>
        <v/>
      </c>
      <c r="H501" s="536" t="str" cm="1">
        <f t="array" aca="1" ref="H501" ca="1">IFERROR(_xlfn.IFS(OR(I501="検討不要",I501="検討未実施",I501="(低圧)申込完了",I501="(低圧)申込準備開始",I501="(低圧)申込準備完了"),"－",COUNTIF(OFFSET('4.1(2)新規再エネ導入予定(FS調査、系統接続検討状況)'!$O$1,MATCH($C498,'4.1(2)新規再エネ導入予定(FS調査、系統接続検討状況)'!$G:$G,0)-1,0),"*単独*")=1,"単独",COUNTIF(OFFSET('4.1(2)新規再エネ導入予定(FS調査、系統接続検討状況)'!$O$1,MATCH($C498,'4.1(2)新規再エネ導入予定(FS調査、系統接続検討状況)'!$G:$G,0)-1,0),"*一括*")=1,"一括検討"),"")</f>
        <v/>
      </c>
      <c r="I501" s="539" t="str">
        <f ca="1">IFERROR(SUBSTITUTE(SUBSTITUTE(OFFSET('4.1(2)新規再エネ導入予定(FS調査、系統接続検討状況)'!$O$1,MATCH($C498,'4.1(2)新規再エネ導入予定(FS調査、系統接続検討状況)'!$G:$G,0)-1,0),"(一括)",""),"(単独)",""),"")</f>
        <v/>
      </c>
    </row>
    <row r="503" spans="2:9" ht="19">
      <c r="B503" s="200" t="s">
        <v>215</v>
      </c>
    </row>
    <row r="504" spans="2:9" ht="21">
      <c r="B504" s="209" t="str">
        <f ca="1">IFERROR(_xlfn.TEXTJOIN(" ",1,C496,B498,C498),"")</f>
        <v/>
      </c>
      <c r="C504" s="210"/>
      <c r="D504" s="210"/>
    </row>
    <row r="505" spans="2:9" ht="28.5" customHeight="1">
      <c r="B505" s="211" t="s">
        <v>214</v>
      </c>
      <c r="C505" s="211"/>
      <c r="D505" s="211" t="s">
        <v>213</v>
      </c>
      <c r="E505" s="211"/>
      <c r="F505" s="211" t="s">
        <v>227</v>
      </c>
      <c r="G505" s="211"/>
      <c r="H505" s="211"/>
      <c r="I505" s="294"/>
    </row>
    <row r="506" spans="2:9" ht="114.65" customHeight="1">
      <c r="B506" s="997" t="s">
        <v>212</v>
      </c>
      <c r="C506" s="212" t="s">
        <v>211</v>
      </c>
      <c r="D506" s="995" t="s">
        <v>210</v>
      </c>
      <c r="E506" s="996"/>
      <c r="F506" s="992"/>
      <c r="G506" s="993"/>
      <c r="H506" s="993"/>
      <c r="I506" s="994"/>
    </row>
    <row r="507" spans="2:9" ht="114.65" customHeight="1">
      <c r="B507" s="997"/>
      <c r="C507" s="213" t="s">
        <v>209</v>
      </c>
      <c r="D507" s="995" t="s">
        <v>208</v>
      </c>
      <c r="E507" s="996"/>
      <c r="F507" s="992"/>
      <c r="G507" s="993"/>
      <c r="H507" s="993"/>
      <c r="I507" s="994"/>
    </row>
    <row r="508" spans="2:9" ht="114.65" customHeight="1">
      <c r="B508" s="998">
        <v>2</v>
      </c>
      <c r="C508" s="998"/>
      <c r="D508" s="995" t="s">
        <v>207</v>
      </c>
      <c r="E508" s="996"/>
      <c r="F508" s="992"/>
      <c r="G508" s="993"/>
      <c r="H508" s="993"/>
      <c r="I508" s="994"/>
    </row>
    <row r="509" spans="2:9" ht="114.65" customHeight="1">
      <c r="B509" s="999">
        <v>3</v>
      </c>
      <c r="C509" s="213" t="s">
        <v>206</v>
      </c>
      <c r="D509" s="995" t="s">
        <v>205</v>
      </c>
      <c r="E509" s="996"/>
      <c r="F509" s="992"/>
      <c r="G509" s="993"/>
      <c r="H509" s="993"/>
      <c r="I509" s="994"/>
    </row>
    <row r="510" spans="2:9" ht="114.65" customHeight="1">
      <c r="B510" s="999"/>
      <c r="C510" s="213" t="s">
        <v>204</v>
      </c>
      <c r="D510" s="995" t="s">
        <v>203</v>
      </c>
      <c r="E510" s="996"/>
      <c r="F510" s="992"/>
      <c r="G510" s="993"/>
      <c r="H510" s="993"/>
      <c r="I510" s="994"/>
    </row>
    <row r="511" spans="2:9" ht="115" customHeight="1">
      <c r="B511" s="998">
        <v>4</v>
      </c>
      <c r="C511" s="998"/>
      <c r="D511" s="995" t="s">
        <v>202</v>
      </c>
      <c r="E511" s="996"/>
      <c r="F511" s="992"/>
      <c r="G511" s="993"/>
      <c r="H511" s="993"/>
      <c r="I511" s="994"/>
    </row>
    <row r="512" spans="2:9" ht="132" customHeight="1">
      <c r="B512" s="998">
        <v>5</v>
      </c>
      <c r="C512" s="998"/>
      <c r="D512" s="995" t="s">
        <v>201</v>
      </c>
      <c r="E512" s="996"/>
      <c r="F512" s="992"/>
      <c r="G512" s="993"/>
      <c r="H512" s="993"/>
      <c r="I512" s="994"/>
    </row>
    <row r="514" spans="1:10">
      <c r="A514" s="214"/>
      <c r="B514" s="214"/>
      <c r="C514" s="214"/>
      <c r="D514" s="214"/>
      <c r="E514" s="214"/>
      <c r="F514" s="214"/>
      <c r="G514" s="214"/>
      <c r="H514" s="214"/>
      <c r="I514" s="295"/>
      <c r="J514" s="214"/>
    </row>
    <row r="515" spans="1:10" ht="23.5">
      <c r="B515" s="202" t="s">
        <v>27</v>
      </c>
      <c r="C515" s="202" t="str">
        <f ca="1">IFERROR(OFFSET('4.1(2)新規再エネ導入予定（設備情報）'!$X$1,MATCH(COUNTIF($B$1:B515,"発電方式"),'4.1(2)新規再エネ導入予定（設備情報）'!$AK:$AK,0)-1,0),"")</f>
        <v/>
      </c>
      <c r="D515" s="203"/>
    </row>
    <row r="516" spans="1:10" ht="39.75" customHeight="1">
      <c r="B516" s="204" t="s">
        <v>8</v>
      </c>
      <c r="C516" s="204" t="s">
        <v>182</v>
      </c>
      <c r="D516" s="205" t="s">
        <v>181</v>
      </c>
      <c r="E516" s="204" t="s">
        <v>9</v>
      </c>
      <c r="F516" s="206" t="s">
        <v>10</v>
      </c>
      <c r="G516" s="205" t="s">
        <v>31</v>
      </c>
      <c r="H516" s="204" t="s">
        <v>13</v>
      </c>
      <c r="I516" s="206" t="s">
        <v>81</v>
      </c>
    </row>
    <row r="517" spans="1:10" ht="36" customHeight="1">
      <c r="B517" s="535" t="str">
        <f ca="1">IFERROR(OFFSET('4.1(2)新規再エネ導入予定（設備情報）'!$F$1,MATCH($C517,'4.1(2)新規再エネ導入予定（設備情報）'!$G:$G,0)-1,0),"")</f>
        <v/>
      </c>
      <c r="C517" s="536" t="str">
        <f ca="1">IFERROR(OFFSET('4.1(2)新規再エネ導入予定（設備情報）'!$G$7,MATCH(COUNTIF($B$1:B515,"発電方式"),'4.1(2)新規再エネ導入予定（設備情報）'!$AK$8:$AK$1000,0),0),"")</f>
        <v/>
      </c>
      <c r="D517" s="535" t="str">
        <f ca="1">IFERROR(OFFSET('4.1(2)新規再エネ導入予定（設備情報）'!$H$1,MATCH($C517,'4.1(2)新規再エネ導入予定（設備情報）'!$G:$G,0)-1,0),"")</f>
        <v/>
      </c>
      <c r="E517" s="537" t="str">
        <f ca="1">IFERROR(OFFSET('4.1(2)新規再エネ導入予定（設備情報）'!$I$1,MATCH($C517,'4.1(2)新規再エネ導入予定（設備情報）'!$G:$G,0)-1,0),"")</f>
        <v/>
      </c>
      <c r="F517" s="537" t="str">
        <f ca="1">IFERROR(OFFSET('4.1(2)新規再エネ導入予定（設備情報）'!$J$1,MATCH($C517,'4.1(2)新規再エネ導入予定（設備情報）'!$G:$G,0)-1,0),"")</f>
        <v/>
      </c>
      <c r="G517" s="536" t="str">
        <f ca="1">IFERROR(OFFSET('4.1(2)新規再エネ導入予定（設備情報）'!$L$1,MATCH($C517,'4.1(2)新規再エネ導入予定（設備情報）'!$G:$G,0)-1,0),"")</f>
        <v/>
      </c>
      <c r="H517" s="536" t="str">
        <f ca="1">IFERROR(OFFSET('4.1(2)新規再エネ導入予定（設備情報）'!$M$1,MATCH($C517,'4.1(2)新規再エネ導入予定（設備情報）'!$G:$G,0)-1,0),"")</f>
        <v/>
      </c>
      <c r="I517" s="538" t="str">
        <f ca="1">IFERROR(OFFSET('4.1(2)新規再エネ導入予定（設備情報）'!$P$1,MATCH($C517,'4.1(2)新規再エネ導入予定（設備情報）'!$G:$G,0)-1,0),"")</f>
        <v/>
      </c>
    </row>
    <row r="518" spans="1:10" ht="16.5" customHeight="1">
      <c r="B518" s="1000" t="s">
        <v>178</v>
      </c>
      <c r="C518" s="1002" t="s">
        <v>14</v>
      </c>
      <c r="D518" s="1004" t="s">
        <v>217</v>
      </c>
      <c r="E518" s="1006" t="s">
        <v>216</v>
      </c>
      <c r="F518" s="1007"/>
      <c r="G518" s="1008"/>
      <c r="H518" s="1006" t="s">
        <v>108</v>
      </c>
      <c r="I518" s="1008"/>
    </row>
    <row r="519" spans="1:10" ht="42.75" customHeight="1">
      <c r="B519" s="1001"/>
      <c r="C519" s="1003"/>
      <c r="D519" s="1005"/>
      <c r="E519" s="207" t="s">
        <v>289</v>
      </c>
      <c r="F519" s="208" t="s">
        <v>109</v>
      </c>
      <c r="G519" s="208" t="s">
        <v>110</v>
      </c>
      <c r="H519" s="208" t="s">
        <v>276</v>
      </c>
      <c r="I519" s="207" t="s">
        <v>243</v>
      </c>
    </row>
    <row r="520" spans="1:10" ht="46.5" customHeight="1">
      <c r="B520" s="536" t="str">
        <f ca="1">IFERROR(OFFSET('4.1(2)新規再エネ導入予定（設備情報）'!$O$1,MATCH($C517,'4.1(2)新規再エネ導入予定（設備情報）'!$G:$G,0)-1,0),"")</f>
        <v/>
      </c>
      <c r="C520" s="536" t="str">
        <f ca="1">IFERROR(OFFSET('4.1(2)新規再エネ導入予定（設備情報）'!$R$1,MATCH($C517,'4.1(2)新規再エネ導入予定（設備情報）'!$G:$G,0)-1,0),"")</f>
        <v/>
      </c>
      <c r="D520" s="536" t="str">
        <f ca="1">IFERROR(OFFSET('4.1(2)新規再エネ導入予定（設備情報）'!$S$1,MATCH($C517,'4.1(2)新規再エネ導入予定（設備情報）'!$G:$G,0)-1,0),"")</f>
        <v/>
      </c>
      <c r="E520" s="536" t="str">
        <f ca="1">IF($C517="","",IFERROR(OFFSET('4.1(2)新規再エネ導入予定(FS調査、系統接続検討状況)'!$L$1,MATCH($C517,'4.1(2)新規再エネ導入予定(FS調査、系統接続検討状況)'!$G:$G,0)-1,0),""))</f>
        <v/>
      </c>
      <c r="F520" s="536" t="str">
        <f ca="1">IF($C517="","",IFERROR(OFFSET('4.1(2)新規再エネ導入予定(FS調査、系統接続検討状況)'!$M$1,MATCH($C517,'4.1(2)新規再エネ導入予定(FS調査、系統接続検討状況)'!$G:$G,0)-1,0),""))</f>
        <v/>
      </c>
      <c r="G520" s="536" t="str">
        <f ca="1">IF($C517="","",IFERROR(OFFSET('4.1(2)新規再エネ導入予定(FS調査、系統接続検討状況)'!$N$1,MATCH($C517,'4.1(2)新規再エネ導入予定(FS調査、系統接続検討状況)'!$G:$G,0)-1,0),""))</f>
        <v/>
      </c>
      <c r="H520" s="536" t="str" cm="1">
        <f t="array" aca="1" ref="H520" ca="1">IFERROR(_xlfn.IFS(OR(I520="検討不要",I520="検討未実施",I520="(低圧)申込完了",I520="(低圧)申込準備開始",I520="(低圧)申込準備完了"),"－",COUNTIF(OFFSET('4.1(2)新規再エネ導入予定(FS調査、系統接続検討状況)'!$O$1,MATCH($C517,'4.1(2)新規再エネ導入予定(FS調査、系統接続検討状況)'!$G:$G,0)-1,0),"*単独*")=1,"単独",COUNTIF(OFFSET('4.1(2)新規再エネ導入予定(FS調査、系統接続検討状況)'!$O$1,MATCH($C517,'4.1(2)新規再エネ導入予定(FS調査、系統接続検討状況)'!$G:$G,0)-1,0),"*一括*")=1,"一括検討"),"")</f>
        <v/>
      </c>
      <c r="I520" s="539" t="str">
        <f ca="1">IFERROR(SUBSTITUTE(SUBSTITUTE(OFFSET('4.1(2)新規再エネ導入予定(FS調査、系統接続検討状況)'!$O$1,MATCH($C517,'4.1(2)新規再エネ導入予定(FS調査、系統接続検討状況)'!$G:$G,0)-1,0),"(一括)",""),"(単独)",""),"")</f>
        <v/>
      </c>
    </row>
    <row r="522" spans="1:10" ht="19">
      <c r="B522" s="200" t="s">
        <v>215</v>
      </c>
    </row>
    <row r="523" spans="1:10" ht="21">
      <c r="B523" s="209" t="str">
        <f ca="1">IFERROR(_xlfn.TEXTJOIN(" ",1,C515,B517,C517),"")</f>
        <v/>
      </c>
      <c r="C523" s="210"/>
      <c r="D523" s="210"/>
    </row>
    <row r="524" spans="1:10" ht="28.5" customHeight="1">
      <c r="B524" s="211" t="s">
        <v>214</v>
      </c>
      <c r="C524" s="211"/>
      <c r="D524" s="211" t="s">
        <v>213</v>
      </c>
      <c r="E524" s="211"/>
      <c r="F524" s="211" t="s">
        <v>227</v>
      </c>
      <c r="G524" s="211"/>
      <c r="H524" s="211"/>
      <c r="I524" s="294"/>
    </row>
    <row r="525" spans="1:10" ht="114.65" customHeight="1">
      <c r="B525" s="997" t="s">
        <v>212</v>
      </c>
      <c r="C525" s="212" t="s">
        <v>211</v>
      </c>
      <c r="D525" s="995" t="s">
        <v>210</v>
      </c>
      <c r="E525" s="996"/>
      <c r="F525" s="992"/>
      <c r="G525" s="993"/>
      <c r="H525" s="993"/>
      <c r="I525" s="994"/>
    </row>
    <row r="526" spans="1:10" ht="114.65" customHeight="1">
      <c r="B526" s="997"/>
      <c r="C526" s="213" t="s">
        <v>209</v>
      </c>
      <c r="D526" s="995" t="s">
        <v>208</v>
      </c>
      <c r="E526" s="996"/>
      <c r="F526" s="992"/>
      <c r="G526" s="993"/>
      <c r="H526" s="993"/>
      <c r="I526" s="994"/>
    </row>
    <row r="527" spans="1:10" ht="114.65" customHeight="1">
      <c r="B527" s="998">
        <v>2</v>
      </c>
      <c r="C527" s="998"/>
      <c r="D527" s="995" t="s">
        <v>207</v>
      </c>
      <c r="E527" s="996"/>
      <c r="F527" s="992"/>
      <c r="G527" s="993"/>
      <c r="H527" s="993"/>
      <c r="I527" s="994"/>
    </row>
    <row r="528" spans="1:10" ht="114.65" customHeight="1">
      <c r="B528" s="999">
        <v>3</v>
      </c>
      <c r="C528" s="213" t="s">
        <v>206</v>
      </c>
      <c r="D528" s="995" t="s">
        <v>205</v>
      </c>
      <c r="E528" s="996"/>
      <c r="F528" s="992"/>
      <c r="G528" s="993"/>
      <c r="H528" s="993"/>
      <c r="I528" s="994"/>
    </row>
    <row r="529" spans="1:10" ht="114.65" customHeight="1">
      <c r="B529" s="999"/>
      <c r="C529" s="213" t="s">
        <v>204</v>
      </c>
      <c r="D529" s="995" t="s">
        <v>203</v>
      </c>
      <c r="E529" s="996"/>
      <c r="F529" s="992"/>
      <c r="G529" s="993"/>
      <c r="H529" s="993"/>
      <c r="I529" s="994"/>
    </row>
    <row r="530" spans="1:10" ht="115" customHeight="1">
      <c r="B530" s="998">
        <v>4</v>
      </c>
      <c r="C530" s="998"/>
      <c r="D530" s="995" t="s">
        <v>202</v>
      </c>
      <c r="E530" s="996"/>
      <c r="F530" s="992"/>
      <c r="G530" s="993"/>
      <c r="H530" s="993"/>
      <c r="I530" s="994"/>
    </row>
    <row r="531" spans="1:10" ht="132" customHeight="1">
      <c r="B531" s="998">
        <v>5</v>
      </c>
      <c r="C531" s="998"/>
      <c r="D531" s="995" t="s">
        <v>201</v>
      </c>
      <c r="E531" s="996"/>
      <c r="F531" s="992"/>
      <c r="G531" s="993"/>
      <c r="H531" s="993"/>
      <c r="I531" s="994"/>
    </row>
    <row r="533" spans="1:10">
      <c r="A533" s="214"/>
      <c r="B533" s="214"/>
      <c r="C533" s="214"/>
      <c r="D533" s="214"/>
      <c r="E533" s="214"/>
      <c r="F533" s="214"/>
      <c r="G533" s="214"/>
      <c r="H533" s="214"/>
      <c r="I533" s="295"/>
      <c r="J533" s="214"/>
    </row>
    <row r="534" spans="1:10" ht="23.5">
      <c r="B534" s="202" t="s">
        <v>27</v>
      </c>
      <c r="C534" s="202" t="str">
        <f ca="1">IFERROR(OFFSET('4.1(2)新規再エネ導入予定（設備情報）'!$X$1,MATCH(COUNTIF($B$1:B534,"発電方式"),'4.1(2)新規再エネ導入予定（設備情報）'!$AK:$AK,0)-1,0),"")</f>
        <v/>
      </c>
      <c r="D534" s="203"/>
    </row>
    <row r="535" spans="1:10" ht="39.75" customHeight="1">
      <c r="B535" s="204" t="s">
        <v>8</v>
      </c>
      <c r="C535" s="204" t="s">
        <v>182</v>
      </c>
      <c r="D535" s="205" t="s">
        <v>181</v>
      </c>
      <c r="E535" s="204" t="s">
        <v>9</v>
      </c>
      <c r="F535" s="206" t="s">
        <v>10</v>
      </c>
      <c r="G535" s="205" t="s">
        <v>31</v>
      </c>
      <c r="H535" s="204" t="s">
        <v>13</v>
      </c>
      <c r="I535" s="206" t="s">
        <v>81</v>
      </c>
    </row>
    <row r="536" spans="1:10" ht="36" customHeight="1">
      <c r="B536" s="535" t="str">
        <f ca="1">IFERROR(OFFSET('4.1(2)新規再エネ導入予定（設備情報）'!$F$1,MATCH($C536,'4.1(2)新規再エネ導入予定（設備情報）'!$G:$G,0)-1,0),"")</f>
        <v/>
      </c>
      <c r="C536" s="536" t="str">
        <f ca="1">IFERROR(OFFSET('4.1(2)新規再エネ導入予定（設備情報）'!$G$7,MATCH(COUNTIF($B$1:B534,"発電方式"),'4.1(2)新規再エネ導入予定（設備情報）'!$AK$8:$AK$1000,0),0),"")</f>
        <v/>
      </c>
      <c r="D536" s="535" t="str">
        <f ca="1">IFERROR(OFFSET('4.1(2)新規再エネ導入予定（設備情報）'!$H$1,MATCH($C536,'4.1(2)新規再エネ導入予定（設備情報）'!$G:$G,0)-1,0),"")</f>
        <v/>
      </c>
      <c r="E536" s="537" t="str">
        <f ca="1">IFERROR(OFFSET('4.1(2)新規再エネ導入予定（設備情報）'!$I$1,MATCH($C536,'4.1(2)新規再エネ導入予定（設備情報）'!$G:$G,0)-1,0),"")</f>
        <v/>
      </c>
      <c r="F536" s="537" t="str">
        <f ca="1">IFERROR(OFFSET('4.1(2)新規再エネ導入予定（設備情報）'!$J$1,MATCH($C536,'4.1(2)新規再エネ導入予定（設備情報）'!$G:$G,0)-1,0),"")</f>
        <v/>
      </c>
      <c r="G536" s="536" t="str">
        <f ca="1">IFERROR(OFFSET('4.1(2)新規再エネ導入予定（設備情報）'!$L$1,MATCH($C536,'4.1(2)新規再エネ導入予定（設備情報）'!$G:$G,0)-1,0),"")</f>
        <v/>
      </c>
      <c r="H536" s="536" t="str">
        <f ca="1">IFERROR(OFFSET('4.1(2)新規再エネ導入予定（設備情報）'!$M$1,MATCH($C536,'4.1(2)新規再エネ導入予定（設備情報）'!$G:$G,0)-1,0),"")</f>
        <v/>
      </c>
      <c r="I536" s="538" t="str">
        <f ca="1">IFERROR(OFFSET('4.1(2)新規再エネ導入予定（設備情報）'!$P$1,MATCH($C536,'4.1(2)新規再エネ導入予定（設備情報）'!$G:$G,0)-1,0),"")</f>
        <v/>
      </c>
    </row>
    <row r="537" spans="1:10" ht="16.5" customHeight="1">
      <c r="B537" s="1000" t="s">
        <v>178</v>
      </c>
      <c r="C537" s="1002" t="s">
        <v>14</v>
      </c>
      <c r="D537" s="1004" t="s">
        <v>217</v>
      </c>
      <c r="E537" s="1006" t="s">
        <v>216</v>
      </c>
      <c r="F537" s="1007"/>
      <c r="G537" s="1008"/>
      <c r="H537" s="1006" t="s">
        <v>108</v>
      </c>
      <c r="I537" s="1008"/>
    </row>
    <row r="538" spans="1:10" ht="42.75" customHeight="1">
      <c r="B538" s="1001"/>
      <c r="C538" s="1003"/>
      <c r="D538" s="1005"/>
      <c r="E538" s="207" t="s">
        <v>289</v>
      </c>
      <c r="F538" s="208" t="s">
        <v>109</v>
      </c>
      <c r="G538" s="208" t="s">
        <v>110</v>
      </c>
      <c r="H538" s="208" t="s">
        <v>276</v>
      </c>
      <c r="I538" s="207" t="s">
        <v>243</v>
      </c>
    </row>
    <row r="539" spans="1:10" ht="46.5" customHeight="1">
      <c r="B539" s="536" t="str">
        <f ca="1">IFERROR(OFFSET('4.1(2)新規再エネ導入予定（設備情報）'!$O$1,MATCH($C536,'4.1(2)新規再エネ導入予定（設備情報）'!$G:$G,0)-1,0),"")</f>
        <v/>
      </c>
      <c r="C539" s="536" t="str">
        <f ca="1">IFERROR(OFFSET('4.1(2)新規再エネ導入予定（設備情報）'!$R$1,MATCH($C536,'4.1(2)新規再エネ導入予定（設備情報）'!$G:$G,0)-1,0),"")</f>
        <v/>
      </c>
      <c r="D539" s="536" t="str">
        <f ca="1">IFERROR(OFFSET('4.1(2)新規再エネ導入予定（設備情報）'!$S$1,MATCH($C536,'4.1(2)新規再エネ導入予定（設備情報）'!$G:$G,0)-1,0),"")</f>
        <v/>
      </c>
      <c r="E539" s="536" t="str">
        <f ca="1">IF($C536="","",IFERROR(OFFSET('4.1(2)新規再エネ導入予定(FS調査、系統接続検討状況)'!$L$1,MATCH($C536,'4.1(2)新規再エネ導入予定(FS調査、系統接続検討状況)'!$G:$G,0)-1,0),""))</f>
        <v/>
      </c>
      <c r="F539" s="536" t="str">
        <f ca="1">IF($C536="","",IFERROR(OFFSET('4.1(2)新規再エネ導入予定(FS調査、系統接続検討状況)'!$M$1,MATCH($C536,'4.1(2)新規再エネ導入予定(FS調査、系統接続検討状況)'!$G:$G,0)-1,0),""))</f>
        <v/>
      </c>
      <c r="G539" s="536" t="str">
        <f ca="1">IF($C536="","",IFERROR(OFFSET('4.1(2)新規再エネ導入予定(FS調査、系統接続検討状況)'!$N$1,MATCH($C536,'4.1(2)新規再エネ導入予定(FS調査、系統接続検討状況)'!$G:$G,0)-1,0),""))</f>
        <v/>
      </c>
      <c r="H539" s="536" t="str" cm="1">
        <f t="array" aca="1" ref="H539" ca="1">IFERROR(_xlfn.IFS(OR(I539="検討不要",I539="検討未実施",I539="(低圧)申込完了",I539="(低圧)申込準備開始",I539="(低圧)申込準備完了"),"－",COUNTIF(OFFSET('4.1(2)新規再エネ導入予定(FS調査、系統接続検討状況)'!$O$1,MATCH($C536,'4.1(2)新規再エネ導入予定(FS調査、系統接続検討状況)'!$G:$G,0)-1,0),"*単独*")=1,"単独",COUNTIF(OFFSET('4.1(2)新規再エネ導入予定(FS調査、系統接続検討状況)'!$O$1,MATCH($C536,'4.1(2)新規再エネ導入予定(FS調査、系統接続検討状況)'!$G:$G,0)-1,0),"*一括*")=1,"一括検討"),"")</f>
        <v/>
      </c>
      <c r="I539" s="539" t="str">
        <f ca="1">IFERROR(SUBSTITUTE(SUBSTITUTE(OFFSET('4.1(2)新規再エネ導入予定(FS調査、系統接続検討状況)'!$O$1,MATCH($C536,'4.1(2)新規再エネ導入予定(FS調査、系統接続検討状況)'!$G:$G,0)-1,0),"(一括)",""),"(単独)",""),"")</f>
        <v/>
      </c>
    </row>
    <row r="541" spans="1:10" ht="19">
      <c r="B541" s="200" t="s">
        <v>215</v>
      </c>
    </row>
    <row r="542" spans="1:10" ht="21">
      <c r="B542" s="209" t="str">
        <f ca="1">IFERROR(_xlfn.TEXTJOIN(" ",1,C534,B536,C536),"")</f>
        <v/>
      </c>
      <c r="C542" s="210"/>
      <c r="D542" s="210"/>
    </row>
    <row r="543" spans="1:10" ht="28.5" customHeight="1">
      <c r="B543" s="211" t="s">
        <v>214</v>
      </c>
      <c r="C543" s="211"/>
      <c r="D543" s="211" t="s">
        <v>213</v>
      </c>
      <c r="E543" s="211"/>
      <c r="F543" s="211" t="s">
        <v>227</v>
      </c>
      <c r="G543" s="211"/>
      <c r="H543" s="211"/>
      <c r="I543" s="294"/>
    </row>
    <row r="544" spans="1:10" ht="114.65" customHeight="1">
      <c r="B544" s="997" t="s">
        <v>212</v>
      </c>
      <c r="C544" s="212" t="s">
        <v>211</v>
      </c>
      <c r="D544" s="995" t="s">
        <v>210</v>
      </c>
      <c r="E544" s="996"/>
      <c r="F544" s="992"/>
      <c r="G544" s="993"/>
      <c r="H544" s="993"/>
      <c r="I544" s="994"/>
    </row>
    <row r="545" spans="1:10" ht="114.65" customHeight="1">
      <c r="B545" s="997"/>
      <c r="C545" s="213" t="s">
        <v>209</v>
      </c>
      <c r="D545" s="995" t="s">
        <v>208</v>
      </c>
      <c r="E545" s="996"/>
      <c r="F545" s="992"/>
      <c r="G545" s="993"/>
      <c r="H545" s="993"/>
      <c r="I545" s="994"/>
    </row>
    <row r="546" spans="1:10" ht="114.65" customHeight="1">
      <c r="B546" s="998">
        <v>2</v>
      </c>
      <c r="C546" s="998"/>
      <c r="D546" s="995" t="s">
        <v>207</v>
      </c>
      <c r="E546" s="996"/>
      <c r="F546" s="992"/>
      <c r="G546" s="993"/>
      <c r="H546" s="993"/>
      <c r="I546" s="994"/>
    </row>
    <row r="547" spans="1:10" ht="114.65" customHeight="1">
      <c r="B547" s="999">
        <v>3</v>
      </c>
      <c r="C547" s="213" t="s">
        <v>206</v>
      </c>
      <c r="D547" s="995" t="s">
        <v>205</v>
      </c>
      <c r="E547" s="996"/>
      <c r="F547" s="992"/>
      <c r="G547" s="993"/>
      <c r="H547" s="993"/>
      <c r="I547" s="994"/>
    </row>
    <row r="548" spans="1:10" ht="114.65" customHeight="1">
      <c r="B548" s="999"/>
      <c r="C548" s="213" t="s">
        <v>204</v>
      </c>
      <c r="D548" s="995" t="s">
        <v>203</v>
      </c>
      <c r="E548" s="996"/>
      <c r="F548" s="992"/>
      <c r="G548" s="993"/>
      <c r="H548" s="993"/>
      <c r="I548" s="994"/>
    </row>
    <row r="549" spans="1:10" ht="115" customHeight="1">
      <c r="B549" s="998">
        <v>4</v>
      </c>
      <c r="C549" s="998"/>
      <c r="D549" s="995" t="s">
        <v>202</v>
      </c>
      <c r="E549" s="996"/>
      <c r="F549" s="992"/>
      <c r="G549" s="993"/>
      <c r="H549" s="993"/>
      <c r="I549" s="994"/>
    </row>
    <row r="550" spans="1:10" ht="132" customHeight="1">
      <c r="B550" s="998">
        <v>5</v>
      </c>
      <c r="C550" s="998"/>
      <c r="D550" s="995" t="s">
        <v>201</v>
      </c>
      <c r="E550" s="996"/>
      <c r="F550" s="992"/>
      <c r="G550" s="993"/>
      <c r="H550" s="993"/>
      <c r="I550" s="994"/>
    </row>
    <row r="552" spans="1:10">
      <c r="A552" s="214"/>
      <c r="B552" s="214"/>
      <c r="C552" s="214"/>
      <c r="D552" s="214"/>
      <c r="E552" s="214"/>
      <c r="F552" s="214"/>
      <c r="G552" s="214"/>
      <c r="H552" s="214"/>
      <c r="I552" s="295"/>
      <c r="J552" s="214"/>
    </row>
    <row r="553" spans="1:10" ht="23.5">
      <c r="B553" s="202" t="s">
        <v>27</v>
      </c>
      <c r="C553" s="202" t="str">
        <f ca="1">IFERROR(OFFSET('4.1(2)新規再エネ導入予定（設備情報）'!$X$1,MATCH(COUNTIF($B$1:B553,"発電方式"),'4.1(2)新規再エネ導入予定（設備情報）'!$AK:$AK,0)-1,0),"")</f>
        <v/>
      </c>
      <c r="D553" s="203"/>
    </row>
    <row r="554" spans="1:10" ht="39.75" customHeight="1">
      <c r="B554" s="204" t="s">
        <v>8</v>
      </c>
      <c r="C554" s="204" t="s">
        <v>182</v>
      </c>
      <c r="D554" s="205" t="s">
        <v>181</v>
      </c>
      <c r="E554" s="204" t="s">
        <v>9</v>
      </c>
      <c r="F554" s="206" t="s">
        <v>10</v>
      </c>
      <c r="G554" s="205" t="s">
        <v>31</v>
      </c>
      <c r="H554" s="204" t="s">
        <v>13</v>
      </c>
      <c r="I554" s="206" t="s">
        <v>81</v>
      </c>
    </row>
    <row r="555" spans="1:10" ht="36" customHeight="1">
      <c r="B555" s="535" t="str">
        <f ca="1">IFERROR(OFFSET('4.1(2)新規再エネ導入予定（設備情報）'!$F$1,MATCH($C555,'4.1(2)新規再エネ導入予定（設備情報）'!$G:$G,0)-1,0),"")</f>
        <v/>
      </c>
      <c r="C555" s="536" t="str">
        <f ca="1">IFERROR(OFFSET('4.1(2)新規再エネ導入予定（設備情報）'!$G$7,MATCH(COUNTIF($B$1:B553,"発電方式"),'4.1(2)新規再エネ導入予定（設備情報）'!$AK$8:$AK$1000,0),0),"")</f>
        <v/>
      </c>
      <c r="D555" s="535" t="str">
        <f ca="1">IFERROR(OFFSET('4.1(2)新規再エネ導入予定（設備情報）'!$H$1,MATCH($C555,'4.1(2)新規再エネ導入予定（設備情報）'!$G:$G,0)-1,0),"")</f>
        <v/>
      </c>
      <c r="E555" s="537" t="str">
        <f ca="1">IFERROR(OFFSET('4.1(2)新規再エネ導入予定（設備情報）'!$I$1,MATCH($C555,'4.1(2)新規再エネ導入予定（設備情報）'!$G:$G,0)-1,0),"")</f>
        <v/>
      </c>
      <c r="F555" s="537" t="str">
        <f ca="1">IFERROR(OFFSET('4.1(2)新規再エネ導入予定（設備情報）'!$J$1,MATCH($C555,'4.1(2)新規再エネ導入予定（設備情報）'!$G:$G,0)-1,0),"")</f>
        <v/>
      </c>
      <c r="G555" s="536" t="str">
        <f ca="1">IFERROR(OFFSET('4.1(2)新規再エネ導入予定（設備情報）'!$L$1,MATCH($C555,'4.1(2)新規再エネ導入予定（設備情報）'!$G:$G,0)-1,0),"")</f>
        <v/>
      </c>
      <c r="H555" s="536" t="str">
        <f ca="1">IFERROR(OFFSET('4.1(2)新規再エネ導入予定（設備情報）'!$M$1,MATCH($C555,'4.1(2)新規再エネ導入予定（設備情報）'!$G:$G,0)-1,0),"")</f>
        <v/>
      </c>
      <c r="I555" s="538" t="str">
        <f ca="1">IFERROR(OFFSET('4.1(2)新規再エネ導入予定（設備情報）'!$P$1,MATCH($C555,'4.1(2)新規再エネ導入予定（設備情報）'!$G:$G,0)-1,0),"")</f>
        <v/>
      </c>
    </row>
    <row r="556" spans="1:10" ht="16.5" customHeight="1">
      <c r="B556" s="1000" t="s">
        <v>178</v>
      </c>
      <c r="C556" s="1002" t="s">
        <v>14</v>
      </c>
      <c r="D556" s="1004" t="s">
        <v>217</v>
      </c>
      <c r="E556" s="1006" t="s">
        <v>216</v>
      </c>
      <c r="F556" s="1007"/>
      <c r="G556" s="1008"/>
      <c r="H556" s="1006" t="s">
        <v>108</v>
      </c>
      <c r="I556" s="1008"/>
    </row>
    <row r="557" spans="1:10" ht="42.75" customHeight="1">
      <c r="B557" s="1001"/>
      <c r="C557" s="1003"/>
      <c r="D557" s="1005"/>
      <c r="E557" s="207" t="s">
        <v>289</v>
      </c>
      <c r="F557" s="208" t="s">
        <v>109</v>
      </c>
      <c r="G557" s="208" t="s">
        <v>110</v>
      </c>
      <c r="H557" s="208" t="s">
        <v>276</v>
      </c>
      <c r="I557" s="207" t="s">
        <v>243</v>
      </c>
    </row>
    <row r="558" spans="1:10" ht="46.5" customHeight="1">
      <c r="B558" s="536" t="str">
        <f ca="1">IFERROR(OFFSET('4.1(2)新規再エネ導入予定（設備情報）'!$O$1,MATCH($C555,'4.1(2)新規再エネ導入予定（設備情報）'!$G:$G,0)-1,0),"")</f>
        <v/>
      </c>
      <c r="C558" s="536" t="str">
        <f ca="1">IFERROR(OFFSET('4.1(2)新規再エネ導入予定（設備情報）'!$R$1,MATCH($C555,'4.1(2)新規再エネ導入予定（設備情報）'!$G:$G,0)-1,0),"")</f>
        <v/>
      </c>
      <c r="D558" s="536" t="str">
        <f ca="1">IFERROR(OFFSET('4.1(2)新規再エネ導入予定（設備情報）'!$S$1,MATCH($C555,'4.1(2)新規再エネ導入予定（設備情報）'!$G:$G,0)-1,0),"")</f>
        <v/>
      </c>
      <c r="E558" s="536" t="str">
        <f ca="1">IF($C555="","",IFERROR(OFFSET('4.1(2)新規再エネ導入予定(FS調査、系統接続検討状況)'!$L$1,MATCH($C555,'4.1(2)新規再エネ導入予定(FS調査、系統接続検討状況)'!$G:$G,0)-1,0),""))</f>
        <v/>
      </c>
      <c r="F558" s="536" t="str">
        <f ca="1">IF($C555="","",IFERROR(OFFSET('4.1(2)新規再エネ導入予定(FS調査、系統接続検討状況)'!$M$1,MATCH($C555,'4.1(2)新規再エネ導入予定(FS調査、系統接続検討状況)'!$G:$G,0)-1,0),""))</f>
        <v/>
      </c>
      <c r="G558" s="536" t="str">
        <f ca="1">IF($C555="","",IFERROR(OFFSET('4.1(2)新規再エネ導入予定(FS調査、系統接続検討状況)'!$N$1,MATCH($C555,'4.1(2)新規再エネ導入予定(FS調査、系統接続検討状況)'!$G:$G,0)-1,0),""))</f>
        <v/>
      </c>
      <c r="H558" s="536" t="str" cm="1">
        <f t="array" aca="1" ref="H558" ca="1">IFERROR(_xlfn.IFS(OR(I558="検討不要",I558="検討未実施",I558="(低圧)申込完了",I558="(低圧)申込準備開始",I558="(低圧)申込準備完了"),"－",COUNTIF(OFFSET('4.1(2)新規再エネ導入予定(FS調査、系統接続検討状況)'!$O$1,MATCH($C555,'4.1(2)新規再エネ導入予定(FS調査、系統接続検討状況)'!$G:$G,0)-1,0),"*単独*")=1,"単独",COUNTIF(OFFSET('4.1(2)新規再エネ導入予定(FS調査、系統接続検討状況)'!$O$1,MATCH($C555,'4.1(2)新規再エネ導入予定(FS調査、系統接続検討状況)'!$G:$G,0)-1,0),"*一括*")=1,"一括検討"),"")</f>
        <v/>
      </c>
      <c r="I558" s="539" t="str">
        <f ca="1">IFERROR(SUBSTITUTE(SUBSTITUTE(OFFSET('4.1(2)新規再エネ導入予定(FS調査、系統接続検討状況)'!$O$1,MATCH($C555,'4.1(2)新規再エネ導入予定(FS調査、系統接続検討状況)'!$G:$G,0)-1,0),"(一括)",""),"(単独)",""),"")</f>
        <v/>
      </c>
    </row>
    <row r="560" spans="1:10" ht="19">
      <c r="B560" s="200" t="s">
        <v>215</v>
      </c>
    </row>
    <row r="561" spans="2:9" ht="21">
      <c r="B561" s="209" t="str">
        <f ca="1">IFERROR(_xlfn.TEXTJOIN(" ",1,C553,B555,C555),"")</f>
        <v/>
      </c>
      <c r="C561" s="210"/>
      <c r="D561" s="210"/>
    </row>
    <row r="562" spans="2:9" ht="28.5" customHeight="1">
      <c r="B562" s="211" t="s">
        <v>214</v>
      </c>
      <c r="C562" s="211"/>
      <c r="D562" s="211" t="s">
        <v>213</v>
      </c>
      <c r="E562" s="211"/>
      <c r="F562" s="211" t="s">
        <v>227</v>
      </c>
      <c r="G562" s="211"/>
      <c r="H562" s="211"/>
      <c r="I562" s="294"/>
    </row>
    <row r="563" spans="2:9" ht="114.65" customHeight="1">
      <c r="B563" s="997" t="s">
        <v>212</v>
      </c>
      <c r="C563" s="212" t="s">
        <v>211</v>
      </c>
      <c r="D563" s="995" t="s">
        <v>210</v>
      </c>
      <c r="E563" s="996"/>
      <c r="F563" s="992"/>
      <c r="G563" s="993"/>
      <c r="H563" s="993"/>
      <c r="I563" s="994"/>
    </row>
    <row r="564" spans="2:9" ht="114.65" customHeight="1">
      <c r="B564" s="997"/>
      <c r="C564" s="213" t="s">
        <v>209</v>
      </c>
      <c r="D564" s="995" t="s">
        <v>208</v>
      </c>
      <c r="E564" s="996"/>
      <c r="F564" s="992"/>
      <c r="G564" s="993"/>
      <c r="H564" s="993"/>
      <c r="I564" s="994"/>
    </row>
    <row r="565" spans="2:9" ht="114.65" customHeight="1">
      <c r="B565" s="998">
        <v>2</v>
      </c>
      <c r="C565" s="998"/>
      <c r="D565" s="995" t="s">
        <v>207</v>
      </c>
      <c r="E565" s="996"/>
      <c r="F565" s="992"/>
      <c r="G565" s="993"/>
      <c r="H565" s="993"/>
      <c r="I565" s="994"/>
    </row>
    <row r="566" spans="2:9" ht="114.65" customHeight="1">
      <c r="B566" s="999">
        <v>3</v>
      </c>
      <c r="C566" s="213" t="s">
        <v>206</v>
      </c>
      <c r="D566" s="995" t="s">
        <v>205</v>
      </c>
      <c r="E566" s="996"/>
      <c r="F566" s="992"/>
      <c r="G566" s="993"/>
      <c r="H566" s="993"/>
      <c r="I566" s="994"/>
    </row>
    <row r="567" spans="2:9" ht="114.65" customHeight="1">
      <c r="B567" s="999"/>
      <c r="C567" s="213" t="s">
        <v>204</v>
      </c>
      <c r="D567" s="995" t="s">
        <v>203</v>
      </c>
      <c r="E567" s="996"/>
      <c r="F567" s="992"/>
      <c r="G567" s="993"/>
      <c r="H567" s="993"/>
      <c r="I567" s="994"/>
    </row>
    <row r="568" spans="2:9" ht="115" customHeight="1">
      <c r="B568" s="998">
        <v>4</v>
      </c>
      <c r="C568" s="998"/>
      <c r="D568" s="995" t="s">
        <v>202</v>
      </c>
      <c r="E568" s="996"/>
      <c r="F568" s="992"/>
      <c r="G568" s="993"/>
      <c r="H568" s="993"/>
      <c r="I568" s="994"/>
    </row>
    <row r="569" spans="2:9" ht="132" customHeight="1">
      <c r="B569" s="998">
        <v>5</v>
      </c>
      <c r="C569" s="998"/>
      <c r="D569" s="995" t="s">
        <v>201</v>
      </c>
      <c r="E569" s="996"/>
      <c r="F569" s="992"/>
      <c r="G569" s="993"/>
      <c r="H569" s="993"/>
      <c r="I569" s="994"/>
    </row>
  </sheetData>
  <sheetProtection algorithmName="SHA-512" hashValue="bjE7gQwmY6A3agW7uHvxDXwhntxJBgtwUxqQoBa/riJRgqTsda4e8YVMKDYIFscYuNQwEvpQmd2+57MrQZdO2w==" saltValue="oApsXKxf1CXIIPbrj3+XaQ==" spinCount="100000" sheet="1" formatCells="0" insertRows="0" deleteRows="0"/>
  <mergeCells count="720">
    <mergeCell ref="B404:B405"/>
    <mergeCell ref="C404:C405"/>
    <mergeCell ref="D404:D405"/>
    <mergeCell ref="E404:G404"/>
    <mergeCell ref="H404:I404"/>
    <mergeCell ref="B411:B412"/>
    <mergeCell ref="D411:E411"/>
    <mergeCell ref="F411:I411"/>
    <mergeCell ref="D412:E412"/>
    <mergeCell ref="F412:I412"/>
    <mergeCell ref="B568:C568"/>
    <mergeCell ref="D568:E568"/>
    <mergeCell ref="F568:I568"/>
    <mergeCell ref="B569:C569"/>
    <mergeCell ref="D569:E569"/>
    <mergeCell ref="F569:I569"/>
    <mergeCell ref="D564:E564"/>
    <mergeCell ref="F564:I564"/>
    <mergeCell ref="D565:E565"/>
    <mergeCell ref="F565:I565"/>
    <mergeCell ref="D566:E566"/>
    <mergeCell ref="F566:I566"/>
    <mergeCell ref="D567:E567"/>
    <mergeCell ref="F567:I567"/>
    <mergeCell ref="B563:B564"/>
    <mergeCell ref="B565:C565"/>
    <mergeCell ref="B566:B567"/>
    <mergeCell ref="B549:C549"/>
    <mergeCell ref="D549:E549"/>
    <mergeCell ref="F549:I549"/>
    <mergeCell ref="D563:E563"/>
    <mergeCell ref="F563:I563"/>
    <mergeCell ref="B550:C550"/>
    <mergeCell ref="D550:E550"/>
    <mergeCell ref="F550:I550"/>
    <mergeCell ref="B556:B557"/>
    <mergeCell ref="C556:C557"/>
    <mergeCell ref="D556:D557"/>
    <mergeCell ref="E556:G556"/>
    <mergeCell ref="H556:I556"/>
    <mergeCell ref="D545:E545"/>
    <mergeCell ref="F545:I545"/>
    <mergeCell ref="D546:E546"/>
    <mergeCell ref="F546:I546"/>
    <mergeCell ref="D547:E547"/>
    <mergeCell ref="F547:I547"/>
    <mergeCell ref="D548:E548"/>
    <mergeCell ref="F548:I548"/>
    <mergeCell ref="B544:B545"/>
    <mergeCell ref="B546:C546"/>
    <mergeCell ref="B547:B548"/>
    <mergeCell ref="B530:C530"/>
    <mergeCell ref="D530:E530"/>
    <mergeCell ref="F530:I530"/>
    <mergeCell ref="D544:E544"/>
    <mergeCell ref="F544:I544"/>
    <mergeCell ref="B531:C531"/>
    <mergeCell ref="D531:E531"/>
    <mergeCell ref="F531:I531"/>
    <mergeCell ref="B537:B538"/>
    <mergeCell ref="C537:C538"/>
    <mergeCell ref="D537:D538"/>
    <mergeCell ref="E537:G537"/>
    <mergeCell ref="H537:I537"/>
    <mergeCell ref="D526:E526"/>
    <mergeCell ref="F526:I526"/>
    <mergeCell ref="D527:E527"/>
    <mergeCell ref="F527:I527"/>
    <mergeCell ref="D528:E528"/>
    <mergeCell ref="F528:I528"/>
    <mergeCell ref="D529:E529"/>
    <mergeCell ref="F529:I529"/>
    <mergeCell ref="B525:B526"/>
    <mergeCell ref="B527:C527"/>
    <mergeCell ref="B528:B529"/>
    <mergeCell ref="B511:C511"/>
    <mergeCell ref="D511:E511"/>
    <mergeCell ref="F511:I511"/>
    <mergeCell ref="D525:E525"/>
    <mergeCell ref="F525:I525"/>
    <mergeCell ref="B512:C512"/>
    <mergeCell ref="D512:E512"/>
    <mergeCell ref="F512:I512"/>
    <mergeCell ref="B518:B519"/>
    <mergeCell ref="C518:C519"/>
    <mergeCell ref="D518:D519"/>
    <mergeCell ref="E518:G518"/>
    <mergeCell ref="H518:I518"/>
    <mergeCell ref="D507:E507"/>
    <mergeCell ref="F507:I507"/>
    <mergeCell ref="D508:E508"/>
    <mergeCell ref="F508:I508"/>
    <mergeCell ref="D509:E509"/>
    <mergeCell ref="F509:I509"/>
    <mergeCell ref="D510:E510"/>
    <mergeCell ref="F510:I510"/>
    <mergeCell ref="B506:B507"/>
    <mergeCell ref="B508:C508"/>
    <mergeCell ref="B509:B510"/>
    <mergeCell ref="B492:C492"/>
    <mergeCell ref="D492:E492"/>
    <mergeCell ref="F492:I492"/>
    <mergeCell ref="D506:E506"/>
    <mergeCell ref="F506:I506"/>
    <mergeCell ref="B493:C493"/>
    <mergeCell ref="D493:E493"/>
    <mergeCell ref="F493:I493"/>
    <mergeCell ref="B499:B500"/>
    <mergeCell ref="C499:C500"/>
    <mergeCell ref="D499:D500"/>
    <mergeCell ref="E499:G499"/>
    <mergeCell ref="H499:I499"/>
    <mergeCell ref="D488:E488"/>
    <mergeCell ref="F488:I488"/>
    <mergeCell ref="D489:E489"/>
    <mergeCell ref="F489:I489"/>
    <mergeCell ref="D490:E490"/>
    <mergeCell ref="F490:I490"/>
    <mergeCell ref="D491:E491"/>
    <mergeCell ref="F491:I491"/>
    <mergeCell ref="B487:B488"/>
    <mergeCell ref="B489:C489"/>
    <mergeCell ref="B490:B491"/>
    <mergeCell ref="B473:C473"/>
    <mergeCell ref="D473:E473"/>
    <mergeCell ref="F473:I473"/>
    <mergeCell ref="D487:E487"/>
    <mergeCell ref="F487:I487"/>
    <mergeCell ref="B474:C474"/>
    <mergeCell ref="D474:E474"/>
    <mergeCell ref="F474:I474"/>
    <mergeCell ref="B480:B481"/>
    <mergeCell ref="C480:C481"/>
    <mergeCell ref="D480:D481"/>
    <mergeCell ref="E480:G480"/>
    <mergeCell ref="H480:I480"/>
    <mergeCell ref="D469:E469"/>
    <mergeCell ref="F469:I469"/>
    <mergeCell ref="D470:E470"/>
    <mergeCell ref="F470:I470"/>
    <mergeCell ref="D471:E471"/>
    <mergeCell ref="F471:I471"/>
    <mergeCell ref="D472:E472"/>
    <mergeCell ref="F472:I472"/>
    <mergeCell ref="B468:B469"/>
    <mergeCell ref="B470:C470"/>
    <mergeCell ref="B471:B472"/>
    <mergeCell ref="D468:E468"/>
    <mergeCell ref="F468:I468"/>
    <mergeCell ref="B461:B462"/>
    <mergeCell ref="C461:C462"/>
    <mergeCell ref="D461:D462"/>
    <mergeCell ref="E461:G461"/>
    <mergeCell ref="H461:I461"/>
    <mergeCell ref="D450:E450"/>
    <mergeCell ref="F450:I450"/>
    <mergeCell ref="D451:E451"/>
    <mergeCell ref="F451:I451"/>
    <mergeCell ref="D452:E452"/>
    <mergeCell ref="F452:I452"/>
    <mergeCell ref="D453:E453"/>
    <mergeCell ref="F453:I453"/>
    <mergeCell ref="B449:B450"/>
    <mergeCell ref="B451:C451"/>
    <mergeCell ref="B452:B453"/>
    <mergeCell ref="B455:C455"/>
    <mergeCell ref="D455:E455"/>
    <mergeCell ref="F455:I455"/>
    <mergeCell ref="B454:C454"/>
    <mergeCell ref="D454:E454"/>
    <mergeCell ref="F454:I454"/>
    <mergeCell ref="B436:C436"/>
    <mergeCell ref="D436:E436"/>
    <mergeCell ref="F436:I436"/>
    <mergeCell ref="D449:E449"/>
    <mergeCell ref="F449:I449"/>
    <mergeCell ref="B432:C432"/>
    <mergeCell ref="D432:E432"/>
    <mergeCell ref="F432:I432"/>
    <mergeCell ref="B433:B434"/>
    <mergeCell ref="D433:E433"/>
    <mergeCell ref="F433:I433"/>
    <mergeCell ref="D434:E434"/>
    <mergeCell ref="F434:I434"/>
    <mergeCell ref="B435:C435"/>
    <mergeCell ref="D435:E435"/>
    <mergeCell ref="F435:I435"/>
    <mergeCell ref="B442:B443"/>
    <mergeCell ref="C442:C443"/>
    <mergeCell ref="D442:D443"/>
    <mergeCell ref="E442:G442"/>
    <mergeCell ref="H442:I442"/>
    <mergeCell ref="B417:C417"/>
    <mergeCell ref="D417:E417"/>
    <mergeCell ref="F417:I417"/>
    <mergeCell ref="B423:B424"/>
    <mergeCell ref="C423:C424"/>
    <mergeCell ref="D423:D424"/>
    <mergeCell ref="E423:G423"/>
    <mergeCell ref="H423:I423"/>
    <mergeCell ref="B430:B431"/>
    <mergeCell ref="D430:E430"/>
    <mergeCell ref="F430:I430"/>
    <mergeCell ref="D431:E431"/>
    <mergeCell ref="F431:I431"/>
    <mergeCell ref="B413:C413"/>
    <mergeCell ref="D413:E413"/>
    <mergeCell ref="F413:I413"/>
    <mergeCell ref="B414:B415"/>
    <mergeCell ref="D414:E414"/>
    <mergeCell ref="F414:I414"/>
    <mergeCell ref="D415:E415"/>
    <mergeCell ref="F415:I415"/>
    <mergeCell ref="B416:C416"/>
    <mergeCell ref="D416:E416"/>
    <mergeCell ref="F416:I416"/>
    <mergeCell ref="B398:C398"/>
    <mergeCell ref="D398:E398"/>
    <mergeCell ref="F398:I398"/>
    <mergeCell ref="B394:C394"/>
    <mergeCell ref="D394:E394"/>
    <mergeCell ref="F394:I394"/>
    <mergeCell ref="B395:B396"/>
    <mergeCell ref="D395:E395"/>
    <mergeCell ref="F395:I395"/>
    <mergeCell ref="D396:E396"/>
    <mergeCell ref="F396:I396"/>
    <mergeCell ref="B397:C397"/>
    <mergeCell ref="D397:E397"/>
    <mergeCell ref="F397:I397"/>
    <mergeCell ref="B379:C379"/>
    <mergeCell ref="D379:E379"/>
    <mergeCell ref="F379:I379"/>
    <mergeCell ref="B385:B386"/>
    <mergeCell ref="C385:C386"/>
    <mergeCell ref="D385:D386"/>
    <mergeCell ref="E385:G385"/>
    <mergeCell ref="H385:I385"/>
    <mergeCell ref="B392:B393"/>
    <mergeCell ref="D392:E392"/>
    <mergeCell ref="F392:I392"/>
    <mergeCell ref="D393:E393"/>
    <mergeCell ref="F393:I393"/>
    <mergeCell ref="B375:C375"/>
    <mergeCell ref="D375:E375"/>
    <mergeCell ref="F375:I375"/>
    <mergeCell ref="B376:B377"/>
    <mergeCell ref="D376:E376"/>
    <mergeCell ref="F376:I376"/>
    <mergeCell ref="D377:E377"/>
    <mergeCell ref="F377:I377"/>
    <mergeCell ref="B378:C378"/>
    <mergeCell ref="D378:E378"/>
    <mergeCell ref="F378:I378"/>
    <mergeCell ref="B360:C360"/>
    <mergeCell ref="D360:E360"/>
    <mergeCell ref="F360:I360"/>
    <mergeCell ref="B366:B367"/>
    <mergeCell ref="C366:C367"/>
    <mergeCell ref="D366:D367"/>
    <mergeCell ref="E366:G366"/>
    <mergeCell ref="H366:I366"/>
    <mergeCell ref="B373:B374"/>
    <mergeCell ref="D373:E373"/>
    <mergeCell ref="F373:I373"/>
    <mergeCell ref="D374:E374"/>
    <mergeCell ref="F374:I374"/>
    <mergeCell ref="B356:C356"/>
    <mergeCell ref="D356:E356"/>
    <mergeCell ref="F356:I356"/>
    <mergeCell ref="B357:B358"/>
    <mergeCell ref="D357:E357"/>
    <mergeCell ref="F357:I357"/>
    <mergeCell ref="D358:E358"/>
    <mergeCell ref="F358:I358"/>
    <mergeCell ref="B359:C359"/>
    <mergeCell ref="D359:E359"/>
    <mergeCell ref="F359:I359"/>
    <mergeCell ref="B341:C341"/>
    <mergeCell ref="D341:E341"/>
    <mergeCell ref="F341:I341"/>
    <mergeCell ref="B347:B348"/>
    <mergeCell ref="C347:C348"/>
    <mergeCell ref="D347:D348"/>
    <mergeCell ref="E347:G347"/>
    <mergeCell ref="H347:I347"/>
    <mergeCell ref="B354:B355"/>
    <mergeCell ref="D354:E354"/>
    <mergeCell ref="F354:I354"/>
    <mergeCell ref="D355:E355"/>
    <mergeCell ref="F355:I355"/>
    <mergeCell ref="B337:C337"/>
    <mergeCell ref="D337:E337"/>
    <mergeCell ref="F337:I337"/>
    <mergeCell ref="B338:B339"/>
    <mergeCell ref="D338:E338"/>
    <mergeCell ref="F338:I338"/>
    <mergeCell ref="D339:E339"/>
    <mergeCell ref="F339:I339"/>
    <mergeCell ref="B340:C340"/>
    <mergeCell ref="D340:E340"/>
    <mergeCell ref="F340:I340"/>
    <mergeCell ref="B322:C322"/>
    <mergeCell ref="D322:E322"/>
    <mergeCell ref="F322:I322"/>
    <mergeCell ref="B328:B329"/>
    <mergeCell ref="C328:C329"/>
    <mergeCell ref="D328:D329"/>
    <mergeCell ref="E328:G328"/>
    <mergeCell ref="H328:I328"/>
    <mergeCell ref="B335:B336"/>
    <mergeCell ref="D335:E335"/>
    <mergeCell ref="F335:I335"/>
    <mergeCell ref="D336:E336"/>
    <mergeCell ref="F336:I336"/>
    <mergeCell ref="B318:C318"/>
    <mergeCell ref="D318:E318"/>
    <mergeCell ref="F318:I318"/>
    <mergeCell ref="B319:B320"/>
    <mergeCell ref="D319:E319"/>
    <mergeCell ref="F319:I319"/>
    <mergeCell ref="D320:E320"/>
    <mergeCell ref="F320:I320"/>
    <mergeCell ref="B321:C321"/>
    <mergeCell ref="D321:E321"/>
    <mergeCell ref="F321:I321"/>
    <mergeCell ref="B303:C303"/>
    <mergeCell ref="D303:E303"/>
    <mergeCell ref="F303:I303"/>
    <mergeCell ref="B309:B310"/>
    <mergeCell ref="C309:C310"/>
    <mergeCell ref="D309:D310"/>
    <mergeCell ref="E309:G309"/>
    <mergeCell ref="H309:I309"/>
    <mergeCell ref="B316:B317"/>
    <mergeCell ref="D316:E316"/>
    <mergeCell ref="F316:I316"/>
    <mergeCell ref="D317:E317"/>
    <mergeCell ref="F317:I317"/>
    <mergeCell ref="B299:C299"/>
    <mergeCell ref="D299:E299"/>
    <mergeCell ref="F299:I299"/>
    <mergeCell ref="B300:B301"/>
    <mergeCell ref="D300:E300"/>
    <mergeCell ref="F300:I300"/>
    <mergeCell ref="D301:E301"/>
    <mergeCell ref="F301:I301"/>
    <mergeCell ref="B302:C302"/>
    <mergeCell ref="D302:E302"/>
    <mergeCell ref="F302:I302"/>
    <mergeCell ref="B284:C284"/>
    <mergeCell ref="D284:E284"/>
    <mergeCell ref="F284:I284"/>
    <mergeCell ref="B290:B291"/>
    <mergeCell ref="C290:C291"/>
    <mergeCell ref="D290:D291"/>
    <mergeCell ref="E290:G290"/>
    <mergeCell ref="H290:I290"/>
    <mergeCell ref="B297:B298"/>
    <mergeCell ref="D297:E297"/>
    <mergeCell ref="F297:I297"/>
    <mergeCell ref="D298:E298"/>
    <mergeCell ref="F298:I298"/>
    <mergeCell ref="B280:C280"/>
    <mergeCell ref="D280:E280"/>
    <mergeCell ref="F280:I280"/>
    <mergeCell ref="B281:B282"/>
    <mergeCell ref="D281:E281"/>
    <mergeCell ref="F281:I281"/>
    <mergeCell ref="D282:E282"/>
    <mergeCell ref="F282:I282"/>
    <mergeCell ref="B283:C283"/>
    <mergeCell ref="D283:E283"/>
    <mergeCell ref="F283:I283"/>
    <mergeCell ref="B265:C265"/>
    <mergeCell ref="D265:E265"/>
    <mergeCell ref="F265:I265"/>
    <mergeCell ref="B271:B272"/>
    <mergeCell ref="C271:C272"/>
    <mergeCell ref="D271:D272"/>
    <mergeCell ref="E271:G271"/>
    <mergeCell ref="H271:I271"/>
    <mergeCell ref="B278:B279"/>
    <mergeCell ref="D278:E278"/>
    <mergeCell ref="F278:I278"/>
    <mergeCell ref="D279:E279"/>
    <mergeCell ref="F279:I279"/>
    <mergeCell ref="B261:C261"/>
    <mergeCell ref="D261:E261"/>
    <mergeCell ref="F261:I261"/>
    <mergeCell ref="B262:B263"/>
    <mergeCell ref="D262:E262"/>
    <mergeCell ref="F262:I262"/>
    <mergeCell ref="D263:E263"/>
    <mergeCell ref="F263:I263"/>
    <mergeCell ref="B264:C264"/>
    <mergeCell ref="D264:E264"/>
    <mergeCell ref="F264:I264"/>
    <mergeCell ref="B246:C246"/>
    <mergeCell ref="D246:E246"/>
    <mergeCell ref="F246:I246"/>
    <mergeCell ref="B252:B253"/>
    <mergeCell ref="C252:C253"/>
    <mergeCell ref="D252:D253"/>
    <mergeCell ref="E252:G252"/>
    <mergeCell ref="H252:I252"/>
    <mergeCell ref="B259:B260"/>
    <mergeCell ref="D259:E259"/>
    <mergeCell ref="F259:I259"/>
    <mergeCell ref="D260:E260"/>
    <mergeCell ref="F260:I260"/>
    <mergeCell ref="B242:C242"/>
    <mergeCell ref="D242:E242"/>
    <mergeCell ref="F242:I242"/>
    <mergeCell ref="B243:B244"/>
    <mergeCell ref="D243:E243"/>
    <mergeCell ref="F243:I243"/>
    <mergeCell ref="D244:E244"/>
    <mergeCell ref="F244:I244"/>
    <mergeCell ref="B245:C245"/>
    <mergeCell ref="D245:E245"/>
    <mergeCell ref="F245:I245"/>
    <mergeCell ref="B227:C227"/>
    <mergeCell ref="D227:E227"/>
    <mergeCell ref="F227:I227"/>
    <mergeCell ref="B233:B234"/>
    <mergeCell ref="C233:C234"/>
    <mergeCell ref="D233:D234"/>
    <mergeCell ref="E233:G233"/>
    <mergeCell ref="H233:I233"/>
    <mergeCell ref="B240:B241"/>
    <mergeCell ref="D240:E240"/>
    <mergeCell ref="F240:I240"/>
    <mergeCell ref="D241:E241"/>
    <mergeCell ref="F241:I241"/>
    <mergeCell ref="B223:C223"/>
    <mergeCell ref="D223:E223"/>
    <mergeCell ref="F223:I223"/>
    <mergeCell ref="B224:B225"/>
    <mergeCell ref="D224:E224"/>
    <mergeCell ref="F224:I224"/>
    <mergeCell ref="D225:E225"/>
    <mergeCell ref="F225:I225"/>
    <mergeCell ref="B226:C226"/>
    <mergeCell ref="D226:E226"/>
    <mergeCell ref="F226:I226"/>
    <mergeCell ref="B208:C208"/>
    <mergeCell ref="D208:E208"/>
    <mergeCell ref="F208:I208"/>
    <mergeCell ref="B214:B215"/>
    <mergeCell ref="C214:C215"/>
    <mergeCell ref="D214:D215"/>
    <mergeCell ref="E214:G214"/>
    <mergeCell ref="H214:I214"/>
    <mergeCell ref="B221:B222"/>
    <mergeCell ref="D221:E221"/>
    <mergeCell ref="F221:I221"/>
    <mergeCell ref="D222:E222"/>
    <mergeCell ref="F222:I222"/>
    <mergeCell ref="B204:C204"/>
    <mergeCell ref="D204:E204"/>
    <mergeCell ref="F204:I204"/>
    <mergeCell ref="B205:B206"/>
    <mergeCell ref="D205:E205"/>
    <mergeCell ref="F205:I205"/>
    <mergeCell ref="D206:E206"/>
    <mergeCell ref="F206:I206"/>
    <mergeCell ref="B207:C207"/>
    <mergeCell ref="D207:E207"/>
    <mergeCell ref="F207:I207"/>
    <mergeCell ref="B195:B196"/>
    <mergeCell ref="C195:C196"/>
    <mergeCell ref="D195:D196"/>
    <mergeCell ref="E195:G195"/>
    <mergeCell ref="H195:I195"/>
    <mergeCell ref="B202:B203"/>
    <mergeCell ref="D202:E202"/>
    <mergeCell ref="F202:I202"/>
    <mergeCell ref="D203:E203"/>
    <mergeCell ref="F203:I203"/>
    <mergeCell ref="D165:E165"/>
    <mergeCell ref="F165:I165"/>
    <mergeCell ref="B185:C185"/>
    <mergeCell ref="D185:E185"/>
    <mergeCell ref="F185:I185"/>
    <mergeCell ref="B170:C170"/>
    <mergeCell ref="D170:E170"/>
    <mergeCell ref="F170:I170"/>
    <mergeCell ref="B189:C189"/>
    <mergeCell ref="D189:E189"/>
    <mergeCell ref="F189:I189"/>
    <mergeCell ref="B169:C169"/>
    <mergeCell ref="D169:E169"/>
    <mergeCell ref="F169:I169"/>
    <mergeCell ref="B166:C166"/>
    <mergeCell ref="D166:E166"/>
    <mergeCell ref="F166:I166"/>
    <mergeCell ref="B167:B168"/>
    <mergeCell ref="D167:E167"/>
    <mergeCell ref="F167:I167"/>
    <mergeCell ref="D168:E168"/>
    <mergeCell ref="F168:I168"/>
    <mergeCell ref="B147:C147"/>
    <mergeCell ref="D147:E147"/>
    <mergeCell ref="B186:B187"/>
    <mergeCell ref="D186:E186"/>
    <mergeCell ref="F186:I186"/>
    <mergeCell ref="D187:E187"/>
    <mergeCell ref="F187:I187"/>
    <mergeCell ref="B188:C188"/>
    <mergeCell ref="D188:E188"/>
    <mergeCell ref="F188:I188"/>
    <mergeCell ref="B176:B177"/>
    <mergeCell ref="C176:C177"/>
    <mergeCell ref="D176:D177"/>
    <mergeCell ref="E176:G176"/>
    <mergeCell ref="H176:I176"/>
    <mergeCell ref="B183:B184"/>
    <mergeCell ref="D183:E183"/>
    <mergeCell ref="F183:I183"/>
    <mergeCell ref="D184:E184"/>
    <mergeCell ref="F184:I184"/>
    <mergeCell ref="H157:I157"/>
    <mergeCell ref="B164:B165"/>
    <mergeCell ref="D164:E164"/>
    <mergeCell ref="F164:I164"/>
    <mergeCell ref="B157:B158"/>
    <mergeCell ref="C157:C158"/>
    <mergeCell ref="D157:D158"/>
    <mergeCell ref="E157:G157"/>
    <mergeCell ref="F109:I109"/>
    <mergeCell ref="D89:E89"/>
    <mergeCell ref="B113:C113"/>
    <mergeCell ref="B100:B101"/>
    <mergeCell ref="C100:C101"/>
    <mergeCell ref="D100:D101"/>
    <mergeCell ref="E100:G100"/>
    <mergeCell ref="H100:I100"/>
    <mergeCell ref="B150:C150"/>
    <mergeCell ref="D150:E150"/>
    <mergeCell ref="F150:I150"/>
    <mergeCell ref="B151:C151"/>
    <mergeCell ref="D151:E151"/>
    <mergeCell ref="F151:I151"/>
    <mergeCell ref="B128:C128"/>
    <mergeCell ref="D128:E128"/>
    <mergeCell ref="F128:I128"/>
    <mergeCell ref="B129:B130"/>
    <mergeCell ref="D129:E129"/>
    <mergeCell ref="F132:I132"/>
    <mergeCell ref="F129:I129"/>
    <mergeCell ref="D130:E130"/>
    <mergeCell ref="F130:I130"/>
    <mergeCell ref="B148:B149"/>
    <mergeCell ref="D148:E148"/>
    <mergeCell ref="F148:I148"/>
    <mergeCell ref="D149:E149"/>
    <mergeCell ref="F149:I149"/>
    <mergeCell ref="B131:C131"/>
    <mergeCell ref="D131:E131"/>
    <mergeCell ref="F131:I131"/>
    <mergeCell ref="B132:C132"/>
    <mergeCell ref="D132:E132"/>
    <mergeCell ref="F147:I147"/>
    <mergeCell ref="H138:I138"/>
    <mergeCell ref="E138:G138"/>
    <mergeCell ref="D138:D139"/>
    <mergeCell ref="C138:C139"/>
    <mergeCell ref="B138:B139"/>
    <mergeCell ref="B145:B146"/>
    <mergeCell ref="D145:E145"/>
    <mergeCell ref="F145:I145"/>
    <mergeCell ref="D146:E146"/>
    <mergeCell ref="F146:I146"/>
    <mergeCell ref="B119:B120"/>
    <mergeCell ref="C119:C120"/>
    <mergeCell ref="D119:D120"/>
    <mergeCell ref="E119:G119"/>
    <mergeCell ref="B75:C75"/>
    <mergeCell ref="B81:B82"/>
    <mergeCell ref="C81:C82"/>
    <mergeCell ref="D81:D82"/>
    <mergeCell ref="E81:G81"/>
    <mergeCell ref="D75:E75"/>
    <mergeCell ref="F75:I75"/>
    <mergeCell ref="H119:I119"/>
    <mergeCell ref="F113:I113"/>
    <mergeCell ref="B110:B111"/>
    <mergeCell ref="B112:C112"/>
    <mergeCell ref="B107:B108"/>
    <mergeCell ref="B109:C109"/>
    <mergeCell ref="B126:B127"/>
    <mergeCell ref="D126:E126"/>
    <mergeCell ref="F126:I126"/>
    <mergeCell ref="D127:E127"/>
    <mergeCell ref="F127:I127"/>
    <mergeCell ref="F89:I89"/>
    <mergeCell ref="D90:E90"/>
    <mergeCell ref="F90:I90"/>
    <mergeCell ref="D110:E110"/>
    <mergeCell ref="F110:I110"/>
    <mergeCell ref="D111:E111"/>
    <mergeCell ref="F111:I111"/>
    <mergeCell ref="D112:E112"/>
    <mergeCell ref="F112:I112"/>
    <mergeCell ref="D107:E107"/>
    <mergeCell ref="F107:I107"/>
    <mergeCell ref="D108:E108"/>
    <mergeCell ref="F108:I108"/>
    <mergeCell ref="D109:E109"/>
    <mergeCell ref="B93:C93"/>
    <mergeCell ref="B94:C94"/>
    <mergeCell ref="D94:E94"/>
    <mergeCell ref="F94:I94"/>
    <mergeCell ref="D113:E113"/>
    <mergeCell ref="B36:C36"/>
    <mergeCell ref="B37:C37"/>
    <mergeCell ref="H81:I81"/>
    <mergeCell ref="B88:B89"/>
    <mergeCell ref="B90:C90"/>
    <mergeCell ref="B91:B92"/>
    <mergeCell ref="D91:E91"/>
    <mergeCell ref="F91:I91"/>
    <mergeCell ref="D92:E92"/>
    <mergeCell ref="F92:I92"/>
    <mergeCell ref="D88:E88"/>
    <mergeCell ref="F88:I88"/>
    <mergeCell ref="B56:C56"/>
    <mergeCell ref="B52:C52"/>
    <mergeCell ref="B53:B54"/>
    <mergeCell ref="B62:B63"/>
    <mergeCell ref="C62:C63"/>
    <mergeCell ref="D62:D63"/>
    <mergeCell ref="E62:G62"/>
    <mergeCell ref="D51:E51"/>
    <mergeCell ref="D69:E69"/>
    <mergeCell ref="F69:I69"/>
    <mergeCell ref="D74:E74"/>
    <mergeCell ref="F74:I74"/>
    <mergeCell ref="D17:E17"/>
    <mergeCell ref="D18:E18"/>
    <mergeCell ref="F15:I15"/>
    <mergeCell ref="F16:I16"/>
    <mergeCell ref="F17:I17"/>
    <mergeCell ref="F18:I18"/>
    <mergeCell ref="B24:B25"/>
    <mergeCell ref="C24:C25"/>
    <mergeCell ref="D24:D25"/>
    <mergeCell ref="E24:G24"/>
    <mergeCell ref="H24:I24"/>
    <mergeCell ref="D36:E36"/>
    <mergeCell ref="D50:E50"/>
    <mergeCell ref="F50:I50"/>
    <mergeCell ref="B12:B13"/>
    <mergeCell ref="H5:I5"/>
    <mergeCell ref="C5:C6"/>
    <mergeCell ref="D5:D6"/>
    <mergeCell ref="E5:G5"/>
    <mergeCell ref="B5:B6"/>
    <mergeCell ref="B14:C14"/>
    <mergeCell ref="D12:E12"/>
    <mergeCell ref="D13:E13"/>
    <mergeCell ref="D14:E14"/>
    <mergeCell ref="F12:I12"/>
    <mergeCell ref="F13:I13"/>
    <mergeCell ref="F14:I14"/>
    <mergeCell ref="F36:I36"/>
    <mergeCell ref="D37:E37"/>
    <mergeCell ref="F37:I37"/>
    <mergeCell ref="B18:C18"/>
    <mergeCell ref="B15:B16"/>
    <mergeCell ref="B17:C17"/>
    <mergeCell ref="D15:E15"/>
    <mergeCell ref="D16:E16"/>
    <mergeCell ref="B31:B32"/>
    <mergeCell ref="B33:C33"/>
    <mergeCell ref="B34:B35"/>
    <mergeCell ref="D31:E31"/>
    <mergeCell ref="F31:I31"/>
    <mergeCell ref="D32:E32"/>
    <mergeCell ref="F32:I32"/>
    <mergeCell ref="D33:E33"/>
    <mergeCell ref="F33:I33"/>
    <mergeCell ref="D34:E34"/>
    <mergeCell ref="F34:I34"/>
    <mergeCell ref="D35:E35"/>
    <mergeCell ref="F35:I35"/>
    <mergeCell ref="B69:B70"/>
    <mergeCell ref="B71:C71"/>
    <mergeCell ref="B72:B73"/>
    <mergeCell ref="B74:C74"/>
    <mergeCell ref="D70:E70"/>
    <mergeCell ref="F70:I70"/>
    <mergeCell ref="B43:B44"/>
    <mergeCell ref="C43:C44"/>
    <mergeCell ref="D43:D44"/>
    <mergeCell ref="E43:G43"/>
    <mergeCell ref="H43:I43"/>
    <mergeCell ref="B50:B51"/>
    <mergeCell ref="B55:C55"/>
    <mergeCell ref="F51:I51"/>
    <mergeCell ref="D52:E52"/>
    <mergeCell ref="F52:I52"/>
    <mergeCell ref="H62:I62"/>
    <mergeCell ref="D53:E53"/>
    <mergeCell ref="F53:I53"/>
    <mergeCell ref="D54:E54"/>
    <mergeCell ref="F54:I54"/>
    <mergeCell ref="D55:E55"/>
    <mergeCell ref="F55:I55"/>
    <mergeCell ref="D56:E56"/>
    <mergeCell ref="F56:I56"/>
    <mergeCell ref="D93:E93"/>
    <mergeCell ref="F93:I93"/>
    <mergeCell ref="D71:E71"/>
    <mergeCell ref="F71:I71"/>
    <mergeCell ref="D72:E72"/>
    <mergeCell ref="F72:I72"/>
    <mergeCell ref="D73:E73"/>
    <mergeCell ref="F73:I73"/>
  </mergeCells>
  <phoneticPr fontId="1"/>
  <conditionalFormatting sqref="B4:I4 B7:I7">
    <cfRule type="notContainsBlanks" dxfId="1652" priority="109">
      <formula>LEN(TRIM(B4))&gt;0</formula>
    </cfRule>
  </conditionalFormatting>
  <conditionalFormatting sqref="B23:I23">
    <cfRule type="notContainsBlanks" dxfId="1651" priority="111">
      <formula>LEN(TRIM(B23))&gt;0</formula>
    </cfRule>
  </conditionalFormatting>
  <conditionalFormatting sqref="B26:I26">
    <cfRule type="notContainsBlanks" dxfId="1650" priority="57">
      <formula>LEN(TRIM(B26))&gt;0</formula>
    </cfRule>
  </conditionalFormatting>
  <conditionalFormatting sqref="B42:I42">
    <cfRule type="notContainsBlanks" dxfId="1649" priority="113">
      <formula>LEN(TRIM(B42))&gt;0</formula>
    </cfRule>
  </conditionalFormatting>
  <conditionalFormatting sqref="B45:I45">
    <cfRule type="notContainsBlanks" dxfId="1648" priority="55">
      <formula>LEN(TRIM(B45))&gt;0</formula>
    </cfRule>
  </conditionalFormatting>
  <conditionalFormatting sqref="B61:I61">
    <cfRule type="notContainsBlanks" dxfId="1647" priority="115">
      <formula>LEN(TRIM(B61))&gt;0</formula>
    </cfRule>
  </conditionalFormatting>
  <conditionalFormatting sqref="B64:I64">
    <cfRule type="notContainsBlanks" dxfId="1646" priority="53">
      <formula>LEN(TRIM(B64))&gt;0</formula>
    </cfRule>
  </conditionalFormatting>
  <conditionalFormatting sqref="B80:I80">
    <cfRule type="notContainsBlanks" dxfId="1645" priority="119">
      <formula>LEN(TRIM(B80))&gt;0</formula>
    </cfRule>
  </conditionalFormatting>
  <conditionalFormatting sqref="B83:I83">
    <cfRule type="notContainsBlanks" dxfId="1644" priority="51">
      <formula>LEN(TRIM(B83))&gt;0</formula>
    </cfRule>
  </conditionalFormatting>
  <conditionalFormatting sqref="B99:I99">
    <cfRule type="notContainsBlanks" dxfId="1643" priority="107">
      <formula>LEN(TRIM(B99))&gt;0</formula>
    </cfRule>
  </conditionalFormatting>
  <conditionalFormatting sqref="B102:I102">
    <cfRule type="notContainsBlanks" dxfId="1642" priority="49">
      <formula>LEN(TRIM(B102))&gt;0</formula>
    </cfRule>
  </conditionalFormatting>
  <conditionalFormatting sqref="B118:I118">
    <cfRule type="notContainsBlanks" dxfId="1641" priority="105">
      <formula>LEN(TRIM(B118))&gt;0</formula>
    </cfRule>
  </conditionalFormatting>
  <conditionalFormatting sqref="B121:I121">
    <cfRule type="notContainsBlanks" dxfId="1640" priority="47">
      <formula>LEN(TRIM(B121))&gt;0</formula>
    </cfRule>
  </conditionalFormatting>
  <conditionalFormatting sqref="B137:I137">
    <cfRule type="notContainsBlanks" dxfId="1639" priority="103">
      <formula>LEN(TRIM(B137))&gt;0</formula>
    </cfRule>
  </conditionalFormatting>
  <conditionalFormatting sqref="B140:I140">
    <cfRule type="notContainsBlanks" dxfId="1638" priority="45">
      <formula>LEN(TRIM(B140))&gt;0</formula>
    </cfRule>
  </conditionalFormatting>
  <conditionalFormatting sqref="B156:I156">
    <cfRule type="notContainsBlanks" dxfId="1637" priority="101">
      <formula>LEN(TRIM(B156))&gt;0</formula>
    </cfRule>
  </conditionalFormatting>
  <conditionalFormatting sqref="B159:I159">
    <cfRule type="notContainsBlanks" dxfId="1636" priority="43">
      <formula>LEN(TRIM(B159))&gt;0</formula>
    </cfRule>
  </conditionalFormatting>
  <conditionalFormatting sqref="B175:I175">
    <cfRule type="notContainsBlanks" dxfId="1635" priority="99">
      <formula>LEN(TRIM(B175))&gt;0</formula>
    </cfRule>
  </conditionalFormatting>
  <conditionalFormatting sqref="B178:I178">
    <cfRule type="notContainsBlanks" dxfId="1634" priority="41">
      <formula>LEN(TRIM(B178))&gt;0</formula>
    </cfRule>
  </conditionalFormatting>
  <conditionalFormatting sqref="B194:I194">
    <cfRule type="notContainsBlanks" dxfId="1633" priority="97">
      <formula>LEN(TRIM(B194))&gt;0</formula>
    </cfRule>
  </conditionalFormatting>
  <conditionalFormatting sqref="B197:I197">
    <cfRule type="notContainsBlanks" dxfId="1632" priority="39">
      <formula>LEN(TRIM(B197))&gt;0</formula>
    </cfRule>
  </conditionalFormatting>
  <conditionalFormatting sqref="B213:I213">
    <cfRule type="notContainsBlanks" dxfId="1631" priority="95">
      <formula>LEN(TRIM(B213))&gt;0</formula>
    </cfRule>
  </conditionalFormatting>
  <conditionalFormatting sqref="B216:I216">
    <cfRule type="notContainsBlanks" dxfId="1630" priority="37">
      <formula>LEN(TRIM(B216))&gt;0</formula>
    </cfRule>
  </conditionalFormatting>
  <conditionalFormatting sqref="B232:I232">
    <cfRule type="notContainsBlanks" dxfId="1629" priority="93">
      <formula>LEN(TRIM(B232))&gt;0</formula>
    </cfRule>
  </conditionalFormatting>
  <conditionalFormatting sqref="B235:I235">
    <cfRule type="notContainsBlanks" dxfId="1628" priority="35">
      <formula>LEN(TRIM(B235))&gt;0</formula>
    </cfRule>
  </conditionalFormatting>
  <conditionalFormatting sqref="B251:I251">
    <cfRule type="notContainsBlanks" dxfId="1627" priority="91">
      <formula>LEN(TRIM(B251))&gt;0</formula>
    </cfRule>
  </conditionalFormatting>
  <conditionalFormatting sqref="B254:I254">
    <cfRule type="notContainsBlanks" dxfId="1626" priority="33">
      <formula>LEN(TRIM(B254))&gt;0</formula>
    </cfRule>
  </conditionalFormatting>
  <conditionalFormatting sqref="B270:I270">
    <cfRule type="notContainsBlanks" dxfId="1625" priority="89">
      <formula>LEN(TRIM(B270))&gt;0</formula>
    </cfRule>
  </conditionalFormatting>
  <conditionalFormatting sqref="B273:I273">
    <cfRule type="notContainsBlanks" dxfId="1624" priority="31">
      <formula>LEN(TRIM(B273))&gt;0</formula>
    </cfRule>
  </conditionalFormatting>
  <conditionalFormatting sqref="B289:I289">
    <cfRule type="notContainsBlanks" dxfId="1623" priority="87">
      <formula>LEN(TRIM(B289))&gt;0</formula>
    </cfRule>
  </conditionalFormatting>
  <conditionalFormatting sqref="B292:I292">
    <cfRule type="notContainsBlanks" dxfId="1622" priority="29">
      <formula>LEN(TRIM(B292))&gt;0</formula>
    </cfRule>
  </conditionalFormatting>
  <conditionalFormatting sqref="B308:I308">
    <cfRule type="notContainsBlanks" dxfId="1621" priority="85">
      <formula>LEN(TRIM(B308))&gt;0</formula>
    </cfRule>
  </conditionalFormatting>
  <conditionalFormatting sqref="B311:I311">
    <cfRule type="notContainsBlanks" dxfId="1620" priority="27">
      <formula>LEN(TRIM(B311))&gt;0</formula>
    </cfRule>
  </conditionalFormatting>
  <conditionalFormatting sqref="B327:I327">
    <cfRule type="notContainsBlanks" dxfId="1619" priority="83">
      <formula>LEN(TRIM(B327))&gt;0</formula>
    </cfRule>
  </conditionalFormatting>
  <conditionalFormatting sqref="B330:I330">
    <cfRule type="notContainsBlanks" dxfId="1618" priority="25">
      <formula>LEN(TRIM(B330))&gt;0</formula>
    </cfRule>
  </conditionalFormatting>
  <conditionalFormatting sqref="B346:I346">
    <cfRule type="notContainsBlanks" dxfId="1617" priority="81">
      <formula>LEN(TRIM(B346))&gt;0</formula>
    </cfRule>
  </conditionalFormatting>
  <conditionalFormatting sqref="B349:I349">
    <cfRule type="notContainsBlanks" dxfId="1616" priority="23">
      <formula>LEN(TRIM(B349))&gt;0</formula>
    </cfRule>
  </conditionalFormatting>
  <conditionalFormatting sqref="B365:I365">
    <cfRule type="notContainsBlanks" dxfId="1615" priority="79">
      <formula>LEN(TRIM(B365))&gt;0</formula>
    </cfRule>
  </conditionalFormatting>
  <conditionalFormatting sqref="B368:I368">
    <cfRule type="notContainsBlanks" dxfId="1614" priority="21">
      <formula>LEN(TRIM(B368))&gt;0</formula>
    </cfRule>
  </conditionalFormatting>
  <conditionalFormatting sqref="B384:I384">
    <cfRule type="notContainsBlanks" dxfId="1613" priority="77">
      <formula>LEN(TRIM(B384))&gt;0</formula>
    </cfRule>
  </conditionalFormatting>
  <conditionalFormatting sqref="B387:I387">
    <cfRule type="notContainsBlanks" dxfId="1612" priority="19">
      <formula>LEN(TRIM(B387))&gt;0</formula>
    </cfRule>
  </conditionalFormatting>
  <conditionalFormatting sqref="B403:I403">
    <cfRule type="notContainsBlanks" dxfId="1611" priority="75">
      <formula>LEN(TRIM(B403))&gt;0</formula>
    </cfRule>
  </conditionalFormatting>
  <conditionalFormatting sqref="B406:I406">
    <cfRule type="notContainsBlanks" dxfId="1610" priority="17">
      <formula>LEN(TRIM(B406))&gt;0</formula>
    </cfRule>
  </conditionalFormatting>
  <conditionalFormatting sqref="B422:I422">
    <cfRule type="notContainsBlanks" dxfId="1609" priority="73">
      <formula>LEN(TRIM(B422))&gt;0</formula>
    </cfRule>
  </conditionalFormatting>
  <conditionalFormatting sqref="B425:I425">
    <cfRule type="notContainsBlanks" dxfId="1608" priority="15">
      <formula>LEN(TRIM(B425))&gt;0</formula>
    </cfRule>
  </conditionalFormatting>
  <conditionalFormatting sqref="B441:I441">
    <cfRule type="notContainsBlanks" dxfId="1607" priority="71">
      <formula>LEN(TRIM(B441))&gt;0</formula>
    </cfRule>
  </conditionalFormatting>
  <conditionalFormatting sqref="B444:I444">
    <cfRule type="notContainsBlanks" dxfId="1606" priority="13">
      <formula>LEN(TRIM(B444))&gt;0</formula>
    </cfRule>
  </conditionalFormatting>
  <conditionalFormatting sqref="B460:I460">
    <cfRule type="notContainsBlanks" dxfId="1605" priority="69">
      <formula>LEN(TRIM(B460))&gt;0</formula>
    </cfRule>
  </conditionalFormatting>
  <conditionalFormatting sqref="B463:I463">
    <cfRule type="notContainsBlanks" dxfId="1604" priority="11">
      <formula>LEN(TRIM(B463))&gt;0</formula>
    </cfRule>
  </conditionalFormatting>
  <conditionalFormatting sqref="B479:I479">
    <cfRule type="notContainsBlanks" dxfId="1603" priority="67">
      <formula>LEN(TRIM(B479))&gt;0</formula>
    </cfRule>
  </conditionalFormatting>
  <conditionalFormatting sqref="B482:I482">
    <cfRule type="notContainsBlanks" dxfId="1602" priority="9">
      <formula>LEN(TRIM(B482))&gt;0</formula>
    </cfRule>
  </conditionalFormatting>
  <conditionalFormatting sqref="B498:I498">
    <cfRule type="notContainsBlanks" dxfId="1601" priority="65">
      <formula>LEN(TRIM(B498))&gt;0</formula>
    </cfRule>
  </conditionalFormatting>
  <conditionalFormatting sqref="B501:I501">
    <cfRule type="notContainsBlanks" dxfId="1600" priority="7">
      <formula>LEN(TRIM(B501))&gt;0</formula>
    </cfRule>
  </conditionalFormatting>
  <conditionalFormatting sqref="B517:I517">
    <cfRule type="notContainsBlanks" dxfId="1599" priority="63">
      <formula>LEN(TRIM(B517))&gt;0</formula>
    </cfRule>
  </conditionalFormatting>
  <conditionalFormatting sqref="B520:I520">
    <cfRule type="notContainsBlanks" dxfId="1598" priority="5">
      <formula>LEN(TRIM(B520))&gt;0</formula>
    </cfRule>
  </conditionalFormatting>
  <conditionalFormatting sqref="B536:I536">
    <cfRule type="notContainsBlanks" dxfId="1597" priority="61">
      <formula>LEN(TRIM(B536))&gt;0</formula>
    </cfRule>
  </conditionalFormatting>
  <conditionalFormatting sqref="B539:I539">
    <cfRule type="notContainsBlanks" dxfId="1596" priority="3">
      <formula>LEN(TRIM(B539))&gt;0</formula>
    </cfRule>
  </conditionalFormatting>
  <conditionalFormatting sqref="B555:I555">
    <cfRule type="notContainsBlanks" dxfId="1595" priority="59">
      <formula>LEN(TRIM(B555))&gt;0</formula>
    </cfRule>
  </conditionalFormatting>
  <conditionalFormatting sqref="B558:I558">
    <cfRule type="notContainsBlanks" dxfId="1594" priority="1">
      <formula>LEN(TRIM(B558))&gt;0</formula>
    </cfRule>
  </conditionalFormatting>
  <conditionalFormatting sqref="F12">
    <cfRule type="expression" dxfId="1593" priority="471">
      <formula>$B10&lt;&gt;""</formula>
    </cfRule>
  </conditionalFormatting>
  <conditionalFormatting sqref="F13">
    <cfRule type="expression" dxfId="1592" priority="469">
      <formula>$B10&lt;&gt;""</formula>
    </cfRule>
  </conditionalFormatting>
  <conditionalFormatting sqref="F14">
    <cfRule type="expression" dxfId="1591" priority="468">
      <formula>$B10&lt;&gt;""</formula>
    </cfRule>
  </conditionalFormatting>
  <conditionalFormatting sqref="F15">
    <cfRule type="expression" dxfId="1590" priority="466">
      <formula>$B10&lt;&gt;""</formula>
    </cfRule>
  </conditionalFormatting>
  <conditionalFormatting sqref="F16">
    <cfRule type="expression" dxfId="1589" priority="479">
      <formula>$B10&lt;&gt;""</formula>
    </cfRule>
  </conditionalFormatting>
  <conditionalFormatting sqref="F17">
    <cfRule type="expression" dxfId="1588" priority="478">
      <formula>$B10&lt;&gt;""</formula>
    </cfRule>
  </conditionalFormatting>
  <conditionalFormatting sqref="F18">
    <cfRule type="expression" dxfId="1587" priority="472">
      <formula>$B10&lt;&gt;""</formula>
    </cfRule>
  </conditionalFormatting>
  <conditionalFormatting sqref="F31">
    <cfRule type="expression" dxfId="1586" priority="440">
      <formula>$B29&lt;&gt;""</formula>
    </cfRule>
  </conditionalFormatting>
  <conditionalFormatting sqref="F32">
    <cfRule type="expression" dxfId="1585" priority="439">
      <formula>$B29&lt;&gt;""</formula>
    </cfRule>
  </conditionalFormatting>
  <conditionalFormatting sqref="F33">
    <cfRule type="expression" dxfId="1584" priority="438">
      <formula>$B29&lt;&gt;""</formula>
    </cfRule>
  </conditionalFormatting>
  <conditionalFormatting sqref="F34">
    <cfRule type="expression" dxfId="1583" priority="437">
      <formula>$B29&lt;&gt;""</formula>
    </cfRule>
  </conditionalFormatting>
  <conditionalFormatting sqref="F35">
    <cfRule type="expression" dxfId="1582" priority="444">
      <formula>$B29&lt;&gt;""</formula>
    </cfRule>
  </conditionalFormatting>
  <conditionalFormatting sqref="F36">
    <cfRule type="expression" dxfId="1581" priority="443">
      <formula>$B29&lt;&gt;""</formula>
    </cfRule>
  </conditionalFormatting>
  <conditionalFormatting sqref="F37">
    <cfRule type="expression" dxfId="1580" priority="441">
      <formula>$B29&lt;&gt;""</formula>
    </cfRule>
  </conditionalFormatting>
  <conditionalFormatting sqref="F50">
    <cfRule type="expression" dxfId="1579" priority="431">
      <formula>$B48&lt;&gt;""</formula>
    </cfRule>
  </conditionalFormatting>
  <conditionalFormatting sqref="F51">
    <cfRule type="expression" dxfId="1578" priority="430">
      <formula>$B48&lt;&gt;""</formula>
    </cfRule>
  </conditionalFormatting>
  <conditionalFormatting sqref="F52">
    <cfRule type="expression" dxfId="1577" priority="429">
      <formula>$B48&lt;&gt;""</formula>
    </cfRule>
  </conditionalFormatting>
  <conditionalFormatting sqref="F53">
    <cfRule type="expression" dxfId="1576" priority="428">
      <formula>$B48&lt;&gt;""</formula>
    </cfRule>
  </conditionalFormatting>
  <conditionalFormatting sqref="F54">
    <cfRule type="expression" dxfId="1575" priority="435">
      <formula>$B48&lt;&gt;""</formula>
    </cfRule>
  </conditionalFormatting>
  <conditionalFormatting sqref="F55">
    <cfRule type="expression" dxfId="1574" priority="434">
      <formula>$B48&lt;&gt;""</formula>
    </cfRule>
  </conditionalFormatting>
  <conditionalFormatting sqref="F56">
    <cfRule type="expression" dxfId="1573" priority="432">
      <formula>$B48&lt;&gt;""</formula>
    </cfRule>
  </conditionalFormatting>
  <conditionalFormatting sqref="F69">
    <cfRule type="expression" dxfId="1572" priority="422">
      <formula>$B67&lt;&gt;""</formula>
    </cfRule>
  </conditionalFormatting>
  <conditionalFormatting sqref="F70">
    <cfRule type="expression" dxfId="1571" priority="421">
      <formula>$B67&lt;&gt;""</formula>
    </cfRule>
  </conditionalFormatting>
  <conditionalFormatting sqref="F71">
    <cfRule type="expression" dxfId="1570" priority="420">
      <formula>$B67&lt;&gt;""</formula>
    </cfRule>
  </conditionalFormatting>
  <conditionalFormatting sqref="F72">
    <cfRule type="expression" dxfId="1569" priority="419">
      <formula>$B67&lt;&gt;""</formula>
    </cfRule>
  </conditionalFormatting>
  <conditionalFormatting sqref="F73">
    <cfRule type="expression" dxfId="1568" priority="426">
      <formula>$B67&lt;&gt;""</formula>
    </cfRule>
  </conditionalFormatting>
  <conditionalFormatting sqref="F74">
    <cfRule type="expression" dxfId="1567" priority="425">
      <formula>$B67&lt;&gt;""</formula>
    </cfRule>
  </conditionalFormatting>
  <conditionalFormatting sqref="F75">
    <cfRule type="expression" dxfId="1566" priority="423">
      <formula>$B67&lt;&gt;""</formula>
    </cfRule>
  </conditionalFormatting>
  <conditionalFormatting sqref="F88">
    <cfRule type="expression" dxfId="1565" priority="413">
      <formula>$B86&lt;&gt;""</formula>
    </cfRule>
  </conditionalFormatting>
  <conditionalFormatting sqref="F89">
    <cfRule type="expression" dxfId="1564" priority="412">
      <formula>$B86&lt;&gt;""</formula>
    </cfRule>
  </conditionalFormatting>
  <conditionalFormatting sqref="F90">
    <cfRule type="expression" dxfId="1563" priority="411">
      <formula>$B86&lt;&gt;""</formula>
    </cfRule>
  </conditionalFormatting>
  <conditionalFormatting sqref="F91">
    <cfRule type="expression" dxfId="1562" priority="410">
      <formula>$B86&lt;&gt;""</formula>
    </cfRule>
  </conditionalFormatting>
  <conditionalFormatting sqref="F92">
    <cfRule type="expression" dxfId="1561" priority="417">
      <formula>$B86&lt;&gt;""</formula>
    </cfRule>
  </conditionalFormatting>
  <conditionalFormatting sqref="F93">
    <cfRule type="expression" dxfId="1560" priority="416">
      <formula>$B86&lt;&gt;""</formula>
    </cfRule>
  </conditionalFormatting>
  <conditionalFormatting sqref="F94">
    <cfRule type="expression" dxfId="1559" priority="414">
      <formula>$B86&lt;&gt;""</formula>
    </cfRule>
  </conditionalFormatting>
  <conditionalFormatting sqref="F107">
    <cfRule type="expression" dxfId="1558" priority="404">
      <formula>$B105&lt;&gt;""</formula>
    </cfRule>
  </conditionalFormatting>
  <conditionalFormatting sqref="F108">
    <cfRule type="expression" dxfId="1557" priority="403">
      <formula>$B105&lt;&gt;""</formula>
    </cfRule>
  </conditionalFormatting>
  <conditionalFormatting sqref="F109">
    <cfRule type="expression" dxfId="1556" priority="402">
      <formula>$B105&lt;&gt;""</formula>
    </cfRule>
  </conditionalFormatting>
  <conditionalFormatting sqref="F110">
    <cfRule type="expression" dxfId="1555" priority="401">
      <formula>$B105&lt;&gt;""</formula>
    </cfRule>
  </conditionalFormatting>
  <conditionalFormatting sqref="F111">
    <cfRule type="expression" dxfId="1554" priority="408">
      <formula>$B105&lt;&gt;""</formula>
    </cfRule>
  </conditionalFormatting>
  <conditionalFormatting sqref="F112">
    <cfRule type="expression" dxfId="1553" priority="407">
      <formula>$B105&lt;&gt;""</formula>
    </cfRule>
  </conditionalFormatting>
  <conditionalFormatting sqref="F113">
    <cfRule type="expression" dxfId="1552" priority="405">
      <formula>$B105&lt;&gt;""</formula>
    </cfRule>
  </conditionalFormatting>
  <conditionalFormatting sqref="F126">
    <cfRule type="expression" dxfId="1551" priority="395">
      <formula>$B124&lt;&gt;""</formula>
    </cfRule>
  </conditionalFormatting>
  <conditionalFormatting sqref="F127">
    <cfRule type="expression" dxfId="1550" priority="394">
      <formula>$B124&lt;&gt;""</formula>
    </cfRule>
  </conditionalFormatting>
  <conditionalFormatting sqref="F128">
    <cfRule type="expression" dxfId="1549" priority="393">
      <formula>$B124&lt;&gt;""</formula>
    </cfRule>
  </conditionalFormatting>
  <conditionalFormatting sqref="F129">
    <cfRule type="expression" dxfId="1548" priority="392">
      <formula>$B124&lt;&gt;""</formula>
    </cfRule>
  </conditionalFormatting>
  <conditionalFormatting sqref="F130">
    <cfRule type="expression" dxfId="1547" priority="399">
      <formula>$B124&lt;&gt;""</formula>
    </cfRule>
  </conditionalFormatting>
  <conditionalFormatting sqref="F131">
    <cfRule type="expression" dxfId="1546" priority="398">
      <formula>$B124&lt;&gt;""</formula>
    </cfRule>
  </conditionalFormatting>
  <conditionalFormatting sqref="F132">
    <cfRule type="expression" dxfId="1545" priority="396">
      <formula>$B124&lt;&gt;""</formula>
    </cfRule>
  </conditionalFormatting>
  <conditionalFormatting sqref="F145">
    <cfRule type="expression" dxfId="1544" priority="386">
      <formula>$B143&lt;&gt;""</formula>
    </cfRule>
  </conditionalFormatting>
  <conditionalFormatting sqref="F146">
    <cfRule type="expression" dxfId="1543" priority="385">
      <formula>$B143&lt;&gt;""</formula>
    </cfRule>
  </conditionalFormatting>
  <conditionalFormatting sqref="F147">
    <cfRule type="expression" dxfId="1542" priority="384">
      <formula>$B143&lt;&gt;""</formula>
    </cfRule>
  </conditionalFormatting>
  <conditionalFormatting sqref="F148">
    <cfRule type="expression" dxfId="1541" priority="383">
      <formula>$B143&lt;&gt;""</formula>
    </cfRule>
  </conditionalFormatting>
  <conditionalFormatting sqref="F149">
    <cfRule type="expression" dxfId="1540" priority="390">
      <formula>$B143&lt;&gt;""</formula>
    </cfRule>
  </conditionalFormatting>
  <conditionalFormatting sqref="F150">
    <cfRule type="expression" dxfId="1539" priority="389">
      <formula>$B143&lt;&gt;""</formula>
    </cfRule>
  </conditionalFormatting>
  <conditionalFormatting sqref="F151">
    <cfRule type="expression" dxfId="1538" priority="387">
      <formula>$B143&lt;&gt;""</formula>
    </cfRule>
  </conditionalFormatting>
  <conditionalFormatting sqref="F164">
    <cfRule type="expression" dxfId="1537" priority="377">
      <formula>$B162&lt;&gt;""</formula>
    </cfRule>
  </conditionalFormatting>
  <conditionalFormatting sqref="F165">
    <cfRule type="expression" dxfId="1536" priority="376">
      <formula>$B162&lt;&gt;""</formula>
    </cfRule>
  </conditionalFormatting>
  <conditionalFormatting sqref="F166">
    <cfRule type="expression" dxfId="1535" priority="375">
      <formula>$B162&lt;&gt;""</formula>
    </cfRule>
  </conditionalFormatting>
  <conditionalFormatting sqref="F167">
    <cfRule type="expression" dxfId="1534" priority="374">
      <formula>$B162&lt;&gt;""</formula>
    </cfRule>
  </conditionalFormatting>
  <conditionalFormatting sqref="F168">
    <cfRule type="expression" dxfId="1533" priority="381">
      <formula>$B162&lt;&gt;""</formula>
    </cfRule>
  </conditionalFormatting>
  <conditionalFormatting sqref="F169">
    <cfRule type="expression" dxfId="1532" priority="380">
      <formula>$B162&lt;&gt;""</formula>
    </cfRule>
  </conditionalFormatting>
  <conditionalFormatting sqref="F170">
    <cfRule type="expression" dxfId="1531" priority="378">
      <formula>$B162&lt;&gt;""</formula>
    </cfRule>
  </conditionalFormatting>
  <conditionalFormatting sqref="F183">
    <cfRule type="expression" dxfId="1530" priority="368">
      <formula>$B181&lt;&gt;""</formula>
    </cfRule>
  </conditionalFormatting>
  <conditionalFormatting sqref="F184">
    <cfRule type="expression" dxfId="1529" priority="367">
      <formula>$B181&lt;&gt;""</formula>
    </cfRule>
  </conditionalFormatting>
  <conditionalFormatting sqref="F185">
    <cfRule type="expression" dxfId="1528" priority="366">
      <formula>$B181&lt;&gt;""</formula>
    </cfRule>
  </conditionalFormatting>
  <conditionalFormatting sqref="F186">
    <cfRule type="expression" dxfId="1527" priority="365">
      <formula>$B181&lt;&gt;""</formula>
    </cfRule>
  </conditionalFormatting>
  <conditionalFormatting sqref="F187">
    <cfRule type="expression" dxfId="1526" priority="372">
      <formula>$B181&lt;&gt;""</formula>
    </cfRule>
  </conditionalFormatting>
  <conditionalFormatting sqref="F188">
    <cfRule type="expression" dxfId="1525" priority="371">
      <formula>$B181&lt;&gt;""</formula>
    </cfRule>
  </conditionalFormatting>
  <conditionalFormatting sqref="F189">
    <cfRule type="expression" dxfId="1524" priority="369">
      <formula>$B181&lt;&gt;""</formula>
    </cfRule>
  </conditionalFormatting>
  <conditionalFormatting sqref="F202">
    <cfRule type="expression" dxfId="1523" priority="359">
      <formula>$B200&lt;&gt;""</formula>
    </cfRule>
  </conditionalFormatting>
  <conditionalFormatting sqref="F203">
    <cfRule type="expression" dxfId="1522" priority="358">
      <formula>$B200&lt;&gt;""</formula>
    </cfRule>
  </conditionalFormatting>
  <conditionalFormatting sqref="F204">
    <cfRule type="expression" dxfId="1521" priority="357">
      <formula>$B200&lt;&gt;""</formula>
    </cfRule>
  </conditionalFormatting>
  <conditionalFormatting sqref="F205">
    <cfRule type="expression" dxfId="1520" priority="356">
      <formula>$B200&lt;&gt;""</formula>
    </cfRule>
  </conditionalFormatting>
  <conditionalFormatting sqref="F206">
    <cfRule type="expression" dxfId="1519" priority="363">
      <formula>$B200&lt;&gt;""</formula>
    </cfRule>
  </conditionalFormatting>
  <conditionalFormatting sqref="F207">
    <cfRule type="expression" dxfId="1518" priority="362">
      <formula>$B200&lt;&gt;""</formula>
    </cfRule>
  </conditionalFormatting>
  <conditionalFormatting sqref="F208">
    <cfRule type="expression" dxfId="1517" priority="360">
      <formula>$B200&lt;&gt;""</formula>
    </cfRule>
  </conditionalFormatting>
  <conditionalFormatting sqref="F221">
    <cfRule type="expression" dxfId="1516" priority="350">
      <formula>$B219&lt;&gt;""</formula>
    </cfRule>
  </conditionalFormatting>
  <conditionalFormatting sqref="F222">
    <cfRule type="expression" dxfId="1515" priority="349">
      <formula>$B219&lt;&gt;""</formula>
    </cfRule>
  </conditionalFormatting>
  <conditionalFormatting sqref="F223">
    <cfRule type="expression" dxfId="1514" priority="348">
      <formula>$B219&lt;&gt;""</formula>
    </cfRule>
  </conditionalFormatting>
  <conditionalFormatting sqref="F224">
    <cfRule type="expression" dxfId="1513" priority="347">
      <formula>$B219&lt;&gt;""</formula>
    </cfRule>
  </conditionalFormatting>
  <conditionalFormatting sqref="F225">
    <cfRule type="expression" dxfId="1512" priority="354">
      <formula>$B219&lt;&gt;""</formula>
    </cfRule>
  </conditionalFormatting>
  <conditionalFormatting sqref="F226">
    <cfRule type="expression" dxfId="1511" priority="353">
      <formula>$B219&lt;&gt;""</formula>
    </cfRule>
  </conditionalFormatting>
  <conditionalFormatting sqref="F227">
    <cfRule type="expression" dxfId="1510" priority="351">
      <formula>$B219&lt;&gt;""</formula>
    </cfRule>
  </conditionalFormatting>
  <conditionalFormatting sqref="F240">
    <cfRule type="expression" dxfId="1509" priority="341">
      <formula>$B238&lt;&gt;""</formula>
    </cfRule>
  </conditionalFormatting>
  <conditionalFormatting sqref="F241">
    <cfRule type="expression" dxfId="1508" priority="340">
      <formula>$B238&lt;&gt;""</formula>
    </cfRule>
  </conditionalFormatting>
  <conditionalFormatting sqref="F242">
    <cfRule type="expression" dxfId="1507" priority="339">
      <formula>$B238&lt;&gt;""</formula>
    </cfRule>
  </conditionalFormatting>
  <conditionalFormatting sqref="F243">
    <cfRule type="expression" dxfId="1506" priority="338">
      <formula>$B238&lt;&gt;""</formula>
    </cfRule>
  </conditionalFormatting>
  <conditionalFormatting sqref="F244">
    <cfRule type="expression" dxfId="1505" priority="345">
      <formula>$B238&lt;&gt;""</formula>
    </cfRule>
  </conditionalFormatting>
  <conditionalFormatting sqref="F245">
    <cfRule type="expression" dxfId="1504" priority="344">
      <formula>$B238&lt;&gt;""</formula>
    </cfRule>
  </conditionalFormatting>
  <conditionalFormatting sqref="F246">
    <cfRule type="expression" dxfId="1503" priority="342">
      <formula>$B238&lt;&gt;""</formula>
    </cfRule>
  </conditionalFormatting>
  <conditionalFormatting sqref="F259">
    <cfRule type="expression" dxfId="1502" priority="332">
      <formula>$B257&lt;&gt;""</formula>
    </cfRule>
  </conditionalFormatting>
  <conditionalFormatting sqref="F260">
    <cfRule type="expression" dxfId="1501" priority="331">
      <formula>$B257&lt;&gt;""</formula>
    </cfRule>
  </conditionalFormatting>
  <conditionalFormatting sqref="F261">
    <cfRule type="expression" dxfId="1500" priority="330">
      <formula>$B257&lt;&gt;""</formula>
    </cfRule>
  </conditionalFormatting>
  <conditionalFormatting sqref="F262">
    <cfRule type="expression" dxfId="1499" priority="329">
      <formula>$B257&lt;&gt;""</formula>
    </cfRule>
  </conditionalFormatting>
  <conditionalFormatting sqref="F263">
    <cfRule type="expression" dxfId="1498" priority="336">
      <formula>$B257&lt;&gt;""</formula>
    </cfRule>
  </conditionalFormatting>
  <conditionalFormatting sqref="F264">
    <cfRule type="expression" dxfId="1497" priority="335">
      <formula>$B257&lt;&gt;""</formula>
    </cfRule>
  </conditionalFormatting>
  <conditionalFormatting sqref="F265">
    <cfRule type="expression" dxfId="1496" priority="333">
      <formula>$B257&lt;&gt;""</formula>
    </cfRule>
  </conditionalFormatting>
  <conditionalFormatting sqref="F278">
    <cfRule type="expression" dxfId="1495" priority="323">
      <formula>$B276&lt;&gt;""</formula>
    </cfRule>
  </conditionalFormatting>
  <conditionalFormatting sqref="F279">
    <cfRule type="expression" dxfId="1494" priority="322">
      <formula>$B276&lt;&gt;""</formula>
    </cfRule>
  </conditionalFormatting>
  <conditionalFormatting sqref="F280">
    <cfRule type="expression" dxfId="1493" priority="321">
      <formula>$B276&lt;&gt;""</formula>
    </cfRule>
  </conditionalFormatting>
  <conditionalFormatting sqref="F281">
    <cfRule type="expression" dxfId="1492" priority="320">
      <formula>$B276&lt;&gt;""</formula>
    </cfRule>
  </conditionalFormatting>
  <conditionalFormatting sqref="F282">
    <cfRule type="expression" dxfId="1491" priority="327">
      <formula>$B276&lt;&gt;""</formula>
    </cfRule>
  </conditionalFormatting>
  <conditionalFormatting sqref="F283">
    <cfRule type="expression" dxfId="1490" priority="326">
      <formula>$B276&lt;&gt;""</formula>
    </cfRule>
  </conditionalFormatting>
  <conditionalFormatting sqref="F284">
    <cfRule type="expression" dxfId="1489" priority="324">
      <formula>$B276&lt;&gt;""</formula>
    </cfRule>
  </conditionalFormatting>
  <conditionalFormatting sqref="F297">
    <cfRule type="expression" dxfId="1488" priority="314">
      <formula>$B295&lt;&gt;""</formula>
    </cfRule>
  </conditionalFormatting>
  <conditionalFormatting sqref="F298">
    <cfRule type="expression" dxfId="1487" priority="313">
      <formula>$B295&lt;&gt;""</formula>
    </cfRule>
  </conditionalFormatting>
  <conditionalFormatting sqref="F299">
    <cfRule type="expression" dxfId="1486" priority="312">
      <formula>$B295&lt;&gt;""</formula>
    </cfRule>
  </conditionalFormatting>
  <conditionalFormatting sqref="F300">
    <cfRule type="expression" dxfId="1485" priority="311">
      <formula>$B295&lt;&gt;""</formula>
    </cfRule>
  </conditionalFormatting>
  <conditionalFormatting sqref="F301">
    <cfRule type="expression" dxfId="1484" priority="318">
      <formula>$B295&lt;&gt;""</formula>
    </cfRule>
  </conditionalFormatting>
  <conditionalFormatting sqref="F302">
    <cfRule type="expression" dxfId="1483" priority="317">
      <formula>$B295&lt;&gt;""</formula>
    </cfRule>
  </conditionalFormatting>
  <conditionalFormatting sqref="F303">
    <cfRule type="expression" dxfId="1482" priority="315">
      <formula>$B295&lt;&gt;""</formula>
    </cfRule>
  </conditionalFormatting>
  <conditionalFormatting sqref="F316">
    <cfRule type="expression" dxfId="1481" priority="305">
      <formula>$B314&lt;&gt;""</formula>
    </cfRule>
  </conditionalFormatting>
  <conditionalFormatting sqref="F317">
    <cfRule type="expression" dxfId="1480" priority="304">
      <formula>$B314&lt;&gt;""</formula>
    </cfRule>
  </conditionalFormatting>
  <conditionalFormatting sqref="F318">
    <cfRule type="expression" dxfId="1479" priority="303">
      <formula>$B314&lt;&gt;""</formula>
    </cfRule>
  </conditionalFormatting>
  <conditionalFormatting sqref="F319">
    <cfRule type="expression" dxfId="1478" priority="302">
      <formula>$B314&lt;&gt;""</formula>
    </cfRule>
  </conditionalFormatting>
  <conditionalFormatting sqref="F320">
    <cfRule type="expression" dxfId="1477" priority="309">
      <formula>$B314&lt;&gt;""</formula>
    </cfRule>
  </conditionalFormatting>
  <conditionalFormatting sqref="F321">
    <cfRule type="expression" dxfId="1476" priority="308">
      <formula>$B314&lt;&gt;""</formula>
    </cfRule>
  </conditionalFormatting>
  <conditionalFormatting sqref="F322">
    <cfRule type="expression" dxfId="1475" priority="306">
      <formula>$B314&lt;&gt;""</formula>
    </cfRule>
  </conditionalFormatting>
  <conditionalFormatting sqref="F335">
    <cfRule type="expression" dxfId="1474" priority="296">
      <formula>$B333&lt;&gt;""</formula>
    </cfRule>
  </conditionalFormatting>
  <conditionalFormatting sqref="F336">
    <cfRule type="expression" dxfId="1473" priority="295">
      <formula>$B333&lt;&gt;""</formula>
    </cfRule>
  </conditionalFormatting>
  <conditionalFormatting sqref="F337">
    <cfRule type="expression" dxfId="1472" priority="294">
      <formula>$B333&lt;&gt;""</formula>
    </cfRule>
  </conditionalFormatting>
  <conditionalFormatting sqref="F338">
    <cfRule type="expression" dxfId="1471" priority="293">
      <formula>$B333&lt;&gt;""</formula>
    </cfRule>
  </conditionalFormatting>
  <conditionalFormatting sqref="F339">
    <cfRule type="expression" dxfId="1470" priority="300">
      <formula>$B333&lt;&gt;""</formula>
    </cfRule>
  </conditionalFormatting>
  <conditionalFormatting sqref="F340">
    <cfRule type="expression" dxfId="1469" priority="299">
      <formula>$B333&lt;&gt;""</formula>
    </cfRule>
  </conditionalFormatting>
  <conditionalFormatting sqref="F341">
    <cfRule type="expression" dxfId="1468" priority="297">
      <formula>$B333&lt;&gt;""</formula>
    </cfRule>
  </conditionalFormatting>
  <conditionalFormatting sqref="F354">
    <cfRule type="expression" dxfId="1467" priority="287">
      <formula>$B352&lt;&gt;""</formula>
    </cfRule>
  </conditionalFormatting>
  <conditionalFormatting sqref="F355">
    <cfRule type="expression" dxfId="1466" priority="286">
      <formula>$B352&lt;&gt;""</formula>
    </cfRule>
  </conditionalFormatting>
  <conditionalFormatting sqref="F356">
    <cfRule type="expression" dxfId="1465" priority="285">
      <formula>$B352&lt;&gt;""</formula>
    </cfRule>
  </conditionalFormatting>
  <conditionalFormatting sqref="F357">
    <cfRule type="expression" dxfId="1464" priority="284">
      <formula>$B352&lt;&gt;""</formula>
    </cfRule>
  </conditionalFormatting>
  <conditionalFormatting sqref="F358">
    <cfRule type="expression" dxfId="1463" priority="291">
      <formula>$B352&lt;&gt;""</formula>
    </cfRule>
  </conditionalFormatting>
  <conditionalFormatting sqref="F359">
    <cfRule type="expression" dxfId="1462" priority="290">
      <formula>$B352&lt;&gt;""</formula>
    </cfRule>
  </conditionalFormatting>
  <conditionalFormatting sqref="F360">
    <cfRule type="expression" dxfId="1461" priority="288">
      <formula>$B352&lt;&gt;""</formula>
    </cfRule>
  </conditionalFormatting>
  <conditionalFormatting sqref="F373">
    <cfRule type="expression" dxfId="1460" priority="278">
      <formula>$B371&lt;&gt;""</formula>
    </cfRule>
  </conditionalFormatting>
  <conditionalFormatting sqref="F374">
    <cfRule type="expression" dxfId="1459" priority="277">
      <formula>$B371&lt;&gt;""</formula>
    </cfRule>
  </conditionalFormatting>
  <conditionalFormatting sqref="F375">
    <cfRule type="expression" dxfId="1458" priority="276">
      <formula>$B371&lt;&gt;""</formula>
    </cfRule>
  </conditionalFormatting>
  <conditionalFormatting sqref="F376">
    <cfRule type="expression" dxfId="1457" priority="275">
      <formula>$B371&lt;&gt;""</formula>
    </cfRule>
  </conditionalFormatting>
  <conditionalFormatting sqref="F377">
    <cfRule type="expression" dxfId="1456" priority="282">
      <formula>$B371&lt;&gt;""</formula>
    </cfRule>
  </conditionalFormatting>
  <conditionalFormatting sqref="F378">
    <cfRule type="expression" dxfId="1455" priority="281">
      <formula>$B371&lt;&gt;""</formula>
    </cfRule>
  </conditionalFormatting>
  <conditionalFormatting sqref="F379">
    <cfRule type="expression" dxfId="1454" priority="279">
      <formula>$B371&lt;&gt;""</formula>
    </cfRule>
  </conditionalFormatting>
  <conditionalFormatting sqref="F392">
    <cfRule type="expression" dxfId="1453" priority="269">
      <formula>$B390&lt;&gt;""</formula>
    </cfRule>
  </conditionalFormatting>
  <conditionalFormatting sqref="F393">
    <cfRule type="expression" dxfId="1452" priority="268">
      <formula>$B390&lt;&gt;""</formula>
    </cfRule>
  </conditionalFormatting>
  <conditionalFormatting sqref="F394">
    <cfRule type="expression" dxfId="1451" priority="267">
      <formula>$B390&lt;&gt;""</formula>
    </cfRule>
  </conditionalFormatting>
  <conditionalFormatting sqref="F395">
    <cfRule type="expression" dxfId="1450" priority="266">
      <formula>$B390&lt;&gt;""</formula>
    </cfRule>
  </conditionalFormatting>
  <conditionalFormatting sqref="F396">
    <cfRule type="expression" dxfId="1449" priority="273">
      <formula>$B390&lt;&gt;""</formula>
    </cfRule>
  </conditionalFormatting>
  <conditionalFormatting sqref="F397">
    <cfRule type="expression" dxfId="1448" priority="272">
      <formula>$B390&lt;&gt;""</formula>
    </cfRule>
  </conditionalFormatting>
  <conditionalFormatting sqref="F398">
    <cfRule type="expression" dxfId="1447" priority="270">
      <formula>$B390&lt;&gt;""</formula>
    </cfRule>
  </conditionalFormatting>
  <conditionalFormatting sqref="F411">
    <cfRule type="expression" dxfId="1446" priority="260">
      <formula>$B409&lt;&gt;""</formula>
    </cfRule>
  </conditionalFormatting>
  <conditionalFormatting sqref="F412">
    <cfRule type="expression" dxfId="1445" priority="259">
      <formula>$B409&lt;&gt;""</formula>
    </cfRule>
  </conditionalFormatting>
  <conditionalFormatting sqref="F413">
    <cfRule type="expression" dxfId="1444" priority="258">
      <formula>$B409&lt;&gt;""</formula>
    </cfRule>
  </conditionalFormatting>
  <conditionalFormatting sqref="F414">
    <cfRule type="expression" dxfId="1443" priority="257">
      <formula>$B409&lt;&gt;""</formula>
    </cfRule>
  </conditionalFormatting>
  <conditionalFormatting sqref="F415">
    <cfRule type="expression" dxfId="1442" priority="264">
      <formula>$B409&lt;&gt;""</formula>
    </cfRule>
  </conditionalFormatting>
  <conditionalFormatting sqref="F416">
    <cfRule type="expression" dxfId="1441" priority="263">
      <formula>$B409&lt;&gt;""</formula>
    </cfRule>
  </conditionalFormatting>
  <conditionalFormatting sqref="F417">
    <cfRule type="expression" dxfId="1440" priority="261">
      <formula>$B409&lt;&gt;""</formula>
    </cfRule>
  </conditionalFormatting>
  <conditionalFormatting sqref="F430">
    <cfRule type="expression" dxfId="1439" priority="251">
      <formula>$B428&lt;&gt;""</formula>
    </cfRule>
  </conditionalFormatting>
  <conditionalFormatting sqref="F431">
    <cfRule type="expression" dxfId="1438" priority="250">
      <formula>$B428&lt;&gt;""</formula>
    </cfRule>
  </conditionalFormatting>
  <conditionalFormatting sqref="F432">
    <cfRule type="expression" dxfId="1437" priority="249">
      <formula>$B428&lt;&gt;""</formula>
    </cfRule>
  </conditionalFormatting>
  <conditionalFormatting sqref="F433">
    <cfRule type="expression" dxfId="1436" priority="248">
      <formula>$B428&lt;&gt;""</formula>
    </cfRule>
  </conditionalFormatting>
  <conditionalFormatting sqref="F434">
    <cfRule type="expression" dxfId="1435" priority="255">
      <formula>$B428&lt;&gt;""</formula>
    </cfRule>
  </conditionalFormatting>
  <conditionalFormatting sqref="F435">
    <cfRule type="expression" dxfId="1434" priority="254">
      <formula>$B428&lt;&gt;""</formula>
    </cfRule>
  </conditionalFormatting>
  <conditionalFormatting sqref="F436">
    <cfRule type="expression" dxfId="1433" priority="252">
      <formula>$B428&lt;&gt;""</formula>
    </cfRule>
  </conditionalFormatting>
  <conditionalFormatting sqref="F449">
    <cfRule type="expression" dxfId="1432" priority="242">
      <formula>$B447&lt;&gt;""</formula>
    </cfRule>
  </conditionalFormatting>
  <conditionalFormatting sqref="F450">
    <cfRule type="expression" dxfId="1431" priority="241">
      <formula>$B447&lt;&gt;""</formula>
    </cfRule>
  </conditionalFormatting>
  <conditionalFormatting sqref="F451">
    <cfRule type="expression" dxfId="1430" priority="240">
      <formula>$B447&lt;&gt;""</formula>
    </cfRule>
  </conditionalFormatting>
  <conditionalFormatting sqref="F452">
    <cfRule type="expression" dxfId="1429" priority="239">
      <formula>$B447&lt;&gt;""</formula>
    </cfRule>
  </conditionalFormatting>
  <conditionalFormatting sqref="F453">
    <cfRule type="expression" dxfId="1428" priority="246">
      <formula>$B447&lt;&gt;""</formula>
    </cfRule>
  </conditionalFormatting>
  <conditionalFormatting sqref="F454">
    <cfRule type="expression" dxfId="1427" priority="245">
      <formula>$B447&lt;&gt;""</formula>
    </cfRule>
  </conditionalFormatting>
  <conditionalFormatting sqref="F455">
    <cfRule type="expression" dxfId="1426" priority="243">
      <formula>$B447&lt;&gt;""</formula>
    </cfRule>
  </conditionalFormatting>
  <conditionalFormatting sqref="F468">
    <cfRule type="expression" dxfId="1425" priority="233">
      <formula>$B466&lt;&gt;""</formula>
    </cfRule>
  </conditionalFormatting>
  <conditionalFormatting sqref="F469">
    <cfRule type="expression" dxfId="1424" priority="232">
      <formula>$B466&lt;&gt;""</formula>
    </cfRule>
  </conditionalFormatting>
  <conditionalFormatting sqref="F470">
    <cfRule type="expression" dxfId="1423" priority="231">
      <formula>$B466&lt;&gt;""</formula>
    </cfRule>
  </conditionalFormatting>
  <conditionalFormatting sqref="F471">
    <cfRule type="expression" dxfId="1422" priority="230">
      <formula>$B466&lt;&gt;""</formula>
    </cfRule>
  </conditionalFormatting>
  <conditionalFormatting sqref="F472">
    <cfRule type="expression" dxfId="1421" priority="237">
      <formula>$B466&lt;&gt;""</formula>
    </cfRule>
  </conditionalFormatting>
  <conditionalFormatting sqref="F473">
    <cfRule type="expression" dxfId="1420" priority="236">
      <formula>$B466&lt;&gt;""</formula>
    </cfRule>
  </conditionalFormatting>
  <conditionalFormatting sqref="F474">
    <cfRule type="expression" dxfId="1419" priority="234">
      <formula>$B466&lt;&gt;""</formula>
    </cfRule>
  </conditionalFormatting>
  <conditionalFormatting sqref="F487">
    <cfRule type="expression" dxfId="1418" priority="224">
      <formula>$B485&lt;&gt;""</formula>
    </cfRule>
  </conditionalFormatting>
  <conditionalFormatting sqref="F488">
    <cfRule type="expression" dxfId="1417" priority="223">
      <formula>$B485&lt;&gt;""</formula>
    </cfRule>
  </conditionalFormatting>
  <conditionalFormatting sqref="F489">
    <cfRule type="expression" dxfId="1416" priority="222">
      <formula>$B485&lt;&gt;""</formula>
    </cfRule>
  </conditionalFormatting>
  <conditionalFormatting sqref="F490">
    <cfRule type="expression" dxfId="1415" priority="221">
      <formula>$B485&lt;&gt;""</formula>
    </cfRule>
  </conditionalFormatting>
  <conditionalFormatting sqref="F491">
    <cfRule type="expression" dxfId="1414" priority="228">
      <formula>$B485&lt;&gt;""</formula>
    </cfRule>
  </conditionalFormatting>
  <conditionalFormatting sqref="F492">
    <cfRule type="expression" dxfId="1413" priority="227">
      <formula>$B485&lt;&gt;""</formula>
    </cfRule>
  </conditionalFormatting>
  <conditionalFormatting sqref="F493">
    <cfRule type="expression" dxfId="1412" priority="225">
      <formula>$B485&lt;&gt;""</formula>
    </cfRule>
  </conditionalFormatting>
  <conditionalFormatting sqref="F506">
    <cfRule type="expression" dxfId="1411" priority="215">
      <formula>$B504&lt;&gt;""</formula>
    </cfRule>
  </conditionalFormatting>
  <conditionalFormatting sqref="F507">
    <cfRule type="expression" dxfId="1410" priority="214">
      <formula>$B504&lt;&gt;""</formula>
    </cfRule>
  </conditionalFormatting>
  <conditionalFormatting sqref="F508">
    <cfRule type="expression" dxfId="1409" priority="213">
      <formula>$B504&lt;&gt;""</formula>
    </cfRule>
  </conditionalFormatting>
  <conditionalFormatting sqref="F509">
    <cfRule type="expression" dxfId="1408" priority="212">
      <formula>$B504&lt;&gt;""</formula>
    </cfRule>
  </conditionalFormatting>
  <conditionalFormatting sqref="F510">
    <cfRule type="expression" dxfId="1407" priority="219">
      <formula>$B504&lt;&gt;""</formula>
    </cfRule>
  </conditionalFormatting>
  <conditionalFormatting sqref="F511">
    <cfRule type="expression" dxfId="1406" priority="218">
      <formula>$B504&lt;&gt;""</formula>
    </cfRule>
  </conditionalFormatting>
  <conditionalFormatting sqref="F512">
    <cfRule type="expression" dxfId="1405" priority="216">
      <formula>$B504&lt;&gt;""</formula>
    </cfRule>
  </conditionalFormatting>
  <conditionalFormatting sqref="F525">
    <cfRule type="expression" dxfId="1404" priority="206">
      <formula>$B523&lt;&gt;""</formula>
    </cfRule>
  </conditionalFormatting>
  <conditionalFormatting sqref="F526">
    <cfRule type="expression" dxfId="1403" priority="205">
      <formula>$B523&lt;&gt;""</formula>
    </cfRule>
  </conditionalFormatting>
  <conditionalFormatting sqref="F527">
    <cfRule type="expression" dxfId="1402" priority="204">
      <formula>$B523&lt;&gt;""</formula>
    </cfRule>
  </conditionalFormatting>
  <conditionalFormatting sqref="F528">
    <cfRule type="expression" dxfId="1401" priority="203">
      <formula>$B523&lt;&gt;""</formula>
    </cfRule>
  </conditionalFormatting>
  <conditionalFormatting sqref="F529">
    <cfRule type="expression" dxfId="1400" priority="210">
      <formula>$B523&lt;&gt;""</formula>
    </cfRule>
  </conditionalFormatting>
  <conditionalFormatting sqref="F530">
    <cfRule type="expression" dxfId="1399" priority="209">
      <formula>$B523&lt;&gt;""</formula>
    </cfRule>
  </conditionalFormatting>
  <conditionalFormatting sqref="F531">
    <cfRule type="expression" dxfId="1398" priority="207">
      <formula>$B523&lt;&gt;""</formula>
    </cfRule>
  </conditionalFormatting>
  <conditionalFormatting sqref="F544">
    <cfRule type="expression" dxfId="1397" priority="197">
      <formula>$B542&lt;&gt;""</formula>
    </cfRule>
  </conditionalFormatting>
  <conditionalFormatting sqref="F545">
    <cfRule type="expression" dxfId="1396" priority="196">
      <formula>$B542&lt;&gt;""</formula>
    </cfRule>
  </conditionalFormatting>
  <conditionalFormatting sqref="F546">
    <cfRule type="expression" dxfId="1395" priority="195">
      <formula>$B542&lt;&gt;""</formula>
    </cfRule>
  </conditionalFormatting>
  <conditionalFormatting sqref="F547">
    <cfRule type="expression" dxfId="1394" priority="194">
      <formula>$B542&lt;&gt;""</formula>
    </cfRule>
  </conditionalFormatting>
  <conditionalFormatting sqref="F548">
    <cfRule type="expression" dxfId="1393" priority="201">
      <formula>$B542&lt;&gt;""</formula>
    </cfRule>
  </conditionalFormatting>
  <conditionalFormatting sqref="F549">
    <cfRule type="expression" dxfId="1392" priority="200">
      <formula>$B542&lt;&gt;""</formula>
    </cfRule>
  </conditionalFormatting>
  <conditionalFormatting sqref="F550">
    <cfRule type="expression" dxfId="1391" priority="198">
      <formula>$B542&lt;&gt;""</formula>
    </cfRule>
  </conditionalFormatting>
  <conditionalFormatting sqref="F563">
    <cfRule type="expression" dxfId="1390" priority="188">
      <formula>$B561&lt;&gt;""</formula>
    </cfRule>
  </conditionalFormatting>
  <conditionalFormatting sqref="F564">
    <cfRule type="expression" dxfId="1389" priority="187">
      <formula>$B561&lt;&gt;""</formula>
    </cfRule>
  </conditionalFormatting>
  <conditionalFormatting sqref="F565">
    <cfRule type="expression" dxfId="1388" priority="186">
      <formula>$B561&lt;&gt;""</formula>
    </cfRule>
  </conditionalFormatting>
  <conditionalFormatting sqref="F566">
    <cfRule type="expression" dxfId="1387" priority="185">
      <formula>$B561&lt;&gt;""</formula>
    </cfRule>
  </conditionalFormatting>
  <conditionalFormatting sqref="F567">
    <cfRule type="expression" dxfId="1386" priority="192">
      <formula>$B561&lt;&gt;""</formula>
    </cfRule>
  </conditionalFormatting>
  <conditionalFormatting sqref="F568">
    <cfRule type="expression" dxfId="1385" priority="191">
      <formula>$B561&lt;&gt;""</formula>
    </cfRule>
  </conditionalFormatting>
  <conditionalFormatting sqref="F569">
    <cfRule type="expression" dxfId="1384" priority="189">
      <formula>$B561&lt;&gt;""</formula>
    </cfRule>
  </conditionalFormatting>
  <conditionalFormatting sqref="F12:I18">
    <cfRule type="notContainsBlanks" dxfId="1383" priority="461">
      <formula>LEN(TRIM(F12))&gt;0</formula>
    </cfRule>
  </conditionalFormatting>
  <conditionalFormatting sqref="F31:I37">
    <cfRule type="notContainsBlanks" dxfId="1382" priority="436">
      <formula>LEN(TRIM(F31))&gt;0</formula>
    </cfRule>
  </conditionalFormatting>
  <conditionalFormatting sqref="F50:I56">
    <cfRule type="notContainsBlanks" dxfId="1381" priority="427">
      <formula>LEN(TRIM(F50))&gt;0</formula>
    </cfRule>
  </conditionalFormatting>
  <conditionalFormatting sqref="F69:I75">
    <cfRule type="notContainsBlanks" dxfId="1380" priority="418">
      <formula>LEN(TRIM(F69))&gt;0</formula>
    </cfRule>
  </conditionalFormatting>
  <conditionalFormatting sqref="F88:I94">
    <cfRule type="notContainsBlanks" dxfId="1379" priority="409">
      <formula>LEN(TRIM(F88))&gt;0</formula>
    </cfRule>
  </conditionalFormatting>
  <conditionalFormatting sqref="F107:I113">
    <cfRule type="notContainsBlanks" dxfId="1378" priority="400">
      <formula>LEN(TRIM(F107))&gt;0</formula>
    </cfRule>
  </conditionalFormatting>
  <conditionalFormatting sqref="F126:I132">
    <cfRule type="notContainsBlanks" dxfId="1377" priority="391">
      <formula>LEN(TRIM(F126))&gt;0</formula>
    </cfRule>
  </conditionalFormatting>
  <conditionalFormatting sqref="F145:I151">
    <cfRule type="notContainsBlanks" dxfId="1376" priority="382">
      <formula>LEN(TRIM(F145))&gt;0</formula>
    </cfRule>
  </conditionalFormatting>
  <conditionalFormatting sqref="F164:I170">
    <cfRule type="notContainsBlanks" dxfId="1375" priority="373">
      <formula>LEN(TRIM(F164))&gt;0</formula>
    </cfRule>
  </conditionalFormatting>
  <conditionalFormatting sqref="F183:I189">
    <cfRule type="notContainsBlanks" dxfId="1374" priority="364">
      <formula>LEN(TRIM(F183))&gt;0</formula>
    </cfRule>
  </conditionalFormatting>
  <conditionalFormatting sqref="F202:I208">
    <cfRule type="notContainsBlanks" dxfId="1373" priority="355">
      <formula>LEN(TRIM(F202))&gt;0</formula>
    </cfRule>
  </conditionalFormatting>
  <conditionalFormatting sqref="F221:I227">
    <cfRule type="notContainsBlanks" dxfId="1372" priority="346">
      <formula>LEN(TRIM(F221))&gt;0</formula>
    </cfRule>
  </conditionalFormatting>
  <conditionalFormatting sqref="F240:I246">
    <cfRule type="notContainsBlanks" dxfId="1371" priority="337">
      <formula>LEN(TRIM(F240))&gt;0</formula>
    </cfRule>
  </conditionalFormatting>
  <conditionalFormatting sqref="F259:I265">
    <cfRule type="notContainsBlanks" dxfId="1370" priority="328">
      <formula>LEN(TRIM(F259))&gt;0</formula>
    </cfRule>
  </conditionalFormatting>
  <conditionalFormatting sqref="F278:I284">
    <cfRule type="notContainsBlanks" dxfId="1369" priority="319">
      <formula>LEN(TRIM(F278))&gt;0</formula>
    </cfRule>
  </conditionalFormatting>
  <conditionalFormatting sqref="F297:I303">
    <cfRule type="notContainsBlanks" dxfId="1368" priority="310">
      <formula>LEN(TRIM(F297))&gt;0</formula>
    </cfRule>
  </conditionalFormatting>
  <conditionalFormatting sqref="F316:I322">
    <cfRule type="notContainsBlanks" dxfId="1367" priority="301">
      <formula>LEN(TRIM(F316))&gt;0</formula>
    </cfRule>
  </conditionalFormatting>
  <conditionalFormatting sqref="F335:I341">
    <cfRule type="notContainsBlanks" dxfId="1366" priority="292">
      <formula>LEN(TRIM(F335))&gt;0</formula>
    </cfRule>
  </conditionalFormatting>
  <conditionalFormatting sqref="F354:I360">
    <cfRule type="notContainsBlanks" dxfId="1365" priority="283">
      <formula>LEN(TRIM(F354))&gt;0</formula>
    </cfRule>
  </conditionalFormatting>
  <conditionalFormatting sqref="F373:I379">
    <cfRule type="notContainsBlanks" dxfId="1364" priority="274">
      <formula>LEN(TRIM(F373))&gt;0</formula>
    </cfRule>
  </conditionalFormatting>
  <conditionalFormatting sqref="F392:I398">
    <cfRule type="notContainsBlanks" dxfId="1363" priority="265">
      <formula>LEN(TRIM(F392))&gt;0</formula>
    </cfRule>
  </conditionalFormatting>
  <conditionalFormatting sqref="F411:I417">
    <cfRule type="notContainsBlanks" dxfId="1362" priority="256">
      <formula>LEN(TRIM(F411))&gt;0</formula>
    </cfRule>
  </conditionalFormatting>
  <conditionalFormatting sqref="F430:I436">
    <cfRule type="notContainsBlanks" dxfId="1361" priority="247">
      <formula>LEN(TRIM(F430))&gt;0</formula>
    </cfRule>
  </conditionalFormatting>
  <conditionalFormatting sqref="F449:I455">
    <cfRule type="notContainsBlanks" dxfId="1360" priority="238">
      <formula>LEN(TRIM(F449))&gt;0</formula>
    </cfRule>
  </conditionalFormatting>
  <conditionalFormatting sqref="F468:I474">
    <cfRule type="notContainsBlanks" dxfId="1359" priority="229">
      <formula>LEN(TRIM(F468))&gt;0</formula>
    </cfRule>
  </conditionalFormatting>
  <conditionalFormatting sqref="F487:I493">
    <cfRule type="notContainsBlanks" dxfId="1358" priority="220">
      <formula>LEN(TRIM(F487))&gt;0</formula>
    </cfRule>
  </conditionalFormatting>
  <conditionalFormatting sqref="F506:I512">
    <cfRule type="notContainsBlanks" dxfId="1357" priority="211">
      <formula>LEN(TRIM(F506))&gt;0</formula>
    </cfRule>
  </conditionalFormatting>
  <conditionalFormatting sqref="F525:I531">
    <cfRule type="notContainsBlanks" dxfId="1356" priority="202">
      <formula>LEN(TRIM(F525))&gt;0</formula>
    </cfRule>
  </conditionalFormatting>
  <conditionalFormatting sqref="F544:I550">
    <cfRule type="notContainsBlanks" dxfId="1355" priority="193">
      <formula>LEN(TRIM(F544))&gt;0</formula>
    </cfRule>
  </conditionalFormatting>
  <conditionalFormatting sqref="F563:I569">
    <cfRule type="notContainsBlanks" dxfId="1354" priority="184">
      <formula>LEN(TRIM(F563))&gt;0</formula>
    </cfRule>
  </conditionalFormatting>
  <conditionalFormatting sqref="H7">
    <cfRule type="cellIs" dxfId="1353" priority="110" operator="equal">
      <formula>"－"</formula>
    </cfRule>
  </conditionalFormatting>
  <conditionalFormatting sqref="H26">
    <cfRule type="cellIs" dxfId="1352" priority="58" operator="equal">
      <formula>"－"</formula>
    </cfRule>
  </conditionalFormatting>
  <conditionalFormatting sqref="H45">
    <cfRule type="cellIs" dxfId="1351" priority="56" operator="equal">
      <formula>"－"</formula>
    </cfRule>
  </conditionalFormatting>
  <conditionalFormatting sqref="H64">
    <cfRule type="cellIs" dxfId="1350" priority="54" operator="equal">
      <formula>"－"</formula>
    </cfRule>
  </conditionalFormatting>
  <conditionalFormatting sqref="H83">
    <cfRule type="cellIs" dxfId="1349" priority="52" operator="equal">
      <formula>"－"</formula>
    </cfRule>
  </conditionalFormatting>
  <conditionalFormatting sqref="H102">
    <cfRule type="cellIs" dxfId="1348" priority="50" operator="equal">
      <formula>"－"</formula>
    </cfRule>
  </conditionalFormatting>
  <conditionalFormatting sqref="H121">
    <cfRule type="cellIs" dxfId="1347" priority="48" operator="equal">
      <formula>"－"</formula>
    </cfRule>
  </conditionalFormatting>
  <conditionalFormatting sqref="H140">
    <cfRule type="cellIs" dxfId="1346" priority="46" operator="equal">
      <formula>"－"</formula>
    </cfRule>
  </conditionalFormatting>
  <conditionalFormatting sqref="H159">
    <cfRule type="cellIs" dxfId="1345" priority="44" operator="equal">
      <formula>"－"</formula>
    </cfRule>
  </conditionalFormatting>
  <conditionalFormatting sqref="H178">
    <cfRule type="cellIs" dxfId="1344" priority="42" operator="equal">
      <formula>"－"</formula>
    </cfRule>
  </conditionalFormatting>
  <conditionalFormatting sqref="H197">
    <cfRule type="cellIs" dxfId="1343" priority="40" operator="equal">
      <formula>"－"</formula>
    </cfRule>
  </conditionalFormatting>
  <conditionalFormatting sqref="H216">
    <cfRule type="cellIs" dxfId="1342" priority="38" operator="equal">
      <formula>"－"</formula>
    </cfRule>
  </conditionalFormatting>
  <conditionalFormatting sqref="H235">
    <cfRule type="cellIs" dxfId="1341" priority="36" operator="equal">
      <formula>"－"</formula>
    </cfRule>
  </conditionalFormatting>
  <conditionalFormatting sqref="H254">
    <cfRule type="cellIs" dxfId="1340" priority="34" operator="equal">
      <formula>"－"</formula>
    </cfRule>
  </conditionalFormatting>
  <conditionalFormatting sqref="H273">
    <cfRule type="cellIs" dxfId="1339" priority="32" operator="equal">
      <formula>"－"</formula>
    </cfRule>
  </conditionalFormatting>
  <conditionalFormatting sqref="H292">
    <cfRule type="cellIs" dxfId="1338" priority="30" operator="equal">
      <formula>"－"</formula>
    </cfRule>
  </conditionalFormatting>
  <conditionalFormatting sqref="H311">
    <cfRule type="cellIs" dxfId="1337" priority="28" operator="equal">
      <formula>"－"</formula>
    </cfRule>
  </conditionalFormatting>
  <conditionalFormatting sqref="H330">
    <cfRule type="cellIs" dxfId="1336" priority="26" operator="equal">
      <formula>"－"</formula>
    </cfRule>
  </conditionalFormatting>
  <conditionalFormatting sqref="H349">
    <cfRule type="cellIs" dxfId="1335" priority="24" operator="equal">
      <formula>"－"</formula>
    </cfRule>
  </conditionalFormatting>
  <conditionalFormatting sqref="H368">
    <cfRule type="cellIs" dxfId="1334" priority="22" operator="equal">
      <formula>"－"</formula>
    </cfRule>
  </conditionalFormatting>
  <conditionalFormatting sqref="H387">
    <cfRule type="cellIs" dxfId="1333" priority="20" operator="equal">
      <formula>"－"</formula>
    </cfRule>
  </conditionalFormatting>
  <conditionalFormatting sqref="H406">
    <cfRule type="cellIs" dxfId="1332" priority="18" operator="equal">
      <formula>"－"</formula>
    </cfRule>
  </conditionalFormatting>
  <conditionalFormatting sqref="H425">
    <cfRule type="cellIs" dxfId="1331" priority="16" operator="equal">
      <formula>"－"</formula>
    </cfRule>
  </conditionalFormatting>
  <conditionalFormatting sqref="H444">
    <cfRule type="cellIs" dxfId="1330" priority="14" operator="equal">
      <formula>"－"</formula>
    </cfRule>
  </conditionalFormatting>
  <conditionalFormatting sqref="H463">
    <cfRule type="cellIs" dxfId="1329" priority="12" operator="equal">
      <formula>"－"</formula>
    </cfRule>
  </conditionalFormatting>
  <conditionalFormatting sqref="H482">
    <cfRule type="cellIs" dxfId="1328" priority="10" operator="equal">
      <formula>"－"</formula>
    </cfRule>
  </conditionalFormatting>
  <conditionalFormatting sqref="H501">
    <cfRule type="cellIs" dxfId="1327" priority="8" operator="equal">
      <formula>"－"</formula>
    </cfRule>
  </conditionalFormatting>
  <conditionalFormatting sqref="H520">
    <cfRule type="cellIs" dxfId="1326" priority="6" operator="equal">
      <formula>"－"</formula>
    </cfRule>
  </conditionalFormatting>
  <conditionalFormatting sqref="H539">
    <cfRule type="cellIs" dxfId="1325" priority="4" operator="equal">
      <formula>"－"</formula>
    </cfRule>
  </conditionalFormatting>
  <conditionalFormatting sqref="H558">
    <cfRule type="cellIs" dxfId="1324" priority="2" operator="equal">
      <formula>"－"</formula>
    </cfRule>
  </conditionalFormatting>
  <pageMargins left="0.7" right="0.7" top="0.75" bottom="0.75" header="0.3" footer="0.3"/>
  <pageSetup paperSize="9" scale="10" orientation="portrait" r:id="rId1"/>
  <customProperties>
    <customPr name="EpmWorksheetKeyString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056A7-0C20-48FD-84DA-F74A82E504D5}">
  <sheetPr codeName="Sheet17">
    <tabColor theme="7" tint="0.79998168889431442"/>
    <pageSetUpPr autoPageBreaks="0" fitToPage="1"/>
  </sheetPr>
  <dimension ref="A1:V51"/>
  <sheetViews>
    <sheetView showGridLines="0" zoomScaleNormal="100" zoomScaleSheetLayoutView="90" workbookViewId="0"/>
  </sheetViews>
  <sheetFormatPr defaultColWidth="9" defaultRowHeight="18"/>
  <cols>
    <col min="1" max="2" width="2.58203125" style="13" customWidth="1"/>
    <col min="3" max="3" width="9.5" style="13" customWidth="1"/>
    <col min="4" max="4" width="20.83203125" style="13" customWidth="1"/>
    <col min="5" max="5" width="27.5" style="13" customWidth="1"/>
    <col min="6" max="6" width="12" style="231" customWidth="1"/>
    <col min="7" max="7" width="28.75" style="13" customWidth="1"/>
    <col min="8" max="10" width="18.33203125" style="13" customWidth="1"/>
    <col min="11" max="12" width="11.75" style="13" customWidth="1"/>
    <col min="13" max="13" width="28.75" style="13" customWidth="1"/>
    <col min="14" max="14" width="18.33203125" style="13" customWidth="1"/>
    <col min="15" max="15" width="4.58203125" style="13" customWidth="1"/>
    <col min="16" max="16" width="9" customWidth="1"/>
    <col min="17" max="17" width="9" hidden="1" customWidth="1"/>
    <col min="18" max="20" width="18.33203125" hidden="1" customWidth="1"/>
    <col min="21" max="21" width="18" hidden="1" customWidth="1"/>
    <col min="22" max="22" width="0" hidden="1" customWidth="1"/>
  </cols>
  <sheetData>
    <row r="1" spans="1:21" ht="24" customHeight="1">
      <c r="A1" s="44" t="s">
        <v>353</v>
      </c>
      <c r="C1"/>
    </row>
    <row r="2" spans="1:21" ht="48" customHeight="1">
      <c r="B2" s="955" t="s">
        <v>352</v>
      </c>
      <c r="C2" s="955"/>
      <c r="D2" s="955"/>
      <c r="E2" s="955"/>
      <c r="F2" s="955"/>
      <c r="G2" s="955"/>
      <c r="H2" s="955"/>
      <c r="I2" s="955"/>
      <c r="J2" s="955"/>
      <c r="K2" s="955"/>
      <c r="L2" s="955"/>
      <c r="M2" s="955"/>
    </row>
    <row r="3" spans="1:21" ht="17.25" customHeight="1">
      <c r="C3" s="233"/>
      <c r="D3" s="233"/>
      <c r="E3" s="233"/>
      <c r="F3" s="235"/>
      <c r="G3" s="233"/>
      <c r="H3" s="233"/>
      <c r="I3" s="233"/>
      <c r="J3" s="233"/>
      <c r="K3" s="233"/>
      <c r="L3" s="233"/>
      <c r="M3" s="233"/>
      <c r="N3" s="233"/>
    </row>
    <row r="4" spans="1:21" ht="17.25" customHeight="1">
      <c r="C4" s="233"/>
      <c r="D4" s="233"/>
      <c r="E4" s="233"/>
      <c r="F4" s="235"/>
      <c r="G4" s="233"/>
      <c r="H4" s="233"/>
      <c r="I4" s="233"/>
      <c r="J4" s="233"/>
      <c r="K4" s="233"/>
      <c r="L4" s="233"/>
      <c r="M4" s="233"/>
      <c r="N4" s="233"/>
    </row>
    <row r="5" spans="1:21" ht="17.25" customHeight="1">
      <c r="C5" s="232"/>
      <c r="D5" s="232"/>
      <c r="E5" s="232"/>
      <c r="F5" s="235"/>
      <c r="G5" s="232"/>
      <c r="H5" s="232"/>
      <c r="I5" s="232"/>
      <c r="J5" s="232"/>
      <c r="K5" s="232"/>
      <c r="L5" s="232"/>
      <c r="M5" s="232"/>
    </row>
    <row r="6" spans="1:21" ht="14.25" customHeight="1">
      <c r="C6" s="236"/>
      <c r="D6" s="15"/>
      <c r="E6" s="15"/>
      <c r="F6" s="238"/>
      <c r="G6" s="15"/>
      <c r="H6" s="15"/>
      <c r="I6" s="15"/>
      <c r="J6" s="15"/>
      <c r="K6" s="15"/>
      <c r="L6" s="15"/>
      <c r="M6" s="15"/>
      <c r="N6" s="30"/>
      <c r="Q6" s="1" t="s">
        <v>317</v>
      </c>
    </row>
    <row r="7" spans="1:21" ht="24.75" customHeight="1">
      <c r="C7" s="239" t="s">
        <v>7</v>
      </c>
      <c r="G7"/>
      <c r="K7"/>
      <c r="N7" s="19"/>
      <c r="U7">
        <f ca="1">PRODUCT(U16,U30,V43,Q51)</f>
        <v>1</v>
      </c>
    </row>
    <row r="8" spans="1:21" ht="48.75" customHeight="1">
      <c r="C8" s="16"/>
      <c r="D8" s="346" t="s">
        <v>11</v>
      </c>
      <c r="E8" s="240" t="s">
        <v>8</v>
      </c>
      <c r="F8" s="240" t="s">
        <v>12</v>
      </c>
      <c r="G8" s="240" t="s">
        <v>9</v>
      </c>
      <c r="H8" s="321" t="s">
        <v>13</v>
      </c>
      <c r="I8" s="321" t="s">
        <v>81</v>
      </c>
      <c r="J8" s="321" t="s">
        <v>140</v>
      </c>
      <c r="K8" s="240" t="s">
        <v>14</v>
      </c>
      <c r="L8" s="321" t="s">
        <v>97</v>
      </c>
      <c r="M8" s="321" t="s">
        <v>98</v>
      </c>
      <c r="N8" s="19"/>
      <c r="Q8" s="177" t="s">
        <v>308</v>
      </c>
      <c r="R8" s="426" t="s">
        <v>13</v>
      </c>
      <c r="S8" s="321" t="s">
        <v>81</v>
      </c>
      <c r="T8" s="321" t="s">
        <v>140</v>
      </c>
      <c r="U8" s="321" t="s">
        <v>425</v>
      </c>
    </row>
    <row r="9" spans="1:21" s="11" customFormat="1" ht="18.75" hidden="1" customHeight="1">
      <c r="A9" s="21"/>
      <c r="B9" s="21"/>
      <c r="C9" s="36"/>
      <c r="D9" s="482"/>
      <c r="E9" s="540"/>
      <c r="F9" s="516"/>
      <c r="G9" s="540"/>
      <c r="H9" s="484"/>
      <c r="I9" s="484"/>
      <c r="J9" s="484"/>
      <c r="K9" s="540"/>
      <c r="L9" s="541"/>
      <c r="M9" s="541"/>
      <c r="N9" s="24"/>
      <c r="O9" s="21"/>
      <c r="Q9" s="279">
        <f>ROW()-9</f>
        <v>0</v>
      </c>
      <c r="R9" s="427"/>
      <c r="S9" s="322"/>
      <c r="T9" s="322"/>
      <c r="U9" s="257"/>
    </row>
    <row r="10" spans="1:21" s="11" customFormat="1">
      <c r="A10" s="21"/>
      <c r="B10" s="21"/>
      <c r="C10" s="36"/>
      <c r="D10" s="512"/>
      <c r="E10" s="512"/>
      <c r="F10" s="517"/>
      <c r="G10" s="512"/>
      <c r="H10" s="542"/>
      <c r="I10" s="542"/>
      <c r="J10" s="542"/>
      <c r="K10" s="512"/>
      <c r="L10" s="543"/>
      <c r="M10" s="543"/>
      <c r="N10" s="24"/>
      <c r="O10" s="21"/>
      <c r="Q10" s="279">
        <f t="shared" ref="Q10:Q30" si="0">ROW()-9</f>
        <v>1</v>
      </c>
      <c r="R10" s="427"/>
      <c r="S10" s="322"/>
      <c r="T10" s="322"/>
      <c r="U10" s="322"/>
    </row>
    <row r="11" spans="1:21" s="11" customFormat="1">
      <c r="A11" s="21"/>
      <c r="B11" s="21"/>
      <c r="C11" s="36"/>
      <c r="D11" s="512"/>
      <c r="E11" s="512"/>
      <c r="F11" s="517"/>
      <c r="G11" s="512"/>
      <c r="H11" s="542"/>
      <c r="I11" s="542"/>
      <c r="J11" s="542"/>
      <c r="K11" s="512"/>
      <c r="L11" s="543"/>
      <c r="M11" s="543"/>
      <c r="N11" s="24"/>
      <c r="O11" s="21"/>
      <c r="Q11" s="279">
        <f t="shared" si="0"/>
        <v>2</v>
      </c>
      <c r="R11" s="427"/>
      <c r="S11" s="322"/>
      <c r="T11" s="322"/>
      <c r="U11" s="322"/>
    </row>
    <row r="12" spans="1:21" s="11" customFormat="1">
      <c r="A12" s="21"/>
      <c r="B12" s="21"/>
      <c r="C12" s="36"/>
      <c r="D12" s="512"/>
      <c r="E12" s="512"/>
      <c r="F12" s="517"/>
      <c r="G12" s="512"/>
      <c r="H12" s="542"/>
      <c r="I12" s="542"/>
      <c r="J12" s="542"/>
      <c r="K12" s="512"/>
      <c r="L12" s="543"/>
      <c r="M12" s="543"/>
      <c r="N12" s="24"/>
      <c r="O12" s="21"/>
      <c r="Q12" s="279">
        <f t="shared" si="0"/>
        <v>3</v>
      </c>
      <c r="R12" s="427"/>
      <c r="S12" s="322"/>
      <c r="T12" s="322"/>
      <c r="U12" s="322"/>
    </row>
    <row r="13" spans="1:21" s="11" customFormat="1">
      <c r="A13" s="21"/>
      <c r="B13" s="21"/>
      <c r="C13" s="36"/>
      <c r="D13" s="512"/>
      <c r="E13" s="512"/>
      <c r="F13" s="517"/>
      <c r="G13" s="512"/>
      <c r="H13" s="542"/>
      <c r="I13" s="542"/>
      <c r="J13" s="542"/>
      <c r="K13" s="512"/>
      <c r="L13" s="543"/>
      <c r="M13" s="543"/>
      <c r="N13" s="24"/>
      <c r="O13" s="21"/>
      <c r="Q13" s="279">
        <f t="shared" si="0"/>
        <v>4</v>
      </c>
      <c r="R13" s="427"/>
      <c r="S13" s="322"/>
      <c r="T13" s="322"/>
      <c r="U13" s="322"/>
    </row>
    <row r="14" spans="1:21" s="11" customFormat="1">
      <c r="A14" s="21"/>
      <c r="B14" s="21"/>
      <c r="C14" s="36"/>
      <c r="D14" s="512"/>
      <c r="E14" s="512"/>
      <c r="F14" s="517"/>
      <c r="G14" s="512"/>
      <c r="H14" s="542"/>
      <c r="I14" s="542"/>
      <c r="J14" s="542"/>
      <c r="K14" s="512"/>
      <c r="L14" s="543"/>
      <c r="M14" s="543"/>
      <c r="N14" s="24"/>
      <c r="O14" s="21"/>
      <c r="Q14" s="279">
        <f t="shared" si="0"/>
        <v>5</v>
      </c>
      <c r="R14" s="427"/>
      <c r="S14" s="322"/>
      <c r="T14" s="322"/>
      <c r="U14" s="322"/>
    </row>
    <row r="15" spans="1:21" s="11" customFormat="1">
      <c r="A15" s="21"/>
      <c r="B15" s="21"/>
      <c r="C15" s="36"/>
      <c r="D15" s="544"/>
      <c r="E15" s="544"/>
      <c r="F15" s="545"/>
      <c r="G15" s="544"/>
      <c r="H15" s="542"/>
      <c r="I15" s="542"/>
      <c r="J15" s="546"/>
      <c r="K15" s="544"/>
      <c r="L15" s="547"/>
      <c r="M15" s="547"/>
      <c r="N15" s="24"/>
      <c r="O15" s="21"/>
      <c r="Q15" s="279">
        <f t="shared" si="0"/>
        <v>6</v>
      </c>
      <c r="R15" s="427"/>
      <c r="S15" s="322"/>
      <c r="T15" s="322"/>
      <c r="U15" s="322"/>
    </row>
    <row r="16" spans="1:21">
      <c r="C16" s="32"/>
      <c r="D16" s="283" t="s">
        <v>26</v>
      </c>
      <c r="E16" s="276"/>
      <c r="F16" s="244"/>
      <c r="G16" s="276"/>
      <c r="H16" s="428">
        <f ca="1">SUM(OFFSET(H$9,0,0,ROW()-ROW(H$9),1))</f>
        <v>0</v>
      </c>
      <c r="I16" s="428">
        <f ca="1">SUM(OFFSET(I$9,0,0,ROW()-ROW(I$9),1))</f>
        <v>0</v>
      </c>
      <c r="J16" s="428">
        <f ca="1">SUM(OFFSET(J$9,0,0,ROW()-ROW(J$9),1))</f>
        <v>0</v>
      </c>
      <c r="K16" s="242"/>
      <c r="L16" s="242"/>
      <c r="M16" s="242"/>
      <c r="N16" s="345"/>
      <c r="Q16" s="279">
        <f t="shared" si="0"/>
        <v>7</v>
      </c>
      <c r="R16" s="257">
        <f ca="1">SUM(OFFSET(H$9,0,0,ROW()-ROW(H$9),1))</f>
        <v>0</v>
      </c>
      <c r="S16" s="257">
        <f t="shared" ref="S16:T16" ca="1" si="1">SUM(OFFSET(I$9,0,0,ROW()-ROW(I$9),1))</f>
        <v>0</v>
      </c>
      <c r="T16" s="257">
        <f t="shared" ca="1" si="1"/>
        <v>0</v>
      </c>
      <c r="U16" s="177" cm="1">
        <f t="array" aca="1" ref="U16" ca="1">IF(SUMPRODUCT(N(H16:J16&lt;&gt;R16:T16))=0,1,0)</f>
        <v>1</v>
      </c>
    </row>
    <row r="17" spans="1:21" ht="15" customHeight="1">
      <c r="C17" s="46"/>
      <c r="D17" s="34"/>
      <c r="E17" s="34"/>
      <c r="F17" s="246"/>
      <c r="G17" s="26"/>
      <c r="H17" s="34"/>
      <c r="I17" s="34"/>
      <c r="J17" s="34"/>
      <c r="K17" s="26"/>
      <c r="L17" s="26"/>
      <c r="M17" s="26"/>
      <c r="N17" s="27"/>
      <c r="Q17" s="279">
        <f t="shared" si="0"/>
        <v>8</v>
      </c>
      <c r="R17" s="427"/>
      <c r="S17" s="322"/>
      <c r="T17" s="322"/>
      <c r="U17" s="322"/>
    </row>
    <row r="18" spans="1:21">
      <c r="D18" s="31"/>
      <c r="E18" s="31"/>
      <c r="F18" s="249"/>
      <c r="H18" s="31"/>
      <c r="I18" s="31"/>
      <c r="J18" s="31"/>
      <c r="Q18" s="279">
        <f t="shared" si="0"/>
        <v>9</v>
      </c>
      <c r="R18" s="427"/>
      <c r="S18" s="322"/>
      <c r="T18" s="322"/>
      <c r="U18" s="322"/>
    </row>
    <row r="19" spans="1:21">
      <c r="D19" s="31"/>
      <c r="E19" s="31"/>
      <c r="F19" s="249"/>
      <c r="H19" s="31"/>
      <c r="I19" s="31"/>
      <c r="J19" s="31"/>
      <c r="Q19" s="279">
        <f t="shared" si="0"/>
        <v>10</v>
      </c>
      <c r="R19" s="427"/>
      <c r="S19" s="322"/>
      <c r="T19" s="322"/>
      <c r="U19" s="322"/>
    </row>
    <row r="20" spans="1:21" ht="14.25" customHeight="1">
      <c r="C20" s="236"/>
      <c r="D20" s="15"/>
      <c r="E20" s="15"/>
      <c r="F20" s="238"/>
      <c r="G20" s="15"/>
      <c r="H20" s="15"/>
      <c r="I20" s="15"/>
      <c r="J20" s="15"/>
      <c r="K20" s="15"/>
      <c r="L20" s="15"/>
      <c r="M20" s="15"/>
      <c r="N20" s="30"/>
      <c r="Q20" s="279">
        <f t="shared" si="0"/>
        <v>11</v>
      </c>
      <c r="R20" s="427"/>
      <c r="S20" s="322"/>
      <c r="T20" s="322"/>
      <c r="U20" s="322"/>
    </row>
    <row r="21" spans="1:21" ht="24.75" customHeight="1">
      <c r="C21" s="239" t="s">
        <v>133</v>
      </c>
      <c r="G21"/>
      <c r="K21"/>
      <c r="N21" s="19"/>
      <c r="Q21" s="279">
        <f t="shared" si="0"/>
        <v>12</v>
      </c>
      <c r="R21" s="427"/>
      <c r="S21" s="322"/>
      <c r="T21" s="322"/>
      <c r="U21" s="322"/>
    </row>
    <row r="22" spans="1:21" ht="48.75" customHeight="1">
      <c r="C22" s="16"/>
      <c r="D22" s="346" t="s">
        <v>102</v>
      </c>
      <c r="E22" s="240" t="s">
        <v>8</v>
      </c>
      <c r="F22" s="240" t="s">
        <v>12</v>
      </c>
      <c r="G22" s="240" t="s">
        <v>9</v>
      </c>
      <c r="H22" s="321" t="s">
        <v>13</v>
      </c>
      <c r="I22" s="321" t="s">
        <v>81</v>
      </c>
      <c r="J22" s="321" t="s">
        <v>140</v>
      </c>
      <c r="K22" s="240" t="s">
        <v>14</v>
      </c>
      <c r="L22" s="321" t="s">
        <v>97</v>
      </c>
      <c r="M22" s="321" t="s">
        <v>98</v>
      </c>
      <c r="N22" s="19"/>
      <c r="Q22" s="279">
        <f t="shared" si="0"/>
        <v>13</v>
      </c>
      <c r="R22" s="427"/>
      <c r="S22" s="322"/>
      <c r="T22" s="322"/>
      <c r="U22" s="322"/>
    </row>
    <row r="23" spans="1:21" s="11" customFormat="1" ht="18.75" hidden="1" customHeight="1">
      <c r="A23" s="21"/>
      <c r="B23" s="21"/>
      <c r="C23" s="36"/>
      <c r="D23" s="482"/>
      <c r="E23" s="540"/>
      <c r="F23" s="516"/>
      <c r="G23" s="540"/>
      <c r="H23" s="484"/>
      <c r="I23" s="484"/>
      <c r="J23" s="484"/>
      <c r="K23" s="540"/>
      <c r="L23" s="541"/>
      <c r="M23" s="541"/>
      <c r="N23" s="24"/>
      <c r="O23" s="21"/>
      <c r="Q23" s="279">
        <f t="shared" si="0"/>
        <v>14</v>
      </c>
      <c r="R23" s="427"/>
      <c r="S23" s="322"/>
      <c r="T23" s="322"/>
      <c r="U23" s="322"/>
    </row>
    <row r="24" spans="1:21" s="11" customFormat="1">
      <c r="A24" s="21"/>
      <c r="B24" s="21"/>
      <c r="C24" s="36"/>
      <c r="D24" s="512"/>
      <c r="E24" s="512"/>
      <c r="F24" s="517"/>
      <c r="G24" s="512"/>
      <c r="H24" s="542"/>
      <c r="I24" s="542"/>
      <c r="J24" s="542"/>
      <c r="K24" s="512"/>
      <c r="L24" s="543"/>
      <c r="M24" s="543"/>
      <c r="N24" s="24"/>
      <c r="O24" s="21"/>
      <c r="Q24" s="279">
        <f t="shared" si="0"/>
        <v>15</v>
      </c>
      <c r="R24" s="427"/>
      <c r="S24" s="322"/>
      <c r="T24" s="322"/>
      <c r="U24" s="322"/>
    </row>
    <row r="25" spans="1:21" s="11" customFormat="1">
      <c r="A25" s="21"/>
      <c r="B25" s="21"/>
      <c r="C25" s="36"/>
      <c r="D25" s="512"/>
      <c r="E25" s="512"/>
      <c r="F25" s="517"/>
      <c r="G25" s="512"/>
      <c r="H25" s="542"/>
      <c r="I25" s="542"/>
      <c r="J25" s="542"/>
      <c r="K25" s="512"/>
      <c r="L25" s="543"/>
      <c r="M25" s="543"/>
      <c r="N25" s="24"/>
      <c r="O25" s="21"/>
      <c r="Q25" s="279">
        <f t="shared" si="0"/>
        <v>16</v>
      </c>
      <c r="R25" s="427"/>
      <c r="S25" s="322"/>
      <c r="T25" s="322"/>
      <c r="U25" s="322"/>
    </row>
    <row r="26" spans="1:21" s="11" customFormat="1">
      <c r="A26" s="21"/>
      <c r="B26" s="21"/>
      <c r="C26" s="36"/>
      <c r="D26" s="512"/>
      <c r="E26" s="512"/>
      <c r="F26" s="517"/>
      <c r="G26" s="512"/>
      <c r="H26" s="542"/>
      <c r="I26" s="542"/>
      <c r="J26" s="542"/>
      <c r="K26" s="512"/>
      <c r="L26" s="543"/>
      <c r="M26" s="543"/>
      <c r="N26" s="24"/>
      <c r="O26" s="21"/>
      <c r="Q26" s="279">
        <f t="shared" si="0"/>
        <v>17</v>
      </c>
      <c r="R26" s="427"/>
      <c r="S26" s="322"/>
      <c r="T26" s="322"/>
      <c r="U26" s="322"/>
    </row>
    <row r="27" spans="1:21" s="11" customFormat="1">
      <c r="A27" s="21"/>
      <c r="B27" s="21"/>
      <c r="C27" s="36"/>
      <c r="D27" s="512"/>
      <c r="E27" s="512"/>
      <c r="F27" s="517"/>
      <c r="G27" s="512"/>
      <c r="H27" s="542"/>
      <c r="I27" s="542"/>
      <c r="J27" s="542"/>
      <c r="K27" s="512"/>
      <c r="L27" s="543"/>
      <c r="M27" s="543"/>
      <c r="N27" s="24"/>
      <c r="O27" s="21"/>
      <c r="Q27" s="279">
        <f t="shared" si="0"/>
        <v>18</v>
      </c>
      <c r="R27" s="427"/>
      <c r="S27" s="322"/>
      <c r="T27" s="322"/>
      <c r="U27" s="322"/>
    </row>
    <row r="28" spans="1:21" s="11" customFormat="1">
      <c r="A28" s="21"/>
      <c r="B28" s="21"/>
      <c r="C28" s="36"/>
      <c r="D28" s="512"/>
      <c r="E28" s="512"/>
      <c r="F28" s="517"/>
      <c r="G28" s="512"/>
      <c r="H28" s="542"/>
      <c r="I28" s="542"/>
      <c r="J28" s="542"/>
      <c r="K28" s="512"/>
      <c r="L28" s="543"/>
      <c r="M28" s="543"/>
      <c r="N28" s="24"/>
      <c r="O28" s="21"/>
      <c r="Q28" s="279">
        <f t="shared" si="0"/>
        <v>19</v>
      </c>
      <c r="R28" s="427"/>
      <c r="S28" s="322"/>
      <c r="T28" s="322"/>
      <c r="U28" s="322"/>
    </row>
    <row r="29" spans="1:21" s="11" customFormat="1">
      <c r="A29" s="21"/>
      <c r="B29" s="21"/>
      <c r="C29" s="36"/>
      <c r="D29" s="544"/>
      <c r="E29" s="544"/>
      <c r="F29" s="545"/>
      <c r="G29" s="544"/>
      <c r="H29" s="542"/>
      <c r="I29" s="542"/>
      <c r="J29" s="546"/>
      <c r="K29" s="544"/>
      <c r="L29" s="547"/>
      <c r="M29" s="547"/>
      <c r="N29" s="24"/>
      <c r="O29" s="21"/>
      <c r="Q29" s="279">
        <f t="shared" si="0"/>
        <v>20</v>
      </c>
      <c r="R29" s="427"/>
      <c r="S29" s="322"/>
      <c r="T29" s="322"/>
      <c r="U29" s="322"/>
    </row>
    <row r="30" spans="1:21">
      <c r="C30" s="32"/>
      <c r="D30" s="283" t="s">
        <v>26</v>
      </c>
      <c r="E30" s="276"/>
      <c r="F30" s="244"/>
      <c r="G30" s="276"/>
      <c r="H30" s="428">
        <f ca="1">SUM(OFFSET(H$23,0,0,ROW()-ROW(H$23),1))</f>
        <v>0</v>
      </c>
      <c r="I30" s="428">
        <f ca="1">SUM(OFFSET(I$23,0,0,ROW()-ROW(I$23),1))</f>
        <v>0</v>
      </c>
      <c r="J30" s="428">
        <f ca="1">SUM(OFFSET(J$23,0,0,ROW()-ROW(J$23),1))</f>
        <v>0</v>
      </c>
      <c r="K30" s="242"/>
      <c r="L30" s="242"/>
      <c r="M30" s="242"/>
      <c r="N30" s="345"/>
      <c r="Q30" s="279">
        <f t="shared" si="0"/>
        <v>21</v>
      </c>
      <c r="R30" s="257">
        <f ca="1">SUM(OFFSET(H$23,0,0,ROW()-ROW(H$23),1))</f>
        <v>0</v>
      </c>
      <c r="S30" s="257">
        <f t="shared" ref="S30:T30" ca="1" si="2">SUM(OFFSET(I$23,0,0,ROW()-ROW(I$23),1))</f>
        <v>0</v>
      </c>
      <c r="T30" s="257">
        <f t="shared" ca="1" si="2"/>
        <v>0</v>
      </c>
      <c r="U30" s="177" cm="1">
        <f t="array" aca="1" ref="U30" ca="1">IF(SUMPRODUCT(N(H30:J30&lt;&gt;R30:T30))=0,1,0)</f>
        <v>1</v>
      </c>
    </row>
    <row r="31" spans="1:21" ht="15" customHeight="1">
      <c r="C31" s="46"/>
      <c r="D31" s="34"/>
      <c r="E31" s="34"/>
      <c r="F31" s="246"/>
      <c r="G31" s="26"/>
      <c r="H31" s="34"/>
      <c r="I31" s="34"/>
      <c r="J31" s="34"/>
      <c r="K31" s="26"/>
      <c r="L31" s="26"/>
      <c r="M31" s="26"/>
      <c r="N31" s="27"/>
    </row>
    <row r="32" spans="1:21">
      <c r="D32" s="31"/>
      <c r="E32" s="31"/>
      <c r="F32" s="249"/>
      <c r="H32" s="31"/>
      <c r="I32" s="31"/>
      <c r="J32" s="31"/>
    </row>
    <row r="33" spans="1:22">
      <c r="D33" s="31"/>
      <c r="E33" s="31"/>
      <c r="F33" s="249"/>
      <c r="H33" s="31"/>
      <c r="I33" s="31"/>
      <c r="J33" s="31"/>
    </row>
    <row r="34" spans="1:22" ht="14.25" customHeight="1">
      <c r="C34" s="236"/>
      <c r="D34" s="15"/>
      <c r="E34" s="15"/>
      <c r="F34" s="238"/>
      <c r="G34" s="15"/>
      <c r="H34" s="15"/>
      <c r="I34" s="15"/>
      <c r="J34" s="15"/>
      <c r="K34" s="15"/>
      <c r="L34" s="15"/>
      <c r="M34" s="15"/>
      <c r="N34" s="15"/>
      <c r="O34" s="30"/>
    </row>
    <row r="35" spans="1:22" ht="24.75" customHeight="1">
      <c r="C35" s="239" t="s">
        <v>92</v>
      </c>
      <c r="G35"/>
      <c r="K35"/>
      <c r="O35" s="19"/>
    </row>
    <row r="36" spans="1:22" ht="61.5" customHeight="1">
      <c r="C36" s="16"/>
      <c r="D36" s="346" t="s">
        <v>102</v>
      </c>
      <c r="E36" s="240" t="s">
        <v>8</v>
      </c>
      <c r="F36" s="240" t="s">
        <v>12</v>
      </c>
      <c r="G36" s="240" t="s">
        <v>9</v>
      </c>
      <c r="H36" s="321" t="s">
        <v>106</v>
      </c>
      <c r="I36" s="321" t="s">
        <v>107</v>
      </c>
      <c r="J36" s="321" t="s">
        <v>141</v>
      </c>
      <c r="K36" s="240" t="s">
        <v>14</v>
      </c>
      <c r="L36" s="321" t="s">
        <v>97</v>
      </c>
      <c r="M36" s="321" t="s">
        <v>104</v>
      </c>
      <c r="N36" s="321" t="s">
        <v>105</v>
      </c>
      <c r="O36" s="19"/>
      <c r="Q36" s="177" t="s">
        <v>308</v>
      </c>
      <c r="R36" s="321" t="s">
        <v>107</v>
      </c>
      <c r="S36" s="321" t="s">
        <v>141</v>
      </c>
      <c r="T36" s="321" t="s">
        <v>104</v>
      </c>
      <c r="U36" s="321" t="s">
        <v>105</v>
      </c>
      <c r="V36" s="321" t="s">
        <v>425</v>
      </c>
    </row>
    <row r="37" spans="1:22" s="11" customFormat="1" ht="18.75" hidden="1" customHeight="1">
      <c r="A37" s="21"/>
      <c r="B37" s="21"/>
      <c r="C37" s="36"/>
      <c r="D37" s="341"/>
      <c r="E37" s="540"/>
      <c r="F37" s="516"/>
      <c r="G37" s="540"/>
      <c r="H37" s="687"/>
      <c r="I37" s="916"/>
      <c r="J37" s="540"/>
      <c r="K37" s="484"/>
      <c r="L37" s="484"/>
      <c r="M37" s="548"/>
      <c r="N37" s="548"/>
      <c r="O37" s="24"/>
      <c r="P37" s="21"/>
      <c r="Q37" s="23">
        <f t="shared" ref="Q37:Q43" si="3">ROW()-ROW(Q$36)</f>
        <v>1</v>
      </c>
      <c r="R37" s="23"/>
      <c r="S37" s="23"/>
      <c r="T37" s="23"/>
      <c r="U37" s="23"/>
      <c r="V37" s="21"/>
    </row>
    <row r="38" spans="1:22" s="11" customFormat="1">
      <c r="A38" s="21"/>
      <c r="B38" s="21"/>
      <c r="C38" s="36"/>
      <c r="D38" s="59" t="s">
        <v>103</v>
      </c>
      <c r="E38" s="512"/>
      <c r="F38" s="517"/>
      <c r="G38" s="512"/>
      <c r="H38" s="553"/>
      <c r="I38" s="917"/>
      <c r="J38" s="549"/>
      <c r="K38" s="542"/>
      <c r="L38" s="542"/>
      <c r="M38" s="542"/>
      <c r="N38" s="542"/>
      <c r="O38" s="24"/>
      <c r="P38" s="21"/>
      <c r="Q38" s="23">
        <f t="shared" si="3"/>
        <v>2</v>
      </c>
      <c r="R38" s="427"/>
      <c r="S38" s="427"/>
      <c r="T38" s="427"/>
      <c r="U38" s="322"/>
      <c r="V38" s="322"/>
    </row>
    <row r="39" spans="1:22" s="11" customFormat="1">
      <c r="A39" s="21"/>
      <c r="B39" s="21"/>
      <c r="C39" s="36"/>
      <c r="D39" s="59" t="s">
        <v>103</v>
      </c>
      <c r="E39" s="512"/>
      <c r="F39" s="517"/>
      <c r="G39" s="512"/>
      <c r="H39" s="553"/>
      <c r="I39" s="917"/>
      <c r="J39" s="549"/>
      <c r="K39" s="542"/>
      <c r="L39" s="542"/>
      <c r="M39" s="542"/>
      <c r="N39" s="542"/>
      <c r="O39" s="24"/>
      <c r="P39" s="21"/>
      <c r="Q39" s="23">
        <f t="shared" si="3"/>
        <v>3</v>
      </c>
      <c r="R39" s="427"/>
      <c r="S39" s="427"/>
      <c r="T39" s="427"/>
      <c r="U39" s="322"/>
      <c r="V39" s="322"/>
    </row>
    <row r="40" spans="1:22" s="11" customFormat="1">
      <c r="A40" s="21"/>
      <c r="B40" s="21"/>
      <c r="C40" s="36"/>
      <c r="D40" s="59" t="s">
        <v>103</v>
      </c>
      <c r="E40" s="512"/>
      <c r="F40" s="517"/>
      <c r="G40" s="512"/>
      <c r="H40" s="553"/>
      <c r="I40" s="917"/>
      <c r="J40" s="549"/>
      <c r="K40" s="542"/>
      <c r="L40" s="542"/>
      <c r="M40" s="542"/>
      <c r="N40" s="542"/>
      <c r="O40" s="24"/>
      <c r="P40" s="21"/>
      <c r="Q40" s="23">
        <f t="shared" si="3"/>
        <v>4</v>
      </c>
      <c r="R40" s="427"/>
      <c r="S40" s="427"/>
      <c r="T40" s="427"/>
      <c r="U40" s="322"/>
      <c r="V40" s="322"/>
    </row>
    <row r="41" spans="1:22" s="11" customFormat="1">
      <c r="A41" s="21"/>
      <c r="B41" s="21"/>
      <c r="C41" s="36"/>
      <c r="D41" s="59" t="s">
        <v>103</v>
      </c>
      <c r="E41" s="512"/>
      <c r="F41" s="517"/>
      <c r="G41" s="512"/>
      <c r="H41" s="553"/>
      <c r="I41" s="917"/>
      <c r="J41" s="549"/>
      <c r="K41" s="542"/>
      <c r="L41" s="542"/>
      <c r="M41" s="542"/>
      <c r="N41" s="542"/>
      <c r="O41" s="24"/>
      <c r="P41" s="21"/>
      <c r="Q41" s="23">
        <f t="shared" si="3"/>
        <v>5</v>
      </c>
      <c r="R41" s="427"/>
      <c r="S41" s="427"/>
      <c r="T41" s="427"/>
      <c r="U41" s="322"/>
      <c r="V41" s="322"/>
    </row>
    <row r="42" spans="1:22" s="11" customFormat="1">
      <c r="A42" s="21"/>
      <c r="B42" s="21"/>
      <c r="C42" s="36"/>
      <c r="D42" s="59" t="s">
        <v>103</v>
      </c>
      <c r="E42" s="512"/>
      <c r="F42" s="517"/>
      <c r="G42" s="512"/>
      <c r="H42" s="553"/>
      <c r="I42" s="917"/>
      <c r="J42" s="549"/>
      <c r="K42" s="542"/>
      <c r="L42" s="542"/>
      <c r="M42" s="542"/>
      <c r="N42" s="542"/>
      <c r="O42" s="24"/>
      <c r="P42" s="21"/>
      <c r="Q42" s="23">
        <f t="shared" si="3"/>
        <v>6</v>
      </c>
      <c r="R42" s="427"/>
      <c r="S42" s="427"/>
      <c r="T42" s="427"/>
      <c r="U42" s="322"/>
      <c r="V42" s="322"/>
    </row>
    <row r="43" spans="1:22">
      <c r="C43" s="32"/>
      <c r="D43" s="283" t="s">
        <v>26</v>
      </c>
      <c r="E43" s="276"/>
      <c r="F43" s="244"/>
      <c r="G43" s="276"/>
      <c r="H43" s="276"/>
      <c r="I43" s="918">
        <f ca="1">SUM(OFFSET(I$37,0,0,ROW()-ROW(I$37),1))</f>
        <v>0</v>
      </c>
      <c r="J43" s="550">
        <f ca="1">SUM(OFFSET(J$37,0,0,ROW()-ROW(J$37),1))</f>
        <v>0</v>
      </c>
      <c r="K43" s="242"/>
      <c r="L43" s="242"/>
      <c r="M43" s="550">
        <f ca="1">SUM(OFFSET(M$37,0,0,ROW()-ROW(M$37),1))</f>
        <v>0</v>
      </c>
      <c r="N43" s="551">
        <f ca="1">SUM(OFFSET(N$37,0,0,ROW()-ROW(N$37),1))</f>
        <v>0</v>
      </c>
      <c r="O43" s="345"/>
      <c r="P43" s="13"/>
      <c r="Q43" s="23">
        <f t="shared" si="3"/>
        <v>7</v>
      </c>
      <c r="R43" s="409">
        <f ca="1">SUM(OFFSET(I$37,0,0,ROW()-ROW(I$37),1))</f>
        <v>0</v>
      </c>
      <c r="S43" s="409">
        <f ca="1">SUM(OFFSET(J$37,0,0,ROW()-ROW(J$37),1))</f>
        <v>0</v>
      </c>
      <c r="T43" s="409">
        <f ca="1">SUM(OFFSET(M$37,0,0,ROW()-ROW(M$37),1))</f>
        <v>0</v>
      </c>
      <c r="U43" s="409">
        <f ca="1">SUM(OFFSET(N$37,0,0,ROW()-ROW(N$37),1))</f>
        <v>0</v>
      </c>
      <c r="V43" s="409" cm="1">
        <f t="array" aca="1" ref="V43" ca="1">IF(SUMPRODUCT(N(I43:J43&lt;&gt;R43:S43))+SUMPRODUCT(N(M43:N43&lt;&gt;T43:U43))=0,1,0)</f>
        <v>1</v>
      </c>
    </row>
    <row r="44" spans="1:22" ht="15" customHeight="1">
      <c r="C44" s="46"/>
      <c r="D44" s="34"/>
      <c r="E44" s="34"/>
      <c r="F44" s="246"/>
      <c r="G44" s="26"/>
      <c r="H44" s="34"/>
      <c r="I44" s="34"/>
      <c r="J44" s="34"/>
      <c r="K44" s="26"/>
      <c r="L44" s="26"/>
      <c r="M44" s="26"/>
      <c r="N44" s="347"/>
      <c r="O44" s="27"/>
      <c r="P44" s="13"/>
      <c r="Q44" s="13"/>
      <c r="R44" s="13"/>
      <c r="S44" s="13"/>
      <c r="T44" s="13"/>
      <c r="U44" s="13"/>
      <c r="V44" s="13"/>
    </row>
    <row r="45" spans="1:22" ht="15" customHeight="1">
      <c r="D45" s="31"/>
      <c r="E45" s="31"/>
      <c r="F45" s="249"/>
      <c r="H45" s="31"/>
      <c r="I45" s="31"/>
      <c r="J45" s="31"/>
      <c r="P45" s="13"/>
      <c r="Q45" s="13"/>
      <c r="R45" s="13"/>
      <c r="S45" s="13"/>
      <c r="T45" s="13"/>
      <c r="U45" s="13"/>
      <c r="V45" s="13"/>
    </row>
    <row r="46" spans="1:22">
      <c r="P46" s="13"/>
      <c r="Q46" s="13"/>
      <c r="R46" s="13"/>
      <c r="S46" s="13"/>
      <c r="T46" s="13"/>
      <c r="U46" s="13"/>
      <c r="V46" s="13"/>
    </row>
    <row r="47" spans="1:22">
      <c r="C47" s="14"/>
      <c r="D47" s="15"/>
      <c r="E47" s="15"/>
      <c r="F47" s="238"/>
      <c r="G47" s="15"/>
      <c r="H47" s="15"/>
      <c r="I47" s="30"/>
      <c r="J47" s="16"/>
      <c r="O47"/>
    </row>
    <row r="48" spans="1:22" ht="21">
      <c r="C48" s="256" t="s">
        <v>142</v>
      </c>
      <c r="E48"/>
      <c r="F48" s="2"/>
      <c r="G48"/>
      <c r="H48"/>
      <c r="I48" s="19"/>
      <c r="J48" s="16"/>
      <c r="O48"/>
      <c r="Q48" s="177" t="s">
        <v>425</v>
      </c>
    </row>
    <row r="49" spans="3:17" ht="25" customHeight="1">
      <c r="C49" s="16"/>
      <c r="D49" s="1009" t="s">
        <v>138</v>
      </c>
      <c r="E49" s="1010"/>
      <c r="F49" s="1010"/>
      <c r="G49" s="1011"/>
      <c r="H49" s="552">
        <f ca="1">SUM(I16,I30,I43)</f>
        <v>0</v>
      </c>
      <c r="I49" s="19"/>
      <c r="J49" s="16"/>
      <c r="O49"/>
      <c r="Q49" s="410">
        <f ca="1">SUM(I16,I30,I43)</f>
        <v>0</v>
      </c>
    </row>
    <row r="50" spans="3:17" ht="25" customHeight="1">
      <c r="C50" s="16"/>
      <c r="D50" s="1009" t="s">
        <v>139</v>
      </c>
      <c r="E50" s="1010"/>
      <c r="F50" s="1010"/>
      <c r="G50" s="1011"/>
      <c r="H50" s="552">
        <f ca="1">SUM(J16,J30,J43)</f>
        <v>0</v>
      </c>
      <c r="I50" s="19"/>
      <c r="J50" s="16"/>
      <c r="O50"/>
      <c r="Q50" s="410">
        <f ca="1">SUM(J16,J30,J43)</f>
        <v>0</v>
      </c>
    </row>
    <row r="51" spans="3:17">
      <c r="C51" s="46"/>
      <c r="D51" s="26"/>
      <c r="E51" s="26"/>
      <c r="F51" s="248"/>
      <c r="G51" s="26"/>
      <c r="H51" s="26"/>
      <c r="I51" s="27"/>
      <c r="J51" s="16"/>
      <c r="O51"/>
      <c r="Q51" cm="1">
        <f t="array" aca="1" ref="Q51" ca="1">IF(SUMPRODUCT(N(H49:H50&lt;&gt;Q49:Q50))=0,1,0)</f>
        <v>1</v>
      </c>
    </row>
  </sheetData>
  <sheetProtection algorithmName="SHA-512" hashValue="e0ke+Y58TrJahWUTlL/zw+fADvR1iHkrHJwGgCI1DWAEHB13fKZi6wS+GQ6ueam4M6p2Y6Qr1OlE8V076uc6yg==" saltValue="cEcQuHIRHcbMEQJ/FGXB2Q==" spinCount="100000" sheet="1" formatCells="0" insertRows="0" deleteRows="0"/>
  <mergeCells count="3">
    <mergeCell ref="B2:M2"/>
    <mergeCell ref="D49:G49"/>
    <mergeCell ref="D50:G50"/>
  </mergeCells>
  <phoneticPr fontId="1"/>
  <conditionalFormatting sqref="D8:M16">
    <cfRule type="expression" dxfId="1323" priority="14">
      <formula>$Q8=""</formula>
    </cfRule>
  </conditionalFormatting>
  <conditionalFormatting sqref="D23:M29">
    <cfRule type="notContainsBlanks" dxfId="1322" priority="8">
      <formula>LEN(TRIM(D23))&gt;0</formula>
    </cfRule>
  </conditionalFormatting>
  <conditionalFormatting sqref="D23:M30">
    <cfRule type="expression" dxfId="1321" priority="9">
      <formula>$Q23=""</formula>
    </cfRule>
  </conditionalFormatting>
  <conditionalFormatting sqref="D36:N43">
    <cfRule type="expression" dxfId="1320" priority="2">
      <formula>$Q36=""</formula>
    </cfRule>
  </conditionalFormatting>
  <conditionalFormatting sqref="E37:N42 D9:M15">
    <cfRule type="notContainsBlanks" dxfId="1319" priority="12">
      <formula>LEN(TRIM(D9))&gt;0</formula>
    </cfRule>
  </conditionalFormatting>
  <conditionalFormatting sqref="H49:H50">
    <cfRule type="expression" dxfId="1318" priority="1">
      <formula>$H49&lt;&gt;$Q49</formula>
    </cfRule>
    <cfRule type="cellIs" dxfId="1317" priority="5" operator="notEqual">
      <formula>0</formula>
    </cfRule>
  </conditionalFormatting>
  <conditionalFormatting sqref="H16:J16">
    <cfRule type="expression" dxfId="1316" priority="16">
      <formula>H$16&lt;&gt;R$16</formula>
    </cfRule>
    <cfRule type="cellIs" dxfId="1315" priority="28" operator="equal">
      <formula>0</formula>
    </cfRule>
  </conditionalFormatting>
  <conditionalFormatting sqref="H30:J30">
    <cfRule type="expression" dxfId="1314" priority="10">
      <formula>H$30&lt;&gt;R$30</formula>
    </cfRule>
    <cfRule type="cellIs" dxfId="1313" priority="11" operator="equal">
      <formula>0</formula>
    </cfRule>
  </conditionalFormatting>
  <conditionalFormatting sqref="I43:J43 M43:N43">
    <cfRule type="cellIs" dxfId="1312" priority="6" operator="notEqual">
      <formula>0</formula>
    </cfRule>
  </conditionalFormatting>
  <conditionalFormatting sqref="I43:J43">
    <cfRule type="expression" dxfId="1311" priority="4">
      <formula>I$43&lt;&gt;R$43</formula>
    </cfRule>
  </conditionalFormatting>
  <conditionalFormatting sqref="M43:N43">
    <cfRule type="expression" dxfId="1310" priority="3">
      <formula>M$43&lt;&gt;T$43</formula>
    </cfRule>
  </conditionalFormatting>
  <dataValidations count="4">
    <dataValidation type="decimal" operator="greaterThanOrEqual" allowBlank="1" showInputMessage="1" showErrorMessage="1" error="数値で入力してください" sqref="K37:L37 H23:J29 H9:J15" xr:uid="{75579E5C-94E1-4602-8B14-0FA9BE44679F}">
      <formula1>0</formula1>
    </dataValidation>
    <dataValidation type="list" allowBlank="1" showInputMessage="1" showErrorMessage="1" sqref="D24:D29" xr:uid="{E13C97E3-F992-4B4F-8BBC-31FEC0AC34FE}">
      <formula1>"小水力発電,風力発電,地熱発電,木質バイオマス発電,バイオマス発電,バイオガス発電,波力発電,潮力発電"</formula1>
    </dataValidation>
    <dataValidation type="decimal" operator="greaterThan" allowBlank="1" showInputMessage="1" showErrorMessage="1" error="数値で入力してください" sqref="M38:M42 N37:N42 I37:J42" xr:uid="{7FE18B13-B695-4A61-A282-D4DA9A6BDBF3}">
      <formula1>0</formula1>
    </dataValidation>
    <dataValidation type="decimal" operator="greaterThanOrEqual" allowBlank="1" showErrorMessage="1" error="数値で入力してください" sqref="H38:H42" xr:uid="{52A17112-0051-444E-83F6-8DDE06DEB916}">
      <formula1>0</formula1>
    </dataValidation>
  </dataValidations>
  <pageMargins left="0.7" right="0.7" top="0.75" bottom="0.75" header="0.3" footer="0.3"/>
  <pageSetup paperSize="8" scale="47" orientation="portrait" r:id="rId1"/>
  <customProperties>
    <customPr name="EpmWorksheetKeyString_GU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F7A94-7324-456D-A2C0-BCE91F70C356}">
  <sheetPr codeName="Sheet20">
    <tabColor theme="7" tint="0.79998168889431442"/>
    <pageSetUpPr autoPageBreaks="0" fitToPage="1"/>
  </sheetPr>
  <dimension ref="A1:S36"/>
  <sheetViews>
    <sheetView showGridLines="0" zoomScaleNormal="100" zoomScaleSheetLayoutView="90" workbookViewId="0"/>
  </sheetViews>
  <sheetFormatPr defaultColWidth="9" defaultRowHeight="18"/>
  <cols>
    <col min="1" max="1" width="1.58203125" style="47" customWidth="1"/>
    <col min="2" max="2" width="1.75" style="47" customWidth="1"/>
    <col min="3" max="3" width="7.83203125" style="47" customWidth="1"/>
    <col min="4" max="4" width="21.5" style="47" customWidth="1"/>
    <col min="5" max="5" width="6.58203125" style="47" customWidth="1"/>
    <col min="6" max="6" width="28.25" style="47" customWidth="1"/>
    <col min="7" max="7" width="6.58203125" style="47" customWidth="1"/>
    <col min="8" max="8" width="27.83203125" style="47" customWidth="1"/>
    <col min="9" max="9" width="4.08203125" style="47" customWidth="1"/>
    <col min="10" max="10" width="13.33203125" style="47" customWidth="1"/>
    <col min="11" max="11" width="9" style="47"/>
    <col min="12" max="12" width="1.75" style="47" hidden="1" customWidth="1"/>
    <col min="13" max="13" width="7.83203125" style="47" hidden="1" customWidth="1"/>
    <col min="14" max="14" width="21.5" style="47" hidden="1" customWidth="1"/>
    <col min="15" max="15" width="6.58203125" style="47" hidden="1" customWidth="1"/>
    <col min="16" max="16" width="28.25" style="47" hidden="1" customWidth="1"/>
    <col min="17" max="17" width="6.58203125" style="47" hidden="1" customWidth="1"/>
    <col min="18" max="18" width="27.83203125" style="47" hidden="1" customWidth="1"/>
    <col min="19" max="19" width="4.08203125" style="47" hidden="1" customWidth="1"/>
  </cols>
  <sheetData>
    <row r="1" spans="1:19" ht="21" customHeight="1">
      <c r="A1" s="135" t="s">
        <v>354</v>
      </c>
      <c r="B1"/>
      <c r="C1" s="134"/>
      <c r="D1" s="134"/>
      <c r="E1" s="134"/>
      <c r="F1" s="134"/>
      <c r="G1" s="134"/>
      <c r="H1" s="134"/>
      <c r="I1" s="134"/>
      <c r="J1" s="92"/>
      <c r="K1"/>
      <c r="L1"/>
      <c r="M1" s="134"/>
      <c r="N1" s="134"/>
      <c r="O1" s="134"/>
      <c r="P1" s="134"/>
      <c r="Q1" s="134"/>
      <c r="R1" s="134"/>
      <c r="S1" s="134"/>
    </row>
    <row r="2" spans="1:19">
      <c r="B2" s="135" t="s">
        <v>52</v>
      </c>
      <c r="J2" s="92"/>
      <c r="K2"/>
      <c r="L2" s="135"/>
    </row>
    <row r="3" spans="1:19" ht="62.25" customHeight="1">
      <c r="B3" s="1028" t="s">
        <v>80</v>
      </c>
      <c r="C3" s="1028"/>
      <c r="D3" s="1028"/>
      <c r="E3" s="1028"/>
      <c r="F3" s="1028"/>
      <c r="G3" s="1028"/>
      <c r="H3" s="1028"/>
      <c r="I3" s="1028"/>
      <c r="J3" s="92"/>
      <c r="K3"/>
      <c r="L3" s="55" t="s">
        <v>317</v>
      </c>
      <c r="M3" s="369"/>
      <c r="N3" s="369"/>
      <c r="O3" s="369"/>
      <c r="P3" s="369"/>
      <c r="Q3" s="369"/>
      <c r="R3" s="369" cm="1">
        <f t="array" aca="1" ref="R3" ca="1">IF(SUMPRODUCT(N(B4:I18&lt;&gt;L4:S18))=0,1,0)</f>
        <v>1</v>
      </c>
      <c r="S3" s="369"/>
    </row>
    <row r="4" spans="1:19">
      <c r="B4" s="136" t="s">
        <v>64</v>
      </c>
      <c r="I4" s="137"/>
      <c r="L4" s="136" t="s">
        <v>462</v>
      </c>
      <c r="S4" s="137"/>
    </row>
    <row r="5" spans="1:19" ht="35.25" customHeight="1">
      <c r="B5" s="93"/>
      <c r="C5" s="1013" t="s">
        <v>172</v>
      </c>
      <c r="D5" s="1014"/>
      <c r="F5" s="138" t="s">
        <v>173</v>
      </c>
      <c r="H5" s="138" t="s">
        <v>174</v>
      </c>
      <c r="I5" s="137"/>
      <c r="L5" s="93"/>
      <c r="M5" s="1013" t="s">
        <v>463</v>
      </c>
      <c r="N5" s="1014"/>
      <c r="P5" s="138" t="s">
        <v>464</v>
      </c>
      <c r="R5" s="138" t="s">
        <v>465</v>
      </c>
      <c r="S5" s="137"/>
    </row>
    <row r="6" spans="1:19">
      <c r="B6" s="93"/>
      <c r="C6" s="1015">
        <f ca="1">IFERROR($F$6+$H$6,0)</f>
        <v>0</v>
      </c>
      <c r="D6" s="1016"/>
      <c r="F6" s="370">
        <f ca="1">IF(F7=0,0,IFERROR(F7/$C$7,0))</f>
        <v>0</v>
      </c>
      <c r="H6" s="370">
        <f ca="1">IF(F7=0,0,IFERROR(H7/$C$7,0))</f>
        <v>0</v>
      </c>
      <c r="I6" s="137"/>
      <c r="L6" s="93"/>
      <c r="M6" s="1025">
        <f ca="1">IFERROR($F$6+$H$6,0)</f>
        <v>0</v>
      </c>
      <c r="N6" s="1026"/>
      <c r="P6" s="139">
        <f ca="1">IF(P7=0,0,IFERROR(P7/$C$7,0))</f>
        <v>0</v>
      </c>
      <c r="R6" s="139">
        <f ca="1">IF(P7=0,0,IFERROR(R7/$C$7,0))</f>
        <v>0</v>
      </c>
      <c r="S6" s="137"/>
    </row>
    <row r="7" spans="1:19" ht="30" customHeight="1">
      <c r="B7" s="93"/>
      <c r="C7" s="1017">
        <f>'4.2民生電力需要量'!$K49</f>
        <v>0</v>
      </c>
      <c r="D7" s="1017"/>
      <c r="E7" s="140" t="s">
        <v>65</v>
      </c>
      <c r="F7" s="371">
        <f ca="1">SUM('4.2電力供給状況(民生部門)'!$F$66:$M$66)</f>
        <v>0</v>
      </c>
      <c r="G7" s="140" t="s">
        <v>66</v>
      </c>
      <c r="H7" s="371">
        <f ca="1">'4.2電力削減量'!$G$66</f>
        <v>0</v>
      </c>
      <c r="I7" s="137"/>
      <c r="L7" s="93"/>
      <c r="M7" s="1027">
        <f>'4.2民生電力需要量'!$K49</f>
        <v>0</v>
      </c>
      <c r="N7" s="1027"/>
      <c r="O7" s="140" t="s">
        <v>466</v>
      </c>
      <c r="P7" s="141">
        <f ca="1">SUM('4.2電力供給状況(民生部門)'!$F$66:$M$66)</f>
        <v>0</v>
      </c>
      <c r="Q7" s="140" t="s">
        <v>467</v>
      </c>
      <c r="R7" s="141">
        <f ca="1">'4.2電力削減量'!$G$66</f>
        <v>0</v>
      </c>
      <c r="S7" s="137"/>
    </row>
    <row r="8" spans="1:19">
      <c r="B8" s="93"/>
      <c r="C8" s="1020" t="s">
        <v>149</v>
      </c>
      <c r="D8" s="1021"/>
      <c r="F8" s="142" t="s">
        <v>148</v>
      </c>
      <c r="G8" s="143"/>
      <c r="H8" s="142" t="s">
        <v>147</v>
      </c>
      <c r="I8" s="137"/>
      <c r="L8" s="93"/>
      <c r="M8" s="1020" t="s">
        <v>468</v>
      </c>
      <c r="N8" s="1021"/>
      <c r="P8" s="142" t="s">
        <v>469</v>
      </c>
      <c r="Q8" s="143"/>
      <c r="R8" s="142" t="s">
        <v>470</v>
      </c>
      <c r="S8" s="137"/>
    </row>
    <row r="9" spans="1:19" ht="34.5" customHeight="1">
      <c r="B9" s="93"/>
      <c r="C9" s="1018" t="s">
        <v>154</v>
      </c>
      <c r="D9" s="1019"/>
      <c r="F9" s="144" t="s">
        <v>146</v>
      </c>
      <c r="G9" s="143"/>
      <c r="H9" s="145" t="s">
        <v>155</v>
      </c>
      <c r="I9" s="137"/>
      <c r="L9" s="93"/>
      <c r="M9" s="1018" t="s">
        <v>471</v>
      </c>
      <c r="N9" s="1019"/>
      <c r="P9" s="144" t="s">
        <v>472</v>
      </c>
      <c r="Q9" s="143"/>
      <c r="R9" s="145" t="s">
        <v>473</v>
      </c>
      <c r="S9" s="137"/>
    </row>
    <row r="10" spans="1:19" ht="28.5" customHeight="1">
      <c r="B10" s="93"/>
      <c r="I10" s="137"/>
      <c r="L10" s="93"/>
      <c r="M10" s="1030"/>
      <c r="N10" s="1030"/>
      <c r="O10" s="1030"/>
      <c r="P10" s="1030"/>
      <c r="Q10" s="1030"/>
      <c r="R10" s="1030"/>
      <c r="S10" s="137"/>
    </row>
    <row r="11" spans="1:19" ht="28.5" customHeight="1">
      <c r="B11" s="93"/>
      <c r="C11" s="146" t="s">
        <v>145</v>
      </c>
      <c r="D11" s="147"/>
      <c r="E11" s="148"/>
      <c r="F11" s="148"/>
      <c r="G11" s="147"/>
      <c r="H11" s="148"/>
      <c r="I11" s="137"/>
      <c r="L11" s="93"/>
      <c r="M11" s="146" t="s">
        <v>474</v>
      </c>
      <c r="N11" s="147"/>
      <c r="O11" s="148"/>
      <c r="P11" s="148"/>
      <c r="Q11" s="147"/>
      <c r="R11" s="148"/>
      <c r="S11" s="137"/>
    </row>
    <row r="12" spans="1:19" ht="37.5" customHeight="1">
      <c r="B12" s="93"/>
      <c r="C12" s="1022" t="s">
        <v>158</v>
      </c>
      <c r="D12" s="1022"/>
      <c r="F12" s="149" t="s">
        <v>552</v>
      </c>
      <c r="H12" s="150" t="s">
        <v>150</v>
      </c>
      <c r="I12" s="137"/>
      <c r="L12" s="93"/>
      <c r="M12" s="1022" t="s">
        <v>475</v>
      </c>
      <c r="N12" s="1022"/>
      <c r="P12" s="149" t="s">
        <v>552</v>
      </c>
      <c r="R12" s="150" t="s">
        <v>476</v>
      </c>
      <c r="S12" s="137"/>
    </row>
    <row r="13" spans="1:19" ht="28.5" customHeight="1" thickBot="1">
      <c r="B13" s="93"/>
      <c r="C13" s="1023">
        <f>'4.2対象地域の民生需要家数等'!$H$15</f>
        <v>0</v>
      </c>
      <c r="D13" s="1023"/>
      <c r="F13" s="372">
        <f ca="1">'4.1(2)新規再エネ導入予定（設備情報）'!J178</f>
        <v>0</v>
      </c>
      <c r="H13" s="373">
        <f ca="1">'4.2電力供給状況(民生部門)'!$D$72</f>
        <v>0</v>
      </c>
      <c r="I13" s="137"/>
      <c r="L13" s="93"/>
      <c r="M13" s="1031">
        <f>'4.2対象地域の民生需要家数等'!$H$15</f>
        <v>0</v>
      </c>
      <c r="N13" s="1031"/>
      <c r="P13" s="151">
        <f ca="1">'4.1(2)新規再エネ導入予定（設備情報）'!J178</f>
        <v>0</v>
      </c>
      <c r="R13" s="152">
        <f ca="1">'4.2電力供給状況(民生部門)'!$D$72</f>
        <v>0</v>
      </c>
      <c r="S13" s="137"/>
    </row>
    <row r="14" spans="1:19" ht="36.5" thickTop="1">
      <c r="B14" s="93"/>
      <c r="C14" s="1024" t="s">
        <v>157</v>
      </c>
      <c r="D14" s="1024"/>
      <c r="F14" s="149" t="s">
        <v>553</v>
      </c>
      <c r="H14" s="150" t="s">
        <v>153</v>
      </c>
      <c r="I14" s="137"/>
      <c r="L14" s="93"/>
      <c r="M14" s="1024" t="s">
        <v>477</v>
      </c>
      <c r="N14" s="1024"/>
      <c r="P14" s="149" t="s">
        <v>553</v>
      </c>
      <c r="R14" s="150" t="s">
        <v>478</v>
      </c>
      <c r="S14" s="137"/>
    </row>
    <row r="15" spans="1:19" ht="28.5" customHeight="1">
      <c r="B15" s="93"/>
      <c r="C15" s="1012" t="str">
        <f>'4.2対象地域の民生需要家数等'!$G$15</f>
        <v/>
      </c>
      <c r="D15" s="1012"/>
      <c r="F15" s="372">
        <f ca="1">'4.1(3)活用可能な既存の再エネ発電設備'!$H$50</f>
        <v>0</v>
      </c>
      <c r="H15" s="372">
        <f ca="1">SUM('4.2電力供給状況(民生部門)'!$G$66,'4.2電力供給状況(民生部門)'!$I$66,'4.2電力供給状況(民生部門)'!$K$66)</f>
        <v>0</v>
      </c>
      <c r="I15" s="137"/>
      <c r="L15" s="93"/>
      <c r="M15" s="1029" t="str">
        <f>'4.2対象地域の民生需要家数等'!$G$15</f>
        <v/>
      </c>
      <c r="N15" s="1029"/>
      <c r="P15" s="151">
        <f ca="1">'4.1(3)活用可能な既存の再エネ発電設備'!$H$50</f>
        <v>0</v>
      </c>
      <c r="R15" s="151">
        <f ca="1">SUM('4.2電力供給状況(民生部門)'!$G$66,'4.2電力供給状況(民生部門)'!$I$66,'4.2電力供給状況(民生部門)'!$K$66)</f>
        <v>0</v>
      </c>
      <c r="S15" s="137"/>
    </row>
    <row r="16" spans="1:19" ht="36">
      <c r="B16" s="93"/>
      <c r="F16" s="153" t="s">
        <v>156</v>
      </c>
      <c r="H16" s="150" t="s">
        <v>152</v>
      </c>
      <c r="I16" s="137"/>
      <c r="L16" s="93"/>
      <c r="P16" s="153" t="s">
        <v>479</v>
      </c>
      <c r="R16" s="150" t="s">
        <v>480</v>
      </c>
      <c r="S16" s="137"/>
    </row>
    <row r="17" spans="2:19" ht="28.5" customHeight="1" thickBot="1">
      <c r="B17" s="93"/>
      <c r="F17" s="373">
        <f ca="1">$F$13+$F$15</f>
        <v>0</v>
      </c>
      <c r="H17" s="373">
        <f ca="1">'4.2電力供給状況(民生部門)'!$L$66</f>
        <v>0</v>
      </c>
      <c r="I17" s="137"/>
      <c r="L17" s="93"/>
      <c r="P17" s="152">
        <f ca="1">$F$13+$F$15</f>
        <v>0</v>
      </c>
      <c r="R17" s="152">
        <f ca="1">'4.2電力供給状況(民生部門)'!$L$66</f>
        <v>0</v>
      </c>
      <c r="S17" s="137"/>
    </row>
    <row r="18" spans="2:19" ht="11.15" customHeight="1" thickTop="1">
      <c r="B18" s="154"/>
      <c r="C18" s="55"/>
      <c r="D18" s="55"/>
      <c r="E18" s="55"/>
      <c r="F18" s="55"/>
      <c r="G18" s="55"/>
      <c r="H18" s="55"/>
      <c r="I18" s="155"/>
      <c r="L18" s="154"/>
      <c r="M18" s="55"/>
      <c r="N18" s="55"/>
      <c r="O18" s="55"/>
      <c r="P18" s="55"/>
      <c r="Q18" s="55"/>
      <c r="R18" s="55"/>
      <c r="S18" s="155"/>
    </row>
    <row r="19" spans="2:19" ht="28.5" customHeight="1">
      <c r="B19" s="87"/>
      <c r="C19" s="156"/>
      <c r="D19" s="156"/>
      <c r="E19" s="87"/>
      <c r="F19" s="87"/>
      <c r="G19" s="87"/>
      <c r="H19" s="87"/>
      <c r="I19" s="87"/>
      <c r="L19" s="87"/>
      <c r="M19" s="156"/>
      <c r="N19" s="156"/>
      <c r="O19" s="87"/>
      <c r="P19" s="87"/>
      <c r="Q19" s="87"/>
      <c r="R19" s="87"/>
      <c r="S19" s="87"/>
    </row>
    <row r="22" spans="2:19">
      <c r="D22" s="157"/>
      <c r="E22" s="157"/>
      <c r="F22" s="157"/>
      <c r="N22" s="157"/>
      <c r="O22" s="157"/>
      <c r="P22" s="157"/>
    </row>
    <row r="23" spans="2:19">
      <c r="D23" s="157"/>
      <c r="E23" s="157"/>
      <c r="F23" s="157"/>
      <c r="N23" s="157"/>
      <c r="O23" s="157"/>
      <c r="P23" s="157"/>
    </row>
    <row r="24" spans="2:19">
      <c r="D24" s="157"/>
      <c r="E24" s="157"/>
      <c r="F24" s="157"/>
      <c r="N24" s="157"/>
      <c r="O24" s="157"/>
      <c r="P24" s="157"/>
    </row>
    <row r="25" spans="2:19">
      <c r="D25" s="157"/>
      <c r="E25" s="157"/>
      <c r="F25" s="157"/>
      <c r="N25" s="157"/>
      <c r="O25" s="157"/>
      <c r="P25" s="157"/>
    </row>
    <row r="26" spans="2:19">
      <c r="D26" s="157"/>
      <c r="E26" s="157"/>
      <c r="F26" s="157"/>
      <c r="N26" s="157"/>
      <c r="O26" s="157"/>
      <c r="P26" s="157"/>
    </row>
    <row r="27" spans="2:19">
      <c r="D27" s="157"/>
      <c r="E27" s="157"/>
      <c r="F27" s="157"/>
      <c r="N27" s="157"/>
      <c r="O27" s="157"/>
      <c r="P27" s="157"/>
    </row>
    <row r="28" spans="2:19">
      <c r="D28" s="157"/>
      <c r="E28" s="157"/>
      <c r="F28" s="157"/>
      <c r="N28" s="157"/>
      <c r="O28" s="157"/>
      <c r="P28" s="157"/>
    </row>
    <row r="29" spans="2:19">
      <c r="D29" s="157"/>
      <c r="E29" s="157"/>
      <c r="F29" s="157"/>
      <c r="N29" s="157"/>
      <c r="O29" s="157"/>
      <c r="P29" s="157"/>
    </row>
    <row r="30" spans="2:19">
      <c r="D30" s="157"/>
      <c r="E30" s="157"/>
      <c r="F30" s="157"/>
      <c r="N30" s="157"/>
      <c r="O30" s="157"/>
      <c r="P30" s="157"/>
    </row>
    <row r="31" spans="2:19">
      <c r="D31" s="157"/>
      <c r="E31" s="157"/>
      <c r="F31" s="157"/>
      <c r="N31" s="157"/>
      <c r="O31" s="157"/>
      <c r="P31" s="157"/>
    </row>
    <row r="32" spans="2:19">
      <c r="D32" s="157"/>
      <c r="E32" s="157"/>
      <c r="F32" s="157"/>
      <c r="N32" s="157"/>
      <c r="O32" s="157"/>
      <c r="P32" s="157"/>
    </row>
    <row r="33" spans="4:16" s="47" customFormat="1" ht="13">
      <c r="D33" s="157"/>
      <c r="E33" s="157"/>
      <c r="F33" s="157"/>
      <c r="N33" s="157"/>
      <c r="O33" s="157"/>
      <c r="P33" s="157"/>
    </row>
    <row r="34" spans="4:16" s="47" customFormat="1" ht="13">
      <c r="D34" s="157"/>
      <c r="E34" s="157"/>
      <c r="F34" s="157"/>
      <c r="N34" s="157"/>
      <c r="O34" s="157"/>
      <c r="P34" s="157"/>
    </row>
    <row r="35" spans="4:16" s="47" customFormat="1" ht="13">
      <c r="D35" s="157"/>
      <c r="E35" s="157"/>
      <c r="F35" s="157"/>
      <c r="N35" s="157"/>
      <c r="O35" s="157"/>
      <c r="P35" s="157"/>
    </row>
    <row r="36" spans="4:16" s="47" customFormat="1" ht="13">
      <c r="D36" s="157"/>
      <c r="E36" s="157"/>
      <c r="F36" s="157"/>
      <c r="N36" s="157"/>
      <c r="O36" s="157"/>
      <c r="P36" s="157"/>
    </row>
  </sheetData>
  <sheetProtection algorithmName="SHA-512" hashValue="ZuioLKFb2li+e31FAkAZ7vzVstRcuv42nws58zWkhJxsxThM4ZFr7WOijZ64T1LyLltpebT5Vb9Uj+lo8k1rUg==" saltValue="S3FTjFVos8tMk3oNEXJ6+w==" spinCount="100000" sheet="1" formatCells="0"/>
  <mergeCells count="20">
    <mergeCell ref="M15:N15"/>
    <mergeCell ref="M9:N9"/>
    <mergeCell ref="M10:R10"/>
    <mergeCell ref="M12:N12"/>
    <mergeCell ref="M13:N13"/>
    <mergeCell ref="M14:N14"/>
    <mergeCell ref="M5:N5"/>
    <mergeCell ref="M6:N6"/>
    <mergeCell ref="M7:N7"/>
    <mergeCell ref="M8:N8"/>
    <mergeCell ref="B3:I3"/>
    <mergeCell ref="C15:D15"/>
    <mergeCell ref="C5:D5"/>
    <mergeCell ref="C6:D6"/>
    <mergeCell ref="C7:D7"/>
    <mergeCell ref="C9:D9"/>
    <mergeCell ref="C8:D8"/>
    <mergeCell ref="C12:D12"/>
    <mergeCell ref="C13:D13"/>
    <mergeCell ref="C14:D14"/>
  </mergeCells>
  <phoneticPr fontId="1"/>
  <conditionalFormatting sqref="B4:I18">
    <cfRule type="expression" dxfId="1309" priority="1">
      <formula>B4&lt;&gt;L4</formula>
    </cfRule>
  </conditionalFormatting>
  <conditionalFormatting sqref="C6:D7 F6:F7 H6:H7">
    <cfRule type="cellIs" dxfId="1308" priority="15" operator="equal">
      <formula>0</formula>
    </cfRule>
  </conditionalFormatting>
  <conditionalFormatting sqref="C13:D13 C15:D15">
    <cfRule type="containsBlanks" dxfId="1307" priority="29">
      <formula>LEN(TRIM(C13))=0</formula>
    </cfRule>
  </conditionalFormatting>
  <conditionalFormatting sqref="C13:D13">
    <cfRule type="cellIs" dxfId="1306" priority="14" operator="equal">
      <formula>0</formula>
    </cfRule>
  </conditionalFormatting>
  <conditionalFormatting sqref="C15:D15">
    <cfRule type="cellIs" dxfId="1305" priority="25" operator="equal">
      <formula>0</formula>
    </cfRule>
  </conditionalFormatting>
  <conditionalFormatting sqref="F13">
    <cfRule type="cellIs" dxfId="1304" priority="24" operator="equal">
      <formula>0</formula>
    </cfRule>
  </conditionalFormatting>
  <conditionalFormatting sqref="F15 F17">
    <cfRule type="cellIs" dxfId="1303" priority="23" operator="equal">
      <formula>0</formula>
    </cfRule>
  </conditionalFormatting>
  <conditionalFormatting sqref="H13">
    <cfRule type="cellIs" dxfId="1302" priority="22" operator="equal">
      <formula>0</formula>
    </cfRule>
  </conditionalFormatting>
  <conditionalFormatting sqref="H15">
    <cfRule type="cellIs" dxfId="1301" priority="21" operator="equal">
      <formula>0</formula>
    </cfRule>
  </conditionalFormatting>
  <conditionalFormatting sqref="H17">
    <cfRule type="cellIs" dxfId="1300" priority="20" operator="equal">
      <formula>0</formula>
    </cfRule>
  </conditionalFormatting>
  <pageMargins left="0.7" right="0.7" top="0.75" bottom="0.75" header="0.3" footer="0.3"/>
  <pageSetup paperSize="8" scale="83" orientation="landscape" r:id="rId1"/>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EEC60-0A22-447C-9B07-375F53B66C9F}">
  <sheetPr codeName="Sheet16">
    <tabColor theme="7" tint="0.79998168889431442"/>
    <pageSetUpPr autoPageBreaks="0" fitToPage="1"/>
  </sheetPr>
  <dimension ref="A1:N55"/>
  <sheetViews>
    <sheetView showGridLines="0" zoomScaleNormal="100" zoomScaleSheetLayoutView="90" workbookViewId="0"/>
  </sheetViews>
  <sheetFormatPr defaultColWidth="9" defaultRowHeight="18"/>
  <cols>
    <col min="1" max="1" width="3.08203125" style="11" customWidth="1"/>
    <col min="2" max="2" width="0.83203125" style="11" customWidth="1"/>
    <col min="3" max="3" width="9.58203125" style="11" customWidth="1"/>
    <col min="4" max="4" width="9" style="11" customWidth="1"/>
    <col min="5" max="5" width="20.25" style="11" customWidth="1"/>
    <col min="6" max="8" width="19.08203125" style="11" customWidth="1"/>
    <col min="9" max="9" width="0.83203125" style="11" customWidth="1"/>
    <col min="10" max="10" width="2.58203125" style="11" customWidth="1"/>
    <col min="11" max="12" width="9" style="11"/>
    <col min="13" max="13" width="19.75" style="11" hidden="1" customWidth="1"/>
    <col min="14" max="14" width="9" style="11" hidden="1" customWidth="1"/>
    <col min="15" max="16384" width="9" style="11"/>
  </cols>
  <sheetData>
    <row r="1" spans="1:14">
      <c r="A1" s="158" t="s">
        <v>355</v>
      </c>
      <c r="C1" s="21"/>
      <c r="D1" s="865"/>
      <c r="E1" s="158"/>
      <c r="F1" s="865"/>
      <c r="G1" s="865"/>
    </row>
    <row r="2" spans="1:14" ht="21" customHeight="1">
      <c r="A2" s="21" t="s">
        <v>2</v>
      </c>
      <c r="B2" s="21"/>
      <c r="C2" s="21"/>
      <c r="D2" s="21"/>
      <c r="E2" s="21"/>
      <c r="F2" s="21"/>
      <c r="G2" s="21"/>
      <c r="H2" s="21"/>
      <c r="I2" s="21"/>
    </row>
    <row r="3" spans="1:14" ht="21" customHeight="1">
      <c r="A3" s="21"/>
      <c r="B3" s="21"/>
      <c r="C3" s="21"/>
      <c r="D3" s="21"/>
      <c r="E3" s="21"/>
      <c r="F3" s="21"/>
      <c r="G3" s="21"/>
      <c r="H3" s="21"/>
      <c r="I3" s="21"/>
      <c r="J3" s="21"/>
      <c r="K3" s="21"/>
    </row>
    <row r="4" spans="1:14">
      <c r="A4" s="21"/>
      <c r="B4" s="21"/>
      <c r="C4" s="21"/>
      <c r="D4" s="21"/>
      <c r="E4" s="21"/>
      <c r="F4" s="21"/>
      <c r="G4" s="21"/>
    </row>
    <row r="5" spans="1:14">
      <c r="A5" s="21"/>
      <c r="B5" s="21"/>
      <c r="C5" s="21"/>
      <c r="D5" s="21"/>
      <c r="E5" s="21"/>
      <c r="F5" s="21"/>
      <c r="G5" s="21"/>
      <c r="H5" s="21"/>
      <c r="I5" s="21"/>
    </row>
    <row r="6" spans="1:14">
      <c r="B6" s="866" t="s">
        <v>307</v>
      </c>
      <c r="C6" s="21"/>
      <c r="D6" s="21"/>
      <c r="E6" s="21"/>
      <c r="F6" s="21"/>
      <c r="G6" s="21"/>
    </row>
    <row r="7" spans="1:14" ht="16.5" customHeight="1">
      <c r="C7" s="866"/>
      <c r="D7" s="866"/>
      <c r="E7" s="866"/>
      <c r="F7" s="866"/>
      <c r="G7" s="866"/>
      <c r="H7" s="866"/>
      <c r="I7" s="866"/>
    </row>
    <row r="8" spans="1:14" ht="15.75" customHeight="1">
      <c r="B8" s="867"/>
      <c r="C8" s="868"/>
      <c r="D8" s="869"/>
      <c r="E8" s="868"/>
      <c r="F8" s="869"/>
      <c r="G8" s="869"/>
      <c r="H8" s="869"/>
      <c r="I8" s="857"/>
    </row>
    <row r="9" spans="1:14" ht="45" customHeight="1">
      <c r="B9" s="22"/>
      <c r="C9" s="1033"/>
      <c r="D9" s="1034"/>
      <c r="E9" s="1035"/>
      <c r="F9" s="863" t="s">
        <v>6</v>
      </c>
      <c r="G9" s="864" t="s">
        <v>3</v>
      </c>
      <c r="H9" s="864" t="s">
        <v>4</v>
      </c>
      <c r="I9" s="100"/>
      <c r="M9" s="160" t="s">
        <v>317</v>
      </c>
      <c r="N9" s="11" cm="1">
        <f t="array" ref="N9">IF(SUMPRODUCT(N(G10:G15&lt;&gt;N10:N15))=0,1,0)</f>
        <v>1</v>
      </c>
    </row>
    <row r="10" spans="1:14" ht="39" customHeight="1">
      <c r="B10" s="22"/>
      <c r="C10" s="1036" t="s">
        <v>171</v>
      </c>
      <c r="D10" s="1037"/>
      <c r="E10" s="1038"/>
      <c r="F10" s="69"/>
      <c r="G10" s="163" t="str">
        <f>IFERROR(F10/H10,"")</f>
        <v/>
      </c>
      <c r="H10" s="70"/>
      <c r="I10" s="100"/>
      <c r="M10" s="437" t="s">
        <v>461</v>
      </c>
      <c r="N10" s="368" t="str">
        <f>IFERROR(F10/H10,"")</f>
        <v/>
      </c>
    </row>
    <row r="11" spans="1:14" ht="38.25" customHeight="1">
      <c r="B11" s="22"/>
      <c r="C11" s="1039" t="s">
        <v>5</v>
      </c>
      <c r="D11" s="1042" t="s">
        <v>167</v>
      </c>
      <c r="E11" s="1043"/>
      <c r="F11" s="69"/>
      <c r="G11" s="163" t="str">
        <f t="shared" ref="G11:G15" si="0">IFERROR(F11/H11,"")</f>
        <v/>
      </c>
      <c r="H11" s="70"/>
      <c r="I11" s="100"/>
      <c r="M11" s="437" t="s">
        <v>167</v>
      </c>
      <c r="N11" s="368" t="str">
        <f t="shared" ref="N11:N15" si="1">IFERROR(F11/H11,"")</f>
        <v/>
      </c>
    </row>
    <row r="12" spans="1:14" ht="38.25" customHeight="1">
      <c r="B12" s="22"/>
      <c r="C12" s="1040"/>
      <c r="D12" s="1042" t="s">
        <v>169</v>
      </c>
      <c r="E12" s="1043"/>
      <c r="F12" s="69"/>
      <c r="G12" s="163" t="str">
        <f t="shared" si="0"/>
        <v/>
      </c>
      <c r="H12" s="70"/>
      <c r="I12" s="100"/>
      <c r="M12" s="437" t="s">
        <v>169</v>
      </c>
      <c r="N12" s="368" t="str">
        <f t="shared" si="1"/>
        <v/>
      </c>
    </row>
    <row r="13" spans="1:14" ht="38.25" customHeight="1">
      <c r="B13" s="22"/>
      <c r="C13" s="1040"/>
      <c r="D13" s="1042" t="s">
        <v>168</v>
      </c>
      <c r="E13" s="1043"/>
      <c r="F13" s="69"/>
      <c r="G13" s="163" t="str">
        <f t="shared" si="0"/>
        <v/>
      </c>
      <c r="H13" s="70"/>
      <c r="I13" s="100"/>
      <c r="M13" s="437" t="s">
        <v>168</v>
      </c>
      <c r="N13" s="368" t="str">
        <f t="shared" si="1"/>
        <v/>
      </c>
    </row>
    <row r="14" spans="1:14" ht="38.25" customHeight="1">
      <c r="B14" s="22"/>
      <c r="C14" s="1041"/>
      <c r="D14" s="1042" t="s">
        <v>170</v>
      </c>
      <c r="E14" s="1043"/>
      <c r="F14" s="69"/>
      <c r="G14" s="163" t="str">
        <f t="shared" si="0"/>
        <v/>
      </c>
      <c r="H14" s="70"/>
      <c r="I14" s="100"/>
      <c r="M14" s="437" t="s">
        <v>170</v>
      </c>
      <c r="N14" s="368" t="str">
        <f t="shared" si="1"/>
        <v/>
      </c>
    </row>
    <row r="15" spans="1:14" ht="39" customHeight="1">
      <c r="B15" s="22"/>
      <c r="C15" s="1032" t="s">
        <v>236</v>
      </c>
      <c r="D15" s="1032"/>
      <c r="E15" s="1032"/>
      <c r="F15" s="69"/>
      <c r="G15" s="163" t="str">
        <f t="shared" si="0"/>
        <v/>
      </c>
      <c r="H15" s="70"/>
      <c r="I15" s="100"/>
      <c r="M15" s="437" t="s">
        <v>236</v>
      </c>
      <c r="N15" s="368" t="str">
        <f t="shared" si="1"/>
        <v/>
      </c>
    </row>
    <row r="16" spans="1:14" ht="16.5" customHeight="1">
      <c r="B16" s="870"/>
      <c r="C16" s="871"/>
      <c r="D16" s="871"/>
      <c r="E16" s="871"/>
      <c r="F16" s="871"/>
      <c r="G16" s="871"/>
      <c r="H16" s="871"/>
      <c r="I16" s="858"/>
    </row>
    <row r="17" ht="34.5" customHeight="1"/>
    <row r="19" ht="36.75" customHeight="1"/>
    <row r="20" ht="42" customHeight="1"/>
    <row r="21" ht="45" customHeight="1"/>
    <row r="22" ht="45" customHeight="1"/>
    <row r="23" ht="45" customHeight="1"/>
    <row r="24" ht="43.5" customHeight="1"/>
    <row r="25" ht="18.75" customHeight="1"/>
    <row r="27" ht="18.75" customHeight="1"/>
    <row r="28" ht="31.5" customHeight="1"/>
    <row r="29" ht="31.5" customHeight="1"/>
    <row r="30" ht="31.5" customHeight="1"/>
    <row r="32" ht="40.5" customHeight="1"/>
    <row r="37" ht="41.25" customHeight="1"/>
    <row r="38" ht="25.5" customHeight="1"/>
    <row r="39" ht="35.15" customHeight="1"/>
    <row r="40" ht="6.65" customHeight="1"/>
    <row r="42" ht="27" customHeight="1"/>
    <row r="43" ht="27" customHeight="1"/>
    <row r="44" ht="27" customHeight="1"/>
    <row r="45" ht="27" customHeight="1"/>
    <row r="46" ht="27" customHeight="1"/>
    <row r="47" ht="27" customHeight="1"/>
    <row r="48" ht="27" customHeight="1"/>
    <row r="49" ht="27" customHeight="1"/>
    <row r="50" ht="27" customHeight="1"/>
    <row r="51" ht="27" customHeight="1"/>
    <row r="52" ht="27" customHeight="1"/>
    <row r="53" ht="6.65" customHeight="1"/>
    <row r="55" ht="65.25" customHeight="1"/>
  </sheetData>
  <sheetProtection algorithmName="SHA-512" hashValue="jtwxY+gnfb2LxbGHCEdx1VeBfAnt/fYFhQFWr0KC+9c/h+lEVVogdVigM5s9KH8qyLswe6G5cfpIZe3D4Mvo2Q==" saltValue="ZyGVRDFszkIt/9QXurlHzQ==" spinCount="100000" sheet="1" formatCells="0" insertRows="0" deleteRows="0"/>
  <mergeCells count="8">
    <mergeCell ref="C15:E15"/>
    <mergeCell ref="C9:E9"/>
    <mergeCell ref="C10:E10"/>
    <mergeCell ref="C11:C14"/>
    <mergeCell ref="D11:E11"/>
    <mergeCell ref="D12:E12"/>
    <mergeCell ref="D13:E13"/>
    <mergeCell ref="D14:E14"/>
  </mergeCells>
  <phoneticPr fontId="1"/>
  <conditionalFormatting sqref="D10 F10:F15 H10:H15 D15">
    <cfRule type="notContainsBlanks" dxfId="1299" priority="16" stopIfTrue="1">
      <formula>LEN(TRIM(D10))&gt;0</formula>
    </cfRule>
    <cfRule type="containsBlanks" dxfId="1298" priority="17">
      <formula>LEN(TRIM(D10))=0</formula>
    </cfRule>
    <cfRule type="cellIs" dxfId="1297" priority="18" operator="greaterThan">
      <formula>0</formula>
    </cfRule>
  </conditionalFormatting>
  <conditionalFormatting sqref="G10:G15">
    <cfRule type="expression" dxfId="1296" priority="1">
      <formula>$G10&lt;&gt;$N10</formula>
    </cfRule>
    <cfRule type="cellIs" dxfId="1295" priority="28" operator="equal">
      <formula>""</formula>
    </cfRule>
  </conditionalFormatting>
  <dataValidations count="1">
    <dataValidation type="decimal" operator="greaterThanOrEqual" allowBlank="1" showInputMessage="1" showErrorMessage="1" error="数値で入力してください" sqref="H10:H15 D15 F10:F15 D10" xr:uid="{627B6914-DF0F-4007-882D-225CE3647523}">
      <formula1>0</formula1>
    </dataValidation>
  </dataValidations>
  <pageMargins left="0.7" right="0.7" top="0.75" bottom="0.75" header="0.3" footer="0.3"/>
  <pageSetup paperSize="8" scale="47" orientation="landscape" r:id="rId1"/>
  <customProperties>
    <customPr name="EpmWorksheetKeyString_GU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DF418-9CCB-49D5-98A6-01D0E7B6923C}">
  <sheetPr codeName="Sheet22">
    <tabColor theme="7" tint="0.79998168889431442"/>
    <pageSetUpPr autoPageBreaks="0" fitToPage="1"/>
  </sheetPr>
  <dimension ref="A1:Y175"/>
  <sheetViews>
    <sheetView showGridLines="0" zoomScaleNormal="100" zoomScaleSheetLayoutView="90" workbookViewId="0"/>
  </sheetViews>
  <sheetFormatPr defaultColWidth="9" defaultRowHeight="18"/>
  <cols>
    <col min="1" max="2" width="2.33203125" customWidth="1"/>
    <col min="3" max="3" width="0.83203125" style="13" customWidth="1"/>
    <col min="4" max="4" width="5.75" style="13" customWidth="1"/>
    <col min="5" max="5" width="24.33203125" style="13" customWidth="1"/>
    <col min="6" max="6" width="19.33203125" style="13" customWidth="1"/>
    <col min="7" max="7" width="11.58203125" style="13" customWidth="1"/>
    <col min="8" max="8" width="18.33203125" style="13" customWidth="1"/>
    <col min="9" max="12" width="15.83203125" style="231" customWidth="1"/>
    <col min="13" max="13" width="21.75" style="13" customWidth="1"/>
    <col min="14" max="14" width="0.83203125" style="13" customWidth="1"/>
    <col min="15" max="15" width="10.83203125" style="13" customWidth="1"/>
    <col min="16" max="16" width="5.75" hidden="1" customWidth="1"/>
    <col min="17" max="17" width="24.33203125" hidden="1" customWidth="1"/>
    <col min="18" max="18" width="19.33203125" hidden="1" customWidth="1"/>
    <col min="19" max="19" width="11.58203125" hidden="1" customWidth="1"/>
    <col min="20" max="20" width="18.33203125" hidden="1" customWidth="1"/>
    <col min="21" max="24" width="15.83203125" hidden="1" customWidth="1"/>
    <col min="25" max="25" width="21.75" hidden="1" customWidth="1"/>
  </cols>
  <sheetData>
    <row r="1" spans="1:25" ht="18.75" customHeight="1">
      <c r="A1" s="44" t="s">
        <v>354</v>
      </c>
      <c r="D1" s="228"/>
      <c r="E1" s="49"/>
      <c r="F1" s="49"/>
      <c r="G1" s="49"/>
      <c r="H1" s="49"/>
      <c r="I1" s="348"/>
      <c r="J1" s="348"/>
      <c r="K1" s="348"/>
      <c r="L1" s="348"/>
    </row>
    <row r="2" spans="1:25">
      <c r="A2" s="13" t="s">
        <v>356</v>
      </c>
      <c r="D2" s="44"/>
    </row>
    <row r="3" spans="1:25">
      <c r="A3" s="13"/>
    </row>
    <row r="5" spans="1:25">
      <c r="C5" s="13" t="s">
        <v>53</v>
      </c>
      <c r="P5" t="s">
        <v>425</v>
      </c>
    </row>
    <row r="6" spans="1:25" ht="15" customHeight="1">
      <c r="C6" s="349"/>
      <c r="D6" s="350"/>
      <c r="E6" s="350"/>
      <c r="F6" s="350"/>
      <c r="G6" s="350"/>
      <c r="H6" s="350"/>
      <c r="I6" s="351"/>
      <c r="J6" s="351"/>
      <c r="K6" s="351"/>
      <c r="L6" s="351"/>
      <c r="M6" s="350"/>
      <c r="N6" s="352"/>
      <c r="P6" cm="1">
        <f t="array" aca="1" ref="P6" ca="1">IF(SUMPRODUCT(N(H9:M18&lt;&gt;T9:Y18))=0,1,0)</f>
        <v>1</v>
      </c>
    </row>
    <row r="7" spans="1:25" ht="21.75" customHeight="1">
      <c r="C7" s="353"/>
      <c r="D7" s="1052" t="s">
        <v>0</v>
      </c>
      <c r="E7" s="1053" t="s">
        <v>54</v>
      </c>
      <c r="F7" s="1047" t="s">
        <v>240</v>
      </c>
      <c r="G7" s="1047" t="s">
        <v>12</v>
      </c>
      <c r="H7" s="1055" t="s">
        <v>55</v>
      </c>
      <c r="I7" s="1056" t="s">
        <v>56</v>
      </c>
      <c r="J7" s="1056"/>
      <c r="K7" s="1056"/>
      <c r="L7" s="1056"/>
      <c r="M7" s="1047" t="s">
        <v>564</v>
      </c>
      <c r="N7" s="354"/>
      <c r="P7" s="1052" t="s">
        <v>0</v>
      </c>
      <c r="Q7" s="1053" t="s">
        <v>54</v>
      </c>
      <c r="R7" s="1047" t="s">
        <v>240</v>
      </c>
      <c r="S7" s="1047" t="s">
        <v>12</v>
      </c>
      <c r="T7" s="1055" t="s">
        <v>55</v>
      </c>
      <c r="U7" s="1044" t="s">
        <v>56</v>
      </c>
      <c r="V7" s="1045"/>
      <c r="W7" s="1045"/>
      <c r="X7" s="1046"/>
      <c r="Y7" s="1047" t="s">
        <v>57</v>
      </c>
    </row>
    <row r="8" spans="1:25" ht="27" customHeight="1">
      <c r="C8" s="353"/>
      <c r="D8" s="1052"/>
      <c r="E8" s="1054"/>
      <c r="F8" s="1048"/>
      <c r="G8" s="1048"/>
      <c r="H8" s="1055"/>
      <c r="I8" s="364" t="s">
        <v>32</v>
      </c>
      <c r="J8" s="365" t="s">
        <v>33</v>
      </c>
      <c r="K8" s="366" t="s">
        <v>34</v>
      </c>
      <c r="L8" s="365" t="s">
        <v>35</v>
      </c>
      <c r="M8" s="1048"/>
      <c r="N8" s="355"/>
      <c r="O8" s="254"/>
      <c r="P8" s="1052"/>
      <c r="Q8" s="1054"/>
      <c r="R8" s="1048"/>
      <c r="S8" s="1048"/>
      <c r="T8" s="1055"/>
      <c r="U8" s="364" t="s">
        <v>32</v>
      </c>
      <c r="V8" s="365" t="s">
        <v>33</v>
      </c>
      <c r="W8" s="366" t="s">
        <v>34</v>
      </c>
      <c r="X8" s="365" t="s">
        <v>35</v>
      </c>
      <c r="Y8" s="1048"/>
    </row>
    <row r="9" spans="1:25" s="11" customFormat="1" ht="33" customHeight="1">
      <c r="C9" s="872"/>
      <c r="D9" s="849" t="s">
        <v>58</v>
      </c>
      <c r="E9" s="873" t="s">
        <v>59</v>
      </c>
      <c r="F9" s="874" t="s">
        <v>15</v>
      </c>
      <c r="G9" s="38"/>
      <c r="H9" s="383" t="str">
        <f>IF(SUMIF('4.2民生電力需要量'!$D:$D,$E$9&amp;"("&amp;'4.2実質ゼロ(サマリ)'!$F9&amp;")",'4.2民生電力需要量'!$K:$K)=0,"",SUMIF('4.2民生電力需要量'!$D:$D,$E$9&amp;"("&amp;'4.2実質ゼロ(サマリ)'!$F9&amp;")",'4.2民生電力需要量'!$K:$K))</f>
        <v/>
      </c>
      <c r="I9" s="384" t="str">
        <f>IF(SUMIF('4.2電力供給状況(民生部門)'!$R:$R,$E9&amp;"("&amp;'4.2実質ゼロ(サマリ)'!$F9&amp;")",'4.2電力供給状況(民生部門)'!S:S)=0,"",SUMIF('4.2電力供給状況(民生部門)'!$R:$R,$E9&amp;"("&amp;'4.2実質ゼロ(サマリ)'!$F9&amp;")",'4.2電力供給状況(民生部門)'!S:S))</f>
        <v/>
      </c>
      <c r="J9" s="384" t="str">
        <f>IF(SUMIF('4.2電力供給状況(民生部門)'!$R:$R,$E9&amp;"("&amp;'4.2実質ゼロ(サマリ)'!$F9&amp;")",'4.2電力供給状況(民生部門)'!T:T)=0,"",SUMIF('4.2電力供給状況(民生部門)'!$R:$R,$E9&amp;"("&amp;'4.2実質ゼロ(サマリ)'!$F9&amp;")",'4.2電力供給状況(民生部門)'!T:T))</f>
        <v/>
      </c>
      <c r="K9" s="384" t="str">
        <f>IF(SUMIF('4.2電力供給状況(民生部門)'!$R:$R,$E9&amp;"("&amp;'4.2実質ゼロ(サマリ)'!$F9&amp;")",'4.2電力供給状況(民生部門)'!U:U)=0,"",SUMIF('4.2電力供給状況(民生部門)'!$R:$R,$E9&amp;"("&amp;'4.2実質ゼロ(サマリ)'!$F9&amp;")",'4.2電力供給状況(民生部門)'!U:U))</f>
        <v/>
      </c>
      <c r="L9" s="384" t="str">
        <f>IF(SUMIF('4.2電力供給状況(民生部門)'!$R:$R,$E9&amp;"("&amp;'4.2実質ゼロ(サマリ)'!$F9&amp;")",'4.2電力供給状況(民生部門)'!V:V)=0,"",SUMIF('4.2電力供給状況(民生部門)'!$R:$R,$E9&amp;"("&amp;'4.2実質ゼロ(サマリ)'!$F9&amp;")",'4.2電力供給状況(民生部門)'!V:V))</f>
        <v/>
      </c>
      <c r="M9" s="383" t="str">
        <f>IFERROR(IF(SUMIF('4.2電力削減量'!$C:$C,'4.2実質ゼロ(サマリ)'!$E$9&amp;"("&amp;'4.2実質ゼロ(サマリ)'!$F9&amp;")",'4.2電力削減量'!$L:$L)=0,"",SUMIF('4.2電力削減量'!$C:$C,'4.2実質ゼロ(サマリ)'!$E$9&amp;"("&amp;'4.2実質ゼロ(サマリ)'!$F9&amp;")",'4.2電力削減量'!$L:$L)),"")</f>
        <v/>
      </c>
      <c r="N9" s="875"/>
      <c r="O9" s="876"/>
      <c r="P9" s="849" t="s">
        <v>58</v>
      </c>
      <c r="Q9" s="873" t="s">
        <v>59</v>
      </c>
      <c r="R9" s="874" t="s">
        <v>15</v>
      </c>
      <c r="S9" s="38"/>
      <c r="T9" s="383" t="str">
        <f>IF(SUMIF('4.2民生電力需要量'!$D:$D,$E$9&amp;"("&amp;'4.2実質ゼロ(サマリ)'!$F9&amp;")",'4.2民生電力需要量'!$K:$K)=0,"",SUMIF('4.2民生電力需要量'!$D:$D,$E$9&amp;"("&amp;'4.2実質ゼロ(サマリ)'!$F9&amp;")",'4.2民生電力需要量'!$K:$K))</f>
        <v/>
      </c>
      <c r="U9" s="384" t="str">
        <f>IF(SUMIF('4.2電力供給状況(民生部門)'!$R:$R,$E9&amp;"("&amp;'4.2実質ゼロ(サマリ)'!$F9&amp;")",'4.2電力供給状況(民生部門)'!S:S)=0,"",SUMIF('4.2電力供給状況(民生部門)'!$R:$R,$E9&amp;"("&amp;'4.2実質ゼロ(サマリ)'!$F9&amp;")",'4.2電力供給状況(民生部門)'!S:S))</f>
        <v/>
      </c>
      <c r="V9" s="384" t="str">
        <f>IF(SUMIF('4.2電力供給状況(民生部門)'!$R:$R,$E9&amp;"("&amp;'4.2実質ゼロ(サマリ)'!$F9&amp;")",'4.2電力供給状況(民生部門)'!T:T)=0,"",SUMIF('4.2電力供給状況(民生部門)'!$R:$R,$E9&amp;"("&amp;'4.2実質ゼロ(サマリ)'!$F9&amp;")",'4.2電力供給状況(民生部門)'!T:T))</f>
        <v/>
      </c>
      <c r="W9" s="384" t="str">
        <f>IF(SUMIF('4.2電力供給状況(民生部門)'!$R:$R,$E9&amp;"("&amp;'4.2実質ゼロ(サマリ)'!$F9&amp;")",'4.2電力供給状況(民生部門)'!U:U)=0,"",SUMIF('4.2電力供給状況(民生部門)'!$R:$R,$E9&amp;"("&amp;'4.2実質ゼロ(サマリ)'!$F9&amp;")",'4.2電力供給状況(民生部門)'!U:U))</f>
        <v/>
      </c>
      <c r="X9" s="384" t="str">
        <f>IF(SUMIF('4.2電力供給状況(民生部門)'!$R:$R,$E9&amp;"("&amp;'4.2実質ゼロ(サマリ)'!$F9&amp;")",'4.2電力供給状況(民生部門)'!V:V)=0,"",SUMIF('4.2電力供給状況(民生部門)'!$R:$R,$E9&amp;"("&amp;'4.2実質ゼロ(サマリ)'!$F9&amp;")",'4.2電力供給状況(民生部門)'!V:V))</f>
        <v/>
      </c>
      <c r="Y9" s="383" t="str">
        <f>IFERROR(IF(SUMIF('4.2電力削減量'!$C:$C,'4.2実質ゼロ(サマリ)'!$E$9&amp;"("&amp;'4.2実質ゼロ(サマリ)'!$F9&amp;")",'4.2電力削減量'!$L:$L)=0,"",SUMIF('4.2電力削減量'!$C:$C,'4.2実質ゼロ(サマリ)'!$E$9&amp;"("&amp;'4.2実質ゼロ(サマリ)'!$F9&amp;")",'4.2電力削減量'!$L:$L)),"")</f>
        <v/>
      </c>
    </row>
    <row r="10" spans="1:25" s="11" customFormat="1" ht="33" customHeight="1">
      <c r="C10" s="872"/>
      <c r="D10" s="850"/>
      <c r="E10" s="877"/>
      <c r="F10" s="878" t="s">
        <v>25</v>
      </c>
      <c r="G10" s="39"/>
      <c r="H10" s="383" t="str">
        <f>IF(SUMIF('4.2民生電力需要量'!$D:$D,$E$9&amp;"("&amp;'4.2実質ゼロ(サマリ)'!$F10&amp;")",'4.2民生電力需要量'!$K:$K)=0,"",SUMIF('4.2民生電力需要量'!$D:$D,$E$9&amp;"("&amp;'4.2実質ゼロ(サマリ)'!$F10&amp;")",'4.2民生電力需要量'!$K:$K))</f>
        <v/>
      </c>
      <c r="I10" s="384" t="str">
        <f>IF(SUMIF('4.2電力供給状況(民生部門)'!$R:$R,$E9&amp;"("&amp;'4.2実質ゼロ(サマリ)'!$F10&amp;")",'4.2電力供給状況(民生部門)'!S:S)=0,"",SUMIF('4.2電力供給状況(民生部門)'!$R:$R,$E9&amp;"("&amp;'4.2実質ゼロ(サマリ)'!$F10&amp;")",'4.2電力供給状況(民生部門)'!S:S))</f>
        <v/>
      </c>
      <c r="J10" s="384" t="str">
        <f>IF(SUMIF('4.2電力供給状況(民生部門)'!$R:$R,$E9&amp;"("&amp;'4.2実質ゼロ(サマリ)'!$F10&amp;")",'4.2電力供給状況(民生部門)'!T:T)=0,"",SUMIF('4.2電力供給状況(民生部門)'!$R:$R,$E9&amp;"("&amp;'4.2実質ゼロ(サマリ)'!$F10&amp;")",'4.2電力供給状況(民生部門)'!T:T))</f>
        <v/>
      </c>
      <c r="K10" s="384" t="str">
        <f>IF(SUMIF('4.2電力供給状況(民生部門)'!$R:$R,$E9&amp;"("&amp;'4.2実質ゼロ(サマリ)'!$F10&amp;")",'4.2電力供給状況(民生部門)'!U:U)=0,"",SUMIF('4.2電力供給状況(民生部門)'!$R:$R,$E9&amp;"("&amp;'4.2実質ゼロ(サマリ)'!$F10&amp;")",'4.2電力供給状況(民生部門)'!U:U))</f>
        <v/>
      </c>
      <c r="L10" s="384" t="str">
        <f>IF(SUMIF('4.2電力供給状況(民生部門)'!$R:$R,$E9&amp;"("&amp;'4.2実質ゼロ(サマリ)'!$F10&amp;")",'4.2電力供給状況(民生部門)'!V:V)=0,"",SUMIF('4.2電力供給状況(民生部門)'!$R:$R,$E9&amp;"("&amp;'4.2実質ゼロ(サマリ)'!$F10&amp;")",'4.2電力供給状況(民生部門)'!V:V))</f>
        <v/>
      </c>
      <c r="M10" s="383" t="str">
        <f>IFERROR(IF(SUMIF('4.2電力削減量'!$C:$C,'4.2実質ゼロ(サマリ)'!$E$9&amp;"("&amp;'4.2実質ゼロ(サマリ)'!$F10&amp;")",'4.2電力削減量'!$L:$L)=0,"",SUMIF('4.2電力削減量'!$C:$C,'4.2実質ゼロ(サマリ)'!$E$9&amp;"("&amp;'4.2実質ゼロ(サマリ)'!$F10&amp;")",'4.2電力削減量'!$L:$L)),"")</f>
        <v/>
      </c>
      <c r="N10" s="875"/>
      <c r="O10" s="876"/>
      <c r="P10" s="850"/>
      <c r="Q10" s="877"/>
      <c r="R10" s="878" t="s">
        <v>25</v>
      </c>
      <c r="S10" s="39"/>
      <c r="T10" s="383" t="str">
        <f>IF(SUMIF('4.2民生電力需要量'!$D:$D,$E$9&amp;"("&amp;'4.2実質ゼロ(サマリ)'!$F10&amp;")",'4.2民生電力需要量'!$K:$K)=0,"",SUMIF('4.2民生電力需要量'!$D:$D,$E$9&amp;"("&amp;'4.2実質ゼロ(サマリ)'!$F10&amp;")",'4.2民生電力需要量'!$K:$K))</f>
        <v/>
      </c>
      <c r="U10" s="384" t="str">
        <f>IF(SUMIF('4.2電力供給状況(民生部門)'!$R:$R,$E9&amp;"("&amp;'4.2実質ゼロ(サマリ)'!$F10&amp;")",'4.2電力供給状況(民生部門)'!S:S)=0,"",SUMIF('4.2電力供給状況(民生部門)'!$R:$R,$E9&amp;"("&amp;'4.2実質ゼロ(サマリ)'!$F10&amp;")",'4.2電力供給状況(民生部門)'!S:S))</f>
        <v/>
      </c>
      <c r="V10" s="384" t="str">
        <f>IF(SUMIF('4.2電力供給状況(民生部門)'!$R:$R,$E9&amp;"("&amp;'4.2実質ゼロ(サマリ)'!$F10&amp;")",'4.2電力供給状況(民生部門)'!T:T)=0,"",SUMIF('4.2電力供給状況(民生部門)'!$R:$R,$E9&amp;"("&amp;'4.2実質ゼロ(サマリ)'!$F10&amp;")",'4.2電力供給状況(民生部門)'!T:T))</f>
        <v/>
      </c>
      <c r="W10" s="384" t="str">
        <f>IF(SUMIF('4.2電力供給状況(民生部門)'!$R:$R,$E9&amp;"("&amp;'4.2実質ゼロ(サマリ)'!$F10&amp;")",'4.2電力供給状況(民生部門)'!U:U)=0,"",SUMIF('4.2電力供給状況(民生部門)'!$R:$R,$E9&amp;"("&amp;'4.2実質ゼロ(サマリ)'!$F10&amp;")",'4.2電力供給状況(民生部門)'!U:U))</f>
        <v/>
      </c>
      <c r="X10" s="384" t="str">
        <f>IF(SUMIF('4.2電力供給状況(民生部門)'!$R:$R,$E9&amp;"("&amp;'4.2実質ゼロ(サマリ)'!$F10&amp;")",'4.2電力供給状況(民生部門)'!V:V)=0,"",SUMIF('4.2電力供給状況(民生部門)'!$R:$R,$E9&amp;"("&amp;'4.2実質ゼロ(サマリ)'!$F10&amp;")",'4.2電力供給状況(民生部門)'!V:V))</f>
        <v/>
      </c>
      <c r="Y10" s="383" t="str">
        <f>IFERROR(IF(SUMIF('4.2電力削減量'!$C:$C,'4.2実質ゼロ(サマリ)'!$E$9&amp;"("&amp;'4.2実質ゼロ(サマリ)'!$F10&amp;")",'4.2電力削減量'!$L:$L)=0,"",SUMIF('4.2電力削減量'!$C:$C,'4.2実質ゼロ(サマリ)'!$E$9&amp;"("&amp;'4.2実質ゼロ(サマリ)'!$F10&amp;")",'4.2電力削減量'!$L:$L)),"")</f>
        <v/>
      </c>
    </row>
    <row r="11" spans="1:25" s="11" customFormat="1" ht="33" customHeight="1">
      <c r="C11" s="872"/>
      <c r="D11" s="849" t="s">
        <v>60</v>
      </c>
      <c r="E11" s="873" t="s">
        <v>61</v>
      </c>
      <c r="F11" s="879" t="s">
        <v>17</v>
      </c>
      <c r="G11" s="39"/>
      <c r="H11" s="383" t="str">
        <f>IF(SUMIF('4.2民生電力需要量'!$D:$D,$E$11&amp;"("&amp;'4.2実質ゼロ(サマリ)'!$F11&amp;")",'4.2民生電力需要量'!$K:$K)=0,"",SUMIF('4.2民生電力需要量'!$D:$D,$E$11&amp;"("&amp;'4.2実質ゼロ(サマリ)'!$F11&amp;")",'4.2民生電力需要量'!$K:$K))</f>
        <v/>
      </c>
      <c r="I11" s="384" t="str">
        <f>IF(SUMIF('4.2電力供給状況(民生部門)'!$R:$R,$E11&amp;"("&amp;'4.2実質ゼロ(サマリ)'!$F11&amp;")",'4.2電力供給状況(民生部門)'!S:S)=0,"",SUMIF('4.2電力供給状況(民生部門)'!$R:$R,$E11&amp;"("&amp;'4.2実質ゼロ(サマリ)'!$F11&amp;")",'4.2電力供給状況(民生部門)'!S:S))</f>
        <v/>
      </c>
      <c r="J11" s="384" t="str">
        <f>IF(SUMIF('4.2電力供給状況(民生部門)'!$R:$R,$E11&amp;"("&amp;'4.2実質ゼロ(サマリ)'!$F11&amp;")",'4.2電力供給状況(民生部門)'!T:T)=0,"",SUMIF('4.2電力供給状況(民生部門)'!$R:$R,$E11&amp;"("&amp;'4.2実質ゼロ(サマリ)'!$F11&amp;")",'4.2電力供給状況(民生部門)'!T:T))</f>
        <v/>
      </c>
      <c r="K11" s="384" t="str">
        <f>IF(SUMIF('4.2電力供給状況(民生部門)'!$R:$R,$E11&amp;"("&amp;'4.2実質ゼロ(サマリ)'!$F11&amp;")",'4.2電力供給状況(民生部門)'!U:U)=0,"",SUMIF('4.2電力供給状況(民生部門)'!$R:$R,$E11&amp;"("&amp;'4.2実質ゼロ(サマリ)'!$F11&amp;")",'4.2電力供給状況(民生部門)'!U:U))</f>
        <v/>
      </c>
      <c r="L11" s="384" t="str">
        <f>IF(SUMIF('4.2電力供給状況(民生部門)'!$R:$R,$E11&amp;"("&amp;'4.2実質ゼロ(サマリ)'!$F11&amp;")",'4.2電力供給状況(民生部門)'!V:V)=0,"",SUMIF('4.2電力供給状況(民生部門)'!$R:$R,$E11&amp;"("&amp;'4.2実質ゼロ(サマリ)'!$F11&amp;")",'4.2電力供給状況(民生部門)'!V:V))</f>
        <v/>
      </c>
      <c r="M11" s="383" t="str">
        <f>IFERROR(IF(SUMIF('4.2電力削減量'!$C:$C,'4.2実質ゼロ(サマリ)'!$E$11&amp;"("&amp;'4.2実質ゼロ(サマリ)'!$F11&amp;")",'4.2電力削減量'!$L:$L)=0,"",SUMIF('4.2電力削減量'!$C:$C,'4.2実質ゼロ(サマリ)'!$E$11&amp;"("&amp;'4.2実質ゼロ(サマリ)'!$F11&amp;")",'4.2電力削減量'!$L:$L)),"")</f>
        <v/>
      </c>
      <c r="N11" s="875"/>
      <c r="O11" s="876"/>
      <c r="P11" s="849" t="s">
        <v>60</v>
      </c>
      <c r="Q11" s="873" t="s">
        <v>61</v>
      </c>
      <c r="R11" s="879" t="s">
        <v>17</v>
      </c>
      <c r="S11" s="39"/>
      <c r="T11" s="383" t="str">
        <f>IF(SUMIF('4.2民生電力需要量'!$D:$D,$E$11&amp;"("&amp;'4.2実質ゼロ(サマリ)'!$F11&amp;")",'4.2民生電力需要量'!$K:$K)=0,"",SUMIF('4.2民生電力需要量'!$D:$D,$E$11&amp;"("&amp;'4.2実質ゼロ(サマリ)'!$F11&amp;")",'4.2民生電力需要量'!$K:$K))</f>
        <v/>
      </c>
      <c r="U11" s="384" t="str">
        <f>IF(SUMIF('4.2電力供給状況(民生部門)'!$R:$R,$E11&amp;"("&amp;'4.2実質ゼロ(サマリ)'!$F11&amp;")",'4.2電力供給状況(民生部門)'!S:S)=0,"",SUMIF('4.2電力供給状況(民生部門)'!$R:$R,$E11&amp;"("&amp;'4.2実質ゼロ(サマリ)'!$F11&amp;")",'4.2電力供給状況(民生部門)'!S:S))</f>
        <v/>
      </c>
      <c r="V11" s="384" t="str">
        <f>IF(SUMIF('4.2電力供給状況(民生部門)'!$R:$R,$E11&amp;"("&amp;'4.2実質ゼロ(サマリ)'!$F11&amp;")",'4.2電力供給状況(民生部門)'!T:T)=0,"",SUMIF('4.2電力供給状況(民生部門)'!$R:$R,$E11&amp;"("&amp;'4.2実質ゼロ(サマリ)'!$F11&amp;")",'4.2電力供給状況(民生部門)'!T:T))</f>
        <v/>
      </c>
      <c r="W11" s="384" t="str">
        <f>IF(SUMIF('4.2電力供給状況(民生部門)'!$R:$R,$E11&amp;"("&amp;'4.2実質ゼロ(サマリ)'!$F11&amp;")",'4.2電力供給状況(民生部門)'!U:U)=0,"",SUMIF('4.2電力供給状況(民生部門)'!$R:$R,$E11&amp;"("&amp;'4.2実質ゼロ(サマリ)'!$F11&amp;")",'4.2電力供給状況(民生部門)'!U:U))</f>
        <v/>
      </c>
      <c r="X11" s="384" t="str">
        <f>IF(SUMIF('4.2電力供給状況(民生部門)'!$R:$R,$E11&amp;"("&amp;'4.2実質ゼロ(サマリ)'!$F11&amp;")",'4.2電力供給状況(民生部門)'!V:V)=0,"",SUMIF('4.2電力供給状況(民生部門)'!$R:$R,$E11&amp;"("&amp;'4.2実質ゼロ(サマリ)'!$F11&amp;")",'4.2電力供給状況(民生部門)'!V:V))</f>
        <v/>
      </c>
      <c r="Y11" s="383" t="str">
        <f>IFERROR(IF(SUMIF('4.2電力削減量'!$C:$C,'4.2実質ゼロ(サマリ)'!$E$11&amp;"("&amp;'4.2実質ゼロ(サマリ)'!$F11&amp;")",'4.2電力削減量'!$L:$L)=0,"",SUMIF('4.2電力削減量'!$C:$C,'4.2実質ゼロ(サマリ)'!$E$11&amp;"("&amp;'4.2実質ゼロ(サマリ)'!$F11&amp;")",'4.2電力削減量'!$L:$L)),"")</f>
        <v/>
      </c>
    </row>
    <row r="12" spans="1:25" s="11" customFormat="1" ht="33" customHeight="1">
      <c r="C12" s="872"/>
      <c r="D12" s="850"/>
      <c r="E12" s="877"/>
      <c r="F12" s="878" t="s">
        <v>18</v>
      </c>
      <c r="G12" s="39"/>
      <c r="H12" s="383" t="str">
        <f>IF(SUMIF('4.2民生電力需要量'!$D:$D,$E$11&amp;"("&amp;'4.2実質ゼロ(サマリ)'!$F12&amp;")",'4.2民生電力需要量'!$K:$K)=0,"",SUMIF('4.2民生電力需要量'!$D:$D,$E$11&amp;"("&amp;'4.2実質ゼロ(サマリ)'!$F12&amp;")",'4.2民生電力需要量'!$K:$K))</f>
        <v/>
      </c>
      <c r="I12" s="384" t="str">
        <f>IF(SUMIF('4.2電力供給状況(民生部門)'!$R:$R,$E11&amp;"("&amp;'4.2実質ゼロ(サマリ)'!$F12&amp;")",'4.2電力供給状況(民生部門)'!S:S)=0,"",SUMIF('4.2電力供給状況(民生部門)'!$R:$R,$E11&amp;"("&amp;'4.2実質ゼロ(サマリ)'!$F12&amp;")",'4.2電力供給状況(民生部門)'!S:S))</f>
        <v/>
      </c>
      <c r="J12" s="384" t="str">
        <f>IF(SUMIF('4.2電力供給状況(民生部門)'!$R:$R,$E11&amp;"("&amp;'4.2実質ゼロ(サマリ)'!$F12&amp;")",'4.2電力供給状況(民生部門)'!T:T)=0,"",SUMIF('4.2電力供給状況(民生部門)'!$R:$R,$E11&amp;"("&amp;'4.2実質ゼロ(サマリ)'!$F12&amp;")",'4.2電力供給状況(民生部門)'!T:T))</f>
        <v/>
      </c>
      <c r="K12" s="384" t="str">
        <f>IF(SUMIF('4.2電力供給状況(民生部門)'!$R:$R,$E11&amp;"("&amp;'4.2実質ゼロ(サマリ)'!$F12&amp;")",'4.2電力供給状況(民生部門)'!U:U)=0,"",SUMIF('4.2電力供給状況(民生部門)'!$R:$R,$E11&amp;"("&amp;'4.2実質ゼロ(サマリ)'!$F12&amp;")",'4.2電力供給状況(民生部門)'!U:U))</f>
        <v/>
      </c>
      <c r="L12" s="384" t="str">
        <f>IF(SUMIF('4.2電力供給状況(民生部門)'!$R:$R,$E11&amp;"("&amp;'4.2実質ゼロ(サマリ)'!$F12&amp;")",'4.2電力供給状況(民生部門)'!V:V)=0,"",SUMIF('4.2電力供給状況(民生部門)'!$R:$R,$E11&amp;"("&amp;'4.2実質ゼロ(サマリ)'!$F12&amp;")",'4.2電力供給状況(民生部門)'!V:V))</f>
        <v/>
      </c>
      <c r="M12" s="383" t="str">
        <f>IFERROR(IF(SUMIF('4.2電力削減量'!$C:$C,'4.2実質ゼロ(サマリ)'!$E$11&amp;"("&amp;'4.2実質ゼロ(サマリ)'!$F12&amp;")",'4.2電力削減量'!$L:$L)=0,"",SUMIF('4.2電力削減量'!$C:$C,'4.2実質ゼロ(サマリ)'!$E$11&amp;"("&amp;'4.2実質ゼロ(サマリ)'!$F12&amp;")",'4.2電力削減量'!$L:$L)),"")</f>
        <v/>
      </c>
      <c r="N12" s="875"/>
      <c r="O12" s="876"/>
      <c r="P12" s="850"/>
      <c r="Q12" s="877"/>
      <c r="R12" s="878" t="s">
        <v>18</v>
      </c>
      <c r="S12" s="39"/>
      <c r="T12" s="383" t="str">
        <f>IF(SUMIF('4.2民生電力需要量'!$D:$D,$E$11&amp;"("&amp;'4.2実質ゼロ(サマリ)'!$F12&amp;")",'4.2民生電力需要量'!$K:$K)=0,"",SUMIF('4.2民生電力需要量'!$D:$D,$E$11&amp;"("&amp;'4.2実質ゼロ(サマリ)'!$F12&amp;")",'4.2民生電力需要量'!$K:$K))</f>
        <v/>
      </c>
      <c r="U12" s="384" t="str">
        <f>IF(SUMIF('4.2電力供給状況(民生部門)'!$R:$R,$E11&amp;"("&amp;'4.2実質ゼロ(サマリ)'!$F12&amp;")",'4.2電力供給状況(民生部門)'!S:S)=0,"",SUMIF('4.2電力供給状況(民生部門)'!$R:$R,$E11&amp;"("&amp;'4.2実質ゼロ(サマリ)'!$F12&amp;")",'4.2電力供給状況(民生部門)'!S:S))</f>
        <v/>
      </c>
      <c r="V12" s="384" t="str">
        <f>IF(SUMIF('4.2電力供給状況(民生部門)'!$R:$R,$E11&amp;"("&amp;'4.2実質ゼロ(サマリ)'!$F12&amp;")",'4.2電力供給状況(民生部門)'!T:T)=0,"",SUMIF('4.2電力供給状況(民生部門)'!$R:$R,$E11&amp;"("&amp;'4.2実質ゼロ(サマリ)'!$F12&amp;")",'4.2電力供給状況(民生部門)'!T:T))</f>
        <v/>
      </c>
      <c r="W12" s="384" t="str">
        <f>IF(SUMIF('4.2電力供給状況(民生部門)'!$R:$R,$E11&amp;"("&amp;'4.2実質ゼロ(サマリ)'!$F12&amp;")",'4.2電力供給状況(民生部門)'!U:U)=0,"",SUMIF('4.2電力供給状況(民生部門)'!$R:$R,$E11&amp;"("&amp;'4.2実質ゼロ(サマリ)'!$F12&amp;")",'4.2電力供給状況(民生部門)'!U:U))</f>
        <v/>
      </c>
      <c r="X12" s="384" t="str">
        <f>IF(SUMIF('4.2電力供給状況(民生部門)'!$R:$R,$E11&amp;"("&amp;'4.2実質ゼロ(サマリ)'!$F12&amp;")",'4.2電力供給状況(民生部門)'!V:V)=0,"",SUMIF('4.2電力供給状況(民生部門)'!$R:$R,$E11&amp;"("&amp;'4.2実質ゼロ(サマリ)'!$F12&amp;")",'4.2電力供給状況(民生部門)'!V:V))</f>
        <v/>
      </c>
      <c r="Y12" s="383" t="str">
        <f>IFERROR(IF(SUMIF('4.2電力削減量'!$C:$C,'4.2実質ゼロ(サマリ)'!$E$11&amp;"("&amp;'4.2実質ゼロ(サマリ)'!$F12&amp;")",'4.2電力削減量'!$L:$L)=0,"",SUMIF('4.2電力削減量'!$C:$C,'4.2実質ゼロ(サマリ)'!$E$11&amp;"("&amp;'4.2実質ゼロ(サマリ)'!$F12&amp;")",'4.2電力削減量'!$L:$L)),"")</f>
        <v/>
      </c>
    </row>
    <row r="13" spans="1:25" s="11" customFormat="1" ht="33" customHeight="1">
      <c r="C13" s="872"/>
      <c r="D13" s="880" t="s">
        <v>62</v>
      </c>
      <c r="E13" s="877"/>
      <c r="F13" s="879" t="s">
        <v>19</v>
      </c>
      <c r="G13" s="39"/>
      <c r="H13" s="383" t="str">
        <f>IF(SUMIF('4.2民生電力需要量'!$D:$D,$E$11&amp;"("&amp;'4.2実質ゼロ(サマリ)'!$F13&amp;")",'4.2民生電力需要量'!$K:$K)=0,"",SUMIF('4.2民生電力需要量'!$D:$D,$E$11&amp;"("&amp;'4.2実質ゼロ(サマリ)'!$F13&amp;")",'4.2民生電力需要量'!$K:$K))</f>
        <v/>
      </c>
      <c r="I13" s="384" t="str">
        <f>IF(SUMIF('4.2電力供給状況(民生部門)'!$R:$R,$E11&amp;"("&amp;'4.2実質ゼロ(サマリ)'!$F13&amp;")",'4.2電力供給状況(民生部門)'!S:S)=0,"",SUMIF('4.2電力供給状況(民生部門)'!$R:$R,$E11&amp;"("&amp;'4.2実質ゼロ(サマリ)'!$F13&amp;")",'4.2電力供給状況(民生部門)'!S:S))</f>
        <v/>
      </c>
      <c r="J13" s="384" t="str">
        <f>IF(SUMIF('4.2電力供給状況(民生部門)'!$R:$R,$E11&amp;"("&amp;'4.2実質ゼロ(サマリ)'!$F13&amp;")",'4.2電力供給状況(民生部門)'!T:T)=0,"",SUMIF('4.2電力供給状況(民生部門)'!$R:$R,$E11&amp;"("&amp;'4.2実質ゼロ(サマリ)'!$F13&amp;")",'4.2電力供給状況(民生部門)'!T:T))</f>
        <v/>
      </c>
      <c r="K13" s="384" t="str">
        <f>IF(SUMIF('4.2電力供給状況(民生部門)'!$R:$R,$E11&amp;"("&amp;'4.2実質ゼロ(サマリ)'!$F13&amp;")",'4.2電力供給状況(民生部門)'!U:U)=0,"",SUMIF('4.2電力供給状況(民生部門)'!$R:$R,$E11&amp;"("&amp;'4.2実質ゼロ(サマリ)'!$F13&amp;")",'4.2電力供給状況(民生部門)'!U:U))</f>
        <v/>
      </c>
      <c r="L13" s="384" t="str">
        <f>IF(SUMIF('4.2電力供給状況(民生部門)'!$R:$R,$E11&amp;"("&amp;'4.2実質ゼロ(サマリ)'!$F13&amp;")",'4.2電力供給状況(民生部門)'!V:V)=0,"",SUMIF('4.2電力供給状況(民生部門)'!$R:$R,$E11&amp;"("&amp;'4.2実質ゼロ(サマリ)'!$F13&amp;")",'4.2電力供給状況(民生部門)'!V:V))</f>
        <v/>
      </c>
      <c r="M13" s="383" t="str">
        <f>IFERROR(IF(SUMIF('4.2電力削減量'!$C:$C,'4.2実質ゼロ(サマリ)'!$E$11&amp;"("&amp;'4.2実質ゼロ(サマリ)'!$F13&amp;")",'4.2電力削減量'!$L:$L)=0,"",SUMIF('4.2電力削減量'!$C:$C,'4.2実質ゼロ(サマリ)'!$E$11&amp;"("&amp;'4.2実質ゼロ(サマリ)'!$F13&amp;")",'4.2電力削減量'!$L:$L)),"")</f>
        <v/>
      </c>
      <c r="N13" s="875"/>
      <c r="O13" s="876"/>
      <c r="P13" s="880" t="s">
        <v>62</v>
      </c>
      <c r="Q13" s="877"/>
      <c r="R13" s="879" t="s">
        <v>19</v>
      </c>
      <c r="S13" s="39"/>
      <c r="T13" s="383" t="str">
        <f>IF(SUMIF('4.2民生電力需要量'!$D:$D,$E$11&amp;"("&amp;'4.2実質ゼロ(サマリ)'!$F13&amp;")",'4.2民生電力需要量'!$K:$K)=0,"",SUMIF('4.2民生電力需要量'!$D:$D,$E$11&amp;"("&amp;'4.2実質ゼロ(サマリ)'!$F13&amp;")",'4.2民生電力需要量'!$K:$K))</f>
        <v/>
      </c>
      <c r="U13" s="384" t="str">
        <f>IF(SUMIF('4.2電力供給状況(民生部門)'!$R:$R,$E11&amp;"("&amp;'4.2実質ゼロ(サマリ)'!$F13&amp;")",'4.2電力供給状況(民生部門)'!S:S)=0,"",SUMIF('4.2電力供給状況(民生部門)'!$R:$R,$E11&amp;"("&amp;'4.2実質ゼロ(サマリ)'!$F13&amp;")",'4.2電力供給状況(民生部門)'!S:S))</f>
        <v/>
      </c>
      <c r="V13" s="384" t="str">
        <f>IF(SUMIF('4.2電力供給状況(民生部門)'!$R:$R,$E11&amp;"("&amp;'4.2実質ゼロ(サマリ)'!$F13&amp;")",'4.2電力供給状況(民生部門)'!T:T)=0,"",SUMIF('4.2電力供給状況(民生部門)'!$R:$R,$E11&amp;"("&amp;'4.2実質ゼロ(サマリ)'!$F13&amp;")",'4.2電力供給状況(民生部門)'!T:T))</f>
        <v/>
      </c>
      <c r="W13" s="384" t="str">
        <f>IF(SUMIF('4.2電力供給状況(民生部門)'!$R:$R,$E11&amp;"("&amp;'4.2実質ゼロ(サマリ)'!$F13&amp;")",'4.2電力供給状況(民生部門)'!U:U)=0,"",SUMIF('4.2電力供給状況(民生部門)'!$R:$R,$E11&amp;"("&amp;'4.2実質ゼロ(サマリ)'!$F13&amp;")",'4.2電力供給状況(民生部門)'!U:U))</f>
        <v/>
      </c>
      <c r="X13" s="384" t="str">
        <f>IF(SUMIF('4.2電力供給状況(民生部門)'!$R:$R,$E11&amp;"("&amp;'4.2実質ゼロ(サマリ)'!$F13&amp;")",'4.2電力供給状況(民生部門)'!V:V)=0,"",SUMIF('4.2電力供給状況(民生部門)'!$R:$R,$E11&amp;"("&amp;'4.2実質ゼロ(サマリ)'!$F13&amp;")",'4.2電力供給状況(民生部門)'!V:V))</f>
        <v/>
      </c>
      <c r="Y13" s="383" t="str">
        <f>IFERROR(IF(SUMIF('4.2電力削減量'!$C:$C,'4.2実質ゼロ(サマリ)'!$E$11&amp;"("&amp;'4.2実質ゼロ(サマリ)'!$F13&amp;")",'4.2電力削減量'!$L:$L)=0,"",SUMIF('4.2電力削減量'!$C:$C,'4.2実質ゼロ(サマリ)'!$E$11&amp;"("&amp;'4.2実質ゼロ(サマリ)'!$F13&amp;")",'4.2電力削減量'!$L:$L)),"")</f>
        <v/>
      </c>
    </row>
    <row r="14" spans="1:25" s="11" customFormat="1" ht="33" customHeight="1">
      <c r="C14" s="872"/>
      <c r="D14" s="881"/>
      <c r="E14" s="882"/>
      <c r="F14" s="874" t="s">
        <v>25</v>
      </c>
      <c r="G14" s="38"/>
      <c r="H14" s="383" t="str">
        <f>IF(SUMIF('4.2民生電力需要量'!$D:$D,$E$11&amp;"("&amp;'4.2実質ゼロ(サマリ)'!$F14&amp;")",'4.2民生電力需要量'!$K:$K)=0,"",SUMIF('4.2民生電力需要量'!$D:$D,$E$11&amp;"("&amp;'4.2実質ゼロ(サマリ)'!$F14&amp;")",'4.2民生電力需要量'!$K:$K))</f>
        <v/>
      </c>
      <c r="I14" s="384" t="str">
        <f>IF(SUMIF('4.2電力供給状況(民生部門)'!$R:$R,$E11&amp;"("&amp;'4.2実質ゼロ(サマリ)'!$F14&amp;")",'4.2電力供給状況(民生部門)'!S:S)=0,"",SUMIF('4.2電力供給状況(民生部門)'!$R:$R,$E11&amp;"("&amp;'4.2実質ゼロ(サマリ)'!$F14&amp;")",'4.2電力供給状況(民生部門)'!S:S))</f>
        <v/>
      </c>
      <c r="J14" s="384" t="str">
        <f>IF(SUMIF('4.2電力供給状況(民生部門)'!$R:$R,$E11&amp;"("&amp;'4.2実質ゼロ(サマリ)'!$F14&amp;")",'4.2電力供給状況(民生部門)'!T:T)=0,"",SUMIF('4.2電力供給状況(民生部門)'!$R:$R,$E11&amp;"("&amp;'4.2実質ゼロ(サマリ)'!$F14&amp;")",'4.2電力供給状況(民生部門)'!T:T))</f>
        <v/>
      </c>
      <c r="K14" s="384" t="str">
        <f>IF(SUMIF('4.2電力供給状況(民生部門)'!$R:$R,$E11&amp;"("&amp;'4.2実質ゼロ(サマリ)'!$F14&amp;")",'4.2電力供給状況(民生部門)'!U:U)=0,"",SUMIF('4.2電力供給状況(民生部門)'!$R:$R,$E11&amp;"("&amp;'4.2実質ゼロ(サマリ)'!$F14&amp;")",'4.2電力供給状況(民生部門)'!U:U))</f>
        <v/>
      </c>
      <c r="L14" s="384" t="str">
        <f>IF(SUMIF('4.2電力供給状況(民生部門)'!$R:$R,$E11&amp;"("&amp;'4.2実質ゼロ(サマリ)'!$F14&amp;")",'4.2電力供給状況(民生部門)'!V:V)=0,"",SUMIF('4.2電力供給状況(民生部門)'!$R:$R,$E11&amp;"("&amp;'4.2実質ゼロ(サマリ)'!$F14&amp;")",'4.2電力供給状況(民生部門)'!V:V))</f>
        <v/>
      </c>
      <c r="M14" s="383" t="str">
        <f>IFERROR(IF(SUMIF('4.2電力削減量'!$C:$C,'4.2実質ゼロ(サマリ)'!$E$11&amp;"("&amp;'4.2実質ゼロ(サマリ)'!$F14&amp;")",'4.2電力削減量'!$L:$L)=0,"",SUMIF('4.2電力削減量'!$C:$C,'4.2実質ゼロ(サマリ)'!$E$11&amp;"("&amp;'4.2実質ゼロ(サマリ)'!$F14&amp;")",'4.2電力削減量'!$L:$L)),"")</f>
        <v/>
      </c>
      <c r="N14" s="875"/>
      <c r="O14" s="876"/>
      <c r="P14" s="881"/>
      <c r="Q14" s="882"/>
      <c r="R14" s="874" t="s">
        <v>25</v>
      </c>
      <c r="S14" s="38"/>
      <c r="T14" s="383" t="str">
        <f>IF(SUMIF('4.2民生電力需要量'!$D:$D,$E$11&amp;"("&amp;'4.2実質ゼロ(サマリ)'!$F14&amp;")",'4.2民生電力需要量'!$K:$K)=0,"",SUMIF('4.2民生電力需要量'!$D:$D,$E$11&amp;"("&amp;'4.2実質ゼロ(サマリ)'!$F14&amp;")",'4.2民生電力需要量'!$K:$K))</f>
        <v/>
      </c>
      <c r="U14" s="384" t="str">
        <f>IF(SUMIF('4.2電力供給状況(民生部門)'!$R:$R,$E11&amp;"("&amp;'4.2実質ゼロ(サマリ)'!$F14&amp;")",'4.2電力供給状況(民生部門)'!S:S)=0,"",SUMIF('4.2電力供給状況(民生部門)'!$R:$R,$E11&amp;"("&amp;'4.2実質ゼロ(サマリ)'!$F14&amp;")",'4.2電力供給状況(民生部門)'!S:S))</f>
        <v/>
      </c>
      <c r="V14" s="384" t="str">
        <f>IF(SUMIF('4.2電力供給状況(民生部門)'!$R:$R,$E11&amp;"("&amp;'4.2実質ゼロ(サマリ)'!$F14&amp;")",'4.2電力供給状況(民生部門)'!T:T)=0,"",SUMIF('4.2電力供給状況(民生部門)'!$R:$R,$E11&amp;"("&amp;'4.2実質ゼロ(サマリ)'!$F14&amp;")",'4.2電力供給状況(民生部門)'!T:T))</f>
        <v/>
      </c>
      <c r="W14" s="384" t="str">
        <f>IF(SUMIF('4.2電力供給状況(民生部門)'!$R:$R,$E11&amp;"("&amp;'4.2実質ゼロ(サマリ)'!$F14&amp;")",'4.2電力供給状況(民生部門)'!U:U)=0,"",SUMIF('4.2電力供給状況(民生部門)'!$R:$R,$E11&amp;"("&amp;'4.2実質ゼロ(サマリ)'!$F14&amp;")",'4.2電力供給状況(民生部門)'!U:U))</f>
        <v/>
      </c>
      <c r="X14" s="384" t="str">
        <f>IF(SUMIF('4.2電力供給状況(民生部門)'!$R:$R,$E11&amp;"("&amp;'4.2実質ゼロ(サマリ)'!$F14&amp;")",'4.2電力供給状況(民生部門)'!V:V)=0,"",SUMIF('4.2電力供給状況(民生部門)'!$R:$R,$E11&amp;"("&amp;'4.2実質ゼロ(サマリ)'!$F14&amp;")",'4.2電力供給状況(民生部門)'!V:V))</f>
        <v/>
      </c>
      <c r="Y14" s="383" t="str">
        <f>IFERROR(IF(SUMIF('4.2電力削減量'!$C:$C,'4.2実質ゼロ(サマリ)'!$E$11&amp;"("&amp;'4.2実質ゼロ(サマリ)'!$F14&amp;")",'4.2電力削減量'!$L:$L)=0,"",SUMIF('4.2電力削減量'!$C:$C,'4.2実質ゼロ(サマリ)'!$E$11&amp;"("&amp;'4.2実質ゼロ(サマリ)'!$F14&amp;")",'4.2電力削減量'!$L:$L)),"")</f>
        <v/>
      </c>
    </row>
    <row r="15" spans="1:25" s="11" customFormat="1" ht="33" customHeight="1">
      <c r="C15" s="872"/>
      <c r="D15" s="850" t="s">
        <v>62</v>
      </c>
      <c r="E15" s="883" t="s">
        <v>63</v>
      </c>
      <c r="F15" s="874" t="s">
        <v>20</v>
      </c>
      <c r="G15" s="42"/>
      <c r="H15" s="385" t="str">
        <f>IF(SUMIF('4.2民生電力需要量'!$D:$D,$E$15&amp;"("&amp;'4.2実質ゼロ(サマリ)'!$F15&amp;")",'4.2民生電力需要量'!$K:$K)=0,"",SUMIF('4.2民生電力需要量'!$D:$D,$E$15&amp;"("&amp;'4.2実質ゼロ(サマリ)'!$F15&amp;")",'4.2民生電力需要量'!$K:$K))</f>
        <v/>
      </c>
      <c r="I15" s="384" t="str">
        <f>IF(SUMIF('4.2電力供給状況(民生部門)'!$R:$R,$E15&amp;"("&amp;'4.2実質ゼロ(サマリ)'!$F15&amp;")",'4.2電力供給状況(民生部門)'!S:S)=0,"",SUMIF('4.2電力供給状況(民生部門)'!$R:$R,$E15&amp;"("&amp;'4.2実質ゼロ(サマリ)'!$F15&amp;")",'4.2電力供給状況(民生部門)'!S:S))</f>
        <v/>
      </c>
      <c r="J15" s="384" t="str">
        <f>IF(SUMIF('4.2電力供給状況(民生部門)'!$R:$R,$E15&amp;"("&amp;'4.2実質ゼロ(サマリ)'!$F15&amp;")",'4.2電力供給状況(民生部門)'!T:T)=0,"",SUMIF('4.2電力供給状況(民生部門)'!$R:$R,$E15&amp;"("&amp;'4.2実質ゼロ(サマリ)'!$F15&amp;")",'4.2電力供給状況(民生部門)'!T:T))</f>
        <v/>
      </c>
      <c r="K15" s="384" t="str">
        <f>IF(SUMIF('4.2電力供給状況(民生部門)'!$R:$R,$E15&amp;"("&amp;'4.2実質ゼロ(サマリ)'!$F15&amp;")",'4.2電力供給状況(民生部門)'!U:U)=0,"",SUMIF('4.2電力供給状況(民生部門)'!$R:$R,$E15&amp;"("&amp;'4.2実質ゼロ(サマリ)'!$F15&amp;")",'4.2電力供給状況(民生部門)'!U:U))</f>
        <v/>
      </c>
      <c r="L15" s="384" t="str">
        <f>IF(SUMIF('4.2電力供給状況(民生部門)'!$R:$R,$E15&amp;"("&amp;'4.2実質ゼロ(サマリ)'!$F15&amp;")",'4.2電力供給状況(民生部門)'!V:V)=0,"",SUMIF('4.2電力供給状況(民生部門)'!$R:$R,$E15&amp;"("&amp;'4.2実質ゼロ(サマリ)'!$F15&amp;")",'4.2電力供給状況(民生部門)'!V:V))</f>
        <v/>
      </c>
      <c r="M15" s="385" t="str">
        <f>IFERROR(IF(SUMIF('4.2電力削減量'!$C:$C,'4.2実質ゼロ(サマリ)'!$E$15&amp;"("&amp;'4.2実質ゼロ(サマリ)'!$F15&amp;")",'4.2電力削減量'!$L:$L)=0,"",SUMIF('4.2電力削減量'!$C:$C,'4.2実質ゼロ(サマリ)'!$E$15&amp;"("&amp;'4.2実質ゼロ(サマリ)'!$F15&amp;")",'4.2電力削減量'!$L:$L)),"")</f>
        <v/>
      </c>
      <c r="N15" s="875"/>
      <c r="O15" s="876"/>
      <c r="P15" s="850" t="s">
        <v>62</v>
      </c>
      <c r="Q15" s="883" t="s">
        <v>63</v>
      </c>
      <c r="R15" s="874" t="s">
        <v>20</v>
      </c>
      <c r="S15" s="42"/>
      <c r="T15" s="385" t="str">
        <f>IF(SUMIF('4.2民生電力需要量'!$D:$D,$E$15&amp;"("&amp;'4.2実質ゼロ(サマリ)'!$F15&amp;")",'4.2民生電力需要量'!$K:$K)=0,"",SUMIF('4.2民生電力需要量'!$D:$D,$E$15&amp;"("&amp;'4.2実質ゼロ(サマリ)'!$F15&amp;")",'4.2民生電力需要量'!$K:$K))</f>
        <v/>
      </c>
      <c r="U15" s="384" t="str">
        <f>IF(SUMIF('4.2電力供給状況(民生部門)'!$R:$R,$E15&amp;"("&amp;'4.2実質ゼロ(サマリ)'!$F15&amp;")",'4.2電力供給状況(民生部門)'!S:S)=0,"",SUMIF('4.2電力供給状況(民生部門)'!$R:$R,$E15&amp;"("&amp;'4.2実質ゼロ(サマリ)'!$F15&amp;")",'4.2電力供給状況(民生部門)'!S:S))</f>
        <v/>
      </c>
      <c r="V15" s="384" t="str">
        <f>IF(SUMIF('4.2電力供給状況(民生部門)'!$R:$R,$E15&amp;"("&amp;'4.2実質ゼロ(サマリ)'!$F15&amp;")",'4.2電力供給状況(民生部門)'!T:T)=0,"",SUMIF('4.2電力供給状況(民生部門)'!$R:$R,$E15&amp;"("&amp;'4.2実質ゼロ(サマリ)'!$F15&amp;")",'4.2電力供給状況(民生部門)'!T:T))</f>
        <v/>
      </c>
      <c r="W15" s="384" t="str">
        <f>IF(SUMIF('4.2電力供給状況(民生部門)'!$R:$R,$E15&amp;"("&amp;'4.2実質ゼロ(サマリ)'!$F15&amp;")",'4.2電力供給状況(民生部門)'!U:U)=0,"",SUMIF('4.2電力供給状況(民生部門)'!$R:$R,$E15&amp;"("&amp;'4.2実質ゼロ(サマリ)'!$F15&amp;")",'4.2電力供給状況(民生部門)'!U:U))</f>
        <v/>
      </c>
      <c r="X15" s="384" t="str">
        <f>IF(SUMIF('4.2電力供給状況(民生部門)'!$R:$R,$E15&amp;"("&amp;'4.2実質ゼロ(サマリ)'!$F15&amp;")",'4.2電力供給状況(民生部門)'!V:V)=0,"",SUMIF('4.2電力供給状況(民生部門)'!$R:$R,$E15&amp;"("&amp;'4.2実質ゼロ(サマリ)'!$F15&amp;")",'4.2電力供給状況(民生部門)'!V:V))</f>
        <v/>
      </c>
      <c r="Y15" s="385" t="str">
        <f>IFERROR(IF(SUMIF('4.2電力削減量'!$C:$C,'4.2実質ゼロ(サマリ)'!$E$15&amp;"("&amp;'4.2実質ゼロ(サマリ)'!$F15&amp;")",'4.2電力削減量'!$L:$L)=0,"",SUMIF('4.2電力削減量'!$C:$C,'4.2実質ゼロ(サマリ)'!$E$15&amp;"("&amp;'4.2実質ゼロ(サマリ)'!$F15&amp;")",'4.2電力削減量'!$L:$L)),"")</f>
        <v/>
      </c>
    </row>
    <row r="16" spans="1:25" s="11" customFormat="1" ht="33" customHeight="1">
      <c r="C16" s="872"/>
      <c r="D16" s="851"/>
      <c r="E16" s="882"/>
      <c r="F16" s="879" t="s">
        <v>25</v>
      </c>
      <c r="G16" s="38"/>
      <c r="H16" s="383" t="str">
        <f>IF(SUMIF('4.2民生電力需要量'!$D:$D,$E$15&amp;"("&amp;'4.2実質ゼロ(サマリ)'!$F16&amp;")",'4.2民生電力需要量'!$K:$K)=0,"",SUMIF('4.2民生電力需要量'!$D:$D,$E$15&amp;"("&amp;'4.2実質ゼロ(サマリ)'!$F16&amp;")",'4.2民生電力需要量'!$K:$K))</f>
        <v/>
      </c>
      <c r="I16" s="384" t="str">
        <f ca="1">IF(SUMIF('4.2電力供給状況(民生部門)'!$R:$R,$E15&amp;"("&amp;'4.2実質ゼロ(サマリ)'!$F16&amp;")",'4.2電力供給状況(民生部門)'!S:S)=0,"",SUMIF('4.2電力供給状況(民生部門)'!$R:$R,$E15&amp;"("&amp;'4.2実質ゼロ(サマリ)'!$F16&amp;")",'4.2電力供給状況(民生部門)'!S:S))</f>
        <v/>
      </c>
      <c r="J16" s="384" t="str">
        <f ca="1">IF(SUMIF('4.2電力供給状況(民生部門)'!$R:$R,$E15&amp;"("&amp;'4.2実質ゼロ(サマリ)'!$F16&amp;")",'4.2電力供給状況(民生部門)'!T:T)=0,"",SUMIF('4.2電力供給状況(民生部門)'!$R:$R,$E15&amp;"("&amp;'4.2実質ゼロ(サマリ)'!$F16&amp;")",'4.2電力供給状況(民生部門)'!T:T))</f>
        <v/>
      </c>
      <c r="K16" s="384" t="str">
        <f ca="1">IF(SUMIF('4.2電力供給状況(民生部門)'!$R:$R,$E15&amp;"("&amp;'4.2実質ゼロ(サマリ)'!$F16&amp;")",'4.2電力供給状況(民生部門)'!U:U)=0,"",SUMIF('4.2電力供給状況(民生部門)'!$R:$R,$E15&amp;"("&amp;'4.2実質ゼロ(サマリ)'!$F16&amp;")",'4.2電力供給状況(民生部門)'!U:U))</f>
        <v/>
      </c>
      <c r="L16" s="384" t="str">
        <f ca="1">IF(SUMIF('4.2電力供給状況(民生部門)'!$R:$R,$E15&amp;"("&amp;'4.2実質ゼロ(サマリ)'!$F16&amp;")",'4.2電力供給状況(民生部門)'!V:V)=0,"",SUMIF('4.2電力供給状況(民生部門)'!$R:$R,$E15&amp;"("&amp;'4.2実質ゼロ(サマリ)'!$F16&amp;")",'4.2電力供給状況(民生部門)'!V:V))</f>
        <v/>
      </c>
      <c r="M16" s="385" t="str">
        <f ca="1">IFERROR(IF(SUMIF('4.2電力削減量'!$C:$C,'4.2実質ゼロ(サマリ)'!$E$15&amp;"("&amp;'4.2実質ゼロ(サマリ)'!$F16&amp;")",'4.2電力削減量'!$L:$L)=0,"",SUMIF('4.2電力削減量'!$C:$C,'4.2実質ゼロ(サマリ)'!$E$15&amp;"("&amp;'4.2実質ゼロ(サマリ)'!$F16&amp;")",'4.2電力削減量'!$L:$L)),"")</f>
        <v/>
      </c>
      <c r="N16" s="875"/>
      <c r="O16" s="876"/>
      <c r="P16" s="851"/>
      <c r="Q16" s="882"/>
      <c r="R16" s="879" t="s">
        <v>25</v>
      </c>
      <c r="S16" s="38"/>
      <c r="T16" s="383" t="str">
        <f>IF(SUMIF('4.2民生電力需要量'!$D:$D,$E$15&amp;"("&amp;'4.2実質ゼロ(サマリ)'!$F16&amp;")",'4.2民生電力需要量'!$K:$K)=0,"",SUMIF('4.2民生電力需要量'!$D:$D,$E$15&amp;"("&amp;'4.2実質ゼロ(サマリ)'!$F16&amp;")",'4.2民生電力需要量'!$K:$K))</f>
        <v/>
      </c>
      <c r="U16" s="384" t="str">
        <f ca="1">IF(SUMIF('4.2電力供給状況(民生部門)'!$R:$R,$E15&amp;"("&amp;'4.2実質ゼロ(サマリ)'!$F16&amp;")",'4.2電力供給状況(民生部門)'!S:S)=0,"",SUMIF('4.2電力供給状況(民生部門)'!$R:$R,$E15&amp;"("&amp;'4.2実質ゼロ(サマリ)'!$F16&amp;")",'4.2電力供給状況(民生部門)'!S:S))</f>
        <v/>
      </c>
      <c r="V16" s="384" t="str">
        <f ca="1">IF(SUMIF('4.2電力供給状況(民生部門)'!$R:$R,$E15&amp;"("&amp;'4.2実質ゼロ(サマリ)'!$F16&amp;")",'4.2電力供給状況(民生部門)'!T:T)=0,"",SUMIF('4.2電力供給状況(民生部門)'!$R:$R,$E15&amp;"("&amp;'4.2実質ゼロ(サマリ)'!$F16&amp;")",'4.2電力供給状況(民生部門)'!T:T))</f>
        <v/>
      </c>
      <c r="W16" s="384" t="str">
        <f ca="1">IF(SUMIF('4.2電力供給状況(民生部門)'!$R:$R,$E15&amp;"("&amp;'4.2実質ゼロ(サマリ)'!$F16&amp;")",'4.2電力供給状況(民生部門)'!U:U)=0,"",SUMIF('4.2電力供給状況(民生部門)'!$R:$R,$E15&amp;"("&amp;'4.2実質ゼロ(サマリ)'!$F16&amp;")",'4.2電力供給状況(民生部門)'!U:U))</f>
        <v/>
      </c>
      <c r="X16" s="384" t="str">
        <f ca="1">IF(SUMIF('4.2電力供給状況(民生部門)'!$R:$R,$E15&amp;"("&amp;'4.2実質ゼロ(サマリ)'!$F16&amp;")",'4.2電力供給状況(民生部門)'!V:V)=0,"",SUMIF('4.2電力供給状況(民生部門)'!$R:$R,$E15&amp;"("&amp;'4.2実質ゼロ(サマリ)'!$F16&amp;")",'4.2電力供給状況(民生部門)'!V:V))</f>
        <v/>
      </c>
      <c r="Y16" s="385" t="str">
        <f ca="1">IFERROR(IF(SUMIF('4.2電力削減量'!$C:$C,'4.2実質ゼロ(サマリ)'!$E$15&amp;"("&amp;'4.2実質ゼロ(サマリ)'!$F16&amp;")",'4.2電力削減量'!$L:$L)=0,"",SUMIF('4.2電力削減量'!$C:$C,'4.2実質ゼロ(サマリ)'!$E$15&amp;"("&amp;'4.2実質ゼロ(サマリ)'!$F16&amp;")",'4.2電力削減量'!$L:$L)),"")</f>
        <v/>
      </c>
    </row>
    <row r="17" spans="3:25" s="11" customFormat="1" ht="33" customHeight="1">
      <c r="C17" s="884"/>
      <c r="D17" s="1049" t="s">
        <v>235</v>
      </c>
      <c r="E17" s="1050"/>
      <c r="F17" s="1051"/>
      <c r="G17" s="386"/>
      <c r="H17" s="387" t="str">
        <f t="shared" ref="H17:M17" si="0">IF(SUM(H9:H16)=0,"",SUM(H9:H16))</f>
        <v/>
      </c>
      <c r="I17" s="387" t="str">
        <f t="shared" ca="1" si="0"/>
        <v/>
      </c>
      <c r="J17" s="387" t="str">
        <f t="shared" ca="1" si="0"/>
        <v/>
      </c>
      <c r="K17" s="387" t="str">
        <f t="shared" ca="1" si="0"/>
        <v/>
      </c>
      <c r="L17" s="388" t="str">
        <f t="shared" ca="1" si="0"/>
        <v/>
      </c>
      <c r="M17" s="388" t="str">
        <f t="shared" ca="1" si="0"/>
        <v/>
      </c>
      <c r="N17" s="875"/>
      <c r="O17" s="876"/>
      <c r="P17" s="1049" t="s">
        <v>235</v>
      </c>
      <c r="Q17" s="1050"/>
      <c r="R17" s="1051"/>
      <c r="S17" s="386"/>
      <c r="T17" s="387" t="str">
        <f t="shared" ref="T17:Y17" si="1">IF(SUM(H9:H16)=0,"",SUM(H9:H16))</f>
        <v/>
      </c>
      <c r="U17" s="387" t="str">
        <f t="shared" ca="1" si="1"/>
        <v/>
      </c>
      <c r="V17" s="387" t="str">
        <f t="shared" ca="1" si="1"/>
        <v/>
      </c>
      <c r="W17" s="387" t="str">
        <f t="shared" ca="1" si="1"/>
        <v/>
      </c>
      <c r="X17" s="388" t="str">
        <f t="shared" ca="1" si="1"/>
        <v/>
      </c>
      <c r="Y17" s="388" t="str">
        <f t="shared" ca="1" si="1"/>
        <v/>
      </c>
    </row>
    <row r="18" spans="3:25" s="11" customFormat="1" ht="33" customHeight="1">
      <c r="C18" s="884"/>
      <c r="D18" s="1049" t="s">
        <v>234</v>
      </c>
      <c r="E18" s="1050"/>
      <c r="F18" s="1051"/>
      <c r="G18" s="386"/>
      <c r="H18" s="389" t="str">
        <f ca="1">IFERROR(SUM(I17:M17)/H17,"")</f>
        <v/>
      </c>
      <c r="I18" s="390" t="str">
        <f ca="1">IFERROR(I17/$H$17,"")</f>
        <v/>
      </c>
      <c r="J18" s="390" t="str">
        <f t="shared" ref="J18:L18" ca="1" si="2">IFERROR(J17/$H$17,"")</f>
        <v/>
      </c>
      <c r="K18" s="390" t="str">
        <f t="shared" ca="1" si="2"/>
        <v/>
      </c>
      <c r="L18" s="391" t="str">
        <f t="shared" ca="1" si="2"/>
        <v/>
      </c>
      <c r="M18" s="391" t="str">
        <f ca="1">IFERROR(M17/$H$17,"")</f>
        <v/>
      </c>
      <c r="N18" s="875"/>
      <c r="O18" s="876"/>
      <c r="P18" s="1049" t="s">
        <v>234</v>
      </c>
      <c r="Q18" s="1050"/>
      <c r="R18" s="1051"/>
      <c r="S18" s="386"/>
      <c r="T18" s="389" t="str">
        <f ca="1">IFERROR(SUM(I17:M17)/H17,"")</f>
        <v/>
      </c>
      <c r="U18" s="390" t="str">
        <f ca="1">IFERROR(I17/$H$17,"")</f>
        <v/>
      </c>
      <c r="V18" s="390" t="str">
        <f ca="1">IFERROR(J17/$H$17,"")</f>
        <v/>
      </c>
      <c r="W18" s="390" t="str">
        <f ca="1">IFERROR(K17/$H$17,"")</f>
        <v/>
      </c>
      <c r="X18" s="391" t="str">
        <f ca="1">IFERROR(L17/$H$17,"")</f>
        <v/>
      </c>
      <c r="Y18" s="391" t="str">
        <f ca="1">IFERROR(M17/$H$17,"")</f>
        <v/>
      </c>
    </row>
    <row r="19" spans="3:25" ht="15" customHeight="1">
      <c r="C19" s="356"/>
      <c r="D19" s="357"/>
      <c r="E19" s="358"/>
      <c r="F19" s="359"/>
      <c r="G19" s="359"/>
      <c r="H19" s="360"/>
      <c r="I19" s="359"/>
      <c r="J19" s="359"/>
      <c r="K19" s="359"/>
      <c r="L19" s="359"/>
      <c r="M19" s="361"/>
      <c r="N19" s="362"/>
    </row>
    <row r="20" spans="3:25">
      <c r="D20" s="363"/>
      <c r="F20" s="44"/>
    </row>
    <row r="21" spans="3:25" ht="30.75" customHeight="1">
      <c r="F21" s="44"/>
    </row>
    <row r="22" spans="3:25" ht="30.75" customHeight="1">
      <c r="F22" s="44"/>
    </row>
    <row r="161" spans="6:7">
      <c r="F161" s="231"/>
      <c r="G161" s="231"/>
    </row>
    <row r="162" spans="6:7">
      <c r="F162" s="231"/>
      <c r="G162" s="231"/>
    </row>
    <row r="163" spans="6:7">
      <c r="F163" s="231"/>
      <c r="G163" s="231"/>
    </row>
    <row r="164" spans="6:7">
      <c r="F164" s="231"/>
      <c r="G164" s="231"/>
    </row>
    <row r="165" spans="6:7">
      <c r="F165" s="231"/>
      <c r="G165" s="231"/>
    </row>
    <row r="166" spans="6:7">
      <c r="F166" s="231"/>
      <c r="G166" s="231"/>
    </row>
    <row r="167" spans="6:7">
      <c r="F167" s="231"/>
      <c r="G167" s="231"/>
    </row>
    <row r="168" spans="6:7">
      <c r="F168" s="231"/>
      <c r="G168" s="231"/>
    </row>
    <row r="169" spans="6:7">
      <c r="F169" s="231"/>
      <c r="G169" s="231"/>
    </row>
    <row r="170" spans="6:7">
      <c r="F170" s="231"/>
      <c r="G170" s="231"/>
    </row>
    <row r="171" spans="6:7">
      <c r="F171" s="231"/>
      <c r="G171" s="231"/>
    </row>
    <row r="172" spans="6:7">
      <c r="F172" s="231"/>
      <c r="G172" s="231"/>
    </row>
    <row r="173" spans="6:7">
      <c r="F173" s="231"/>
      <c r="G173" s="231"/>
    </row>
    <row r="174" spans="6:7">
      <c r="F174" s="231"/>
      <c r="G174" s="231"/>
    </row>
    <row r="175" spans="6:7">
      <c r="F175" s="231"/>
      <c r="G175" s="231"/>
    </row>
  </sheetData>
  <sheetProtection algorithmName="SHA-512" hashValue="0tOa2aNEoVkwGK0G6SBNCrV+ZnZ4Bh/Zs2XRsbKIg10ZpNb7cDAIzTFEoOOKmywxbOqWou7NSKDmwLp21SpF8g==" saltValue="G4aOKvX5/OLo7ff8kg2M0g==" spinCount="100000" sheet="1" formatCells="0" insertRows="0" deleteRows="0"/>
  <mergeCells count="18">
    <mergeCell ref="D18:F18"/>
    <mergeCell ref="M7:M8"/>
    <mergeCell ref="I7:L7"/>
    <mergeCell ref="D17:F17"/>
    <mergeCell ref="D7:D8"/>
    <mergeCell ref="E7:E8"/>
    <mergeCell ref="F7:F8"/>
    <mergeCell ref="G7:G8"/>
    <mergeCell ref="H7:H8"/>
    <mergeCell ref="U7:X7"/>
    <mergeCell ref="Y7:Y8"/>
    <mergeCell ref="P17:R17"/>
    <mergeCell ref="P18:R18"/>
    <mergeCell ref="P7:P8"/>
    <mergeCell ref="Q7:Q8"/>
    <mergeCell ref="R7:R8"/>
    <mergeCell ref="S7:S8"/>
    <mergeCell ref="T7:T8"/>
  </mergeCells>
  <phoneticPr fontId="1"/>
  <conditionalFormatting sqref="G9:G16">
    <cfRule type="containsBlanks" dxfId="1294" priority="5">
      <formula>LEN(TRIM(G9))=0</formula>
    </cfRule>
  </conditionalFormatting>
  <conditionalFormatting sqref="H9:M18">
    <cfRule type="expression" dxfId="1293" priority="1">
      <formula>H9&lt;&gt;T9</formula>
    </cfRule>
    <cfRule type="containsBlanks" dxfId="1292" priority="4">
      <formula>LEN(TRIM(H9))=0</formula>
    </cfRule>
  </conditionalFormatting>
  <pageMargins left="0.7" right="0.7" top="0.75" bottom="0.75" header="0.3" footer="0.3"/>
  <pageSetup paperSize="8" scale="79" orientation="landscape" r:id="rId1"/>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F823F-4981-4241-9B74-092950A78AE1}">
  <sheetPr codeName="Sheet25">
    <tabColor theme="7" tint="0.79998168889431442"/>
    <pageSetUpPr autoPageBreaks="0" fitToPage="1"/>
  </sheetPr>
  <dimension ref="A1:Z59"/>
  <sheetViews>
    <sheetView showGridLines="0" zoomScaleNormal="100" zoomScaleSheetLayoutView="84" workbookViewId="0"/>
  </sheetViews>
  <sheetFormatPr defaultColWidth="9" defaultRowHeight="18"/>
  <cols>
    <col min="1" max="1" width="2.5" style="230" customWidth="1"/>
    <col min="2" max="2" width="0.83203125" style="230" customWidth="1"/>
    <col min="3" max="3" width="4.5" style="230" bestFit="1" customWidth="1"/>
    <col min="4" max="4" width="5.25" style="230" customWidth="1"/>
    <col min="5" max="5" width="28.5" style="324" customWidth="1"/>
    <col min="6" max="6" width="10.83203125" style="230" customWidth="1"/>
    <col min="7" max="7" width="10.33203125" style="230" customWidth="1"/>
    <col min="8" max="8" width="15.25" style="324" customWidth="1"/>
    <col min="9" max="9" width="13.33203125" style="230" customWidth="1"/>
    <col min="10" max="10" width="13.33203125" style="229" customWidth="1"/>
    <col min="11" max="11" width="15.25" style="230" customWidth="1"/>
    <col min="12" max="12" width="15.25" style="555" customWidth="1"/>
    <col min="13" max="13" width="0.83203125" style="230" customWidth="1"/>
    <col min="14" max="14" width="3" style="230" customWidth="1"/>
    <col min="15" max="15" width="2.75" style="556" customWidth="1"/>
    <col min="16" max="23" width="14.5" style="556" hidden="1" customWidth="1"/>
    <col min="24" max="26" width="14.5" style="90" hidden="1" customWidth="1"/>
    <col min="27" max="16384" width="9" style="90"/>
  </cols>
  <sheetData>
    <row r="1" spans="1:26">
      <c r="A1" s="554" t="s">
        <v>357</v>
      </c>
    </row>
    <row r="2" spans="1:26">
      <c r="A2" s="557" t="s">
        <v>363</v>
      </c>
      <c r="B2" s="558"/>
      <c r="C2" s="558"/>
      <c r="D2" s="558"/>
      <c r="E2" s="558"/>
      <c r="F2" s="558"/>
      <c r="G2" s="558"/>
      <c r="H2" s="558"/>
      <c r="I2" s="558"/>
      <c r="J2" s="559"/>
      <c r="K2" s="558"/>
      <c r="L2" s="559"/>
      <c r="P2" s="560" t="s">
        <v>317</v>
      </c>
      <c r="S2" s="556" t="s">
        <v>481</v>
      </c>
      <c r="T2" s="556" cm="1">
        <f t="array" ref="T2">IFERROR(_xlfn._xlws.FILTER(1,1),"")</f>
        <v>1</v>
      </c>
    </row>
    <row r="3" spans="1:26">
      <c r="A3" s="557" t="s">
        <v>506</v>
      </c>
      <c r="B3" s="558"/>
      <c r="C3" s="558"/>
      <c r="D3" s="558"/>
      <c r="E3" s="558"/>
      <c r="F3" s="558"/>
      <c r="G3" s="558"/>
      <c r="H3" s="558"/>
      <c r="I3" s="558"/>
      <c r="J3" s="559"/>
      <c r="K3" s="558"/>
      <c r="L3" s="559"/>
      <c r="P3" s="268" t="s">
        <v>222</v>
      </c>
      <c r="Q3" s="268">
        <f ca="1">COUNTA(OFFSET($E$9,0,0,MATCH("民生・業務その他(オフィスビル)",$D:$D,0)-MATCH("民生・家庭(戸建住宅)",$D:$D,0)))</f>
        <v>0</v>
      </c>
      <c r="S3" s="268" t="s">
        <v>222</v>
      </c>
      <c r="T3" s="268">
        <f ca="1">COUNTIF($X$9:$X$49,"*?*")</f>
        <v>0</v>
      </c>
    </row>
    <row r="4" spans="1:26">
      <c r="A4" s="557"/>
      <c r="B4" s="558"/>
      <c r="C4" s="558"/>
      <c r="D4" s="558"/>
      <c r="E4" s="558"/>
      <c r="F4" s="558"/>
      <c r="G4" s="558"/>
      <c r="H4" s="558"/>
      <c r="I4" s="558"/>
      <c r="J4" s="559"/>
      <c r="K4" s="558"/>
      <c r="L4" s="559"/>
      <c r="P4" s="268" t="s">
        <v>223</v>
      </c>
      <c r="Q4" s="268">
        <f ca="1">COUNTA(OFFSET($E$19,0,0,MATCH("公共(公共施設)",$D:$D,0)-MATCH("民生・業務その他(オフィスビル)",$D:$D,0)))</f>
        <v>0</v>
      </c>
      <c r="S4" s="268" t="s">
        <v>61</v>
      </c>
      <c r="T4" s="268">
        <f ca="1">COUNTIF($Y$9:$Y$49,"*?*")</f>
        <v>0</v>
      </c>
    </row>
    <row r="5" spans="1:26" ht="24" customHeight="1">
      <c r="B5" s="324"/>
      <c r="C5" s="324"/>
      <c r="D5" s="324"/>
      <c r="F5" s="324"/>
      <c r="G5" s="324"/>
      <c r="I5" s="324"/>
      <c r="J5" s="555"/>
      <c r="K5" s="324"/>
      <c r="P5" s="268" t="s">
        <v>224</v>
      </c>
      <c r="Q5" s="268">
        <f ca="1">COUNTA(OFFSET($E$39,0,0,MATCH("合計",$D:$D,0)-MATCH("公共(公共施設)",$D:$D,0)))</f>
        <v>0</v>
      </c>
      <c r="S5" s="268" t="s">
        <v>63</v>
      </c>
      <c r="T5" s="268">
        <f ca="1">COUNTIF($Z$9:$Z$49,"*?*")</f>
        <v>0</v>
      </c>
    </row>
    <row r="6" spans="1:26" ht="16.5" customHeight="1">
      <c r="M6" s="324"/>
    </row>
    <row r="7" spans="1:26" ht="7" customHeight="1">
      <c r="B7" s="561"/>
      <c r="C7" s="237"/>
      <c r="D7" s="237"/>
      <c r="E7" s="562"/>
      <c r="F7" s="237"/>
      <c r="G7" s="237"/>
      <c r="H7" s="562"/>
      <c r="I7" s="237"/>
      <c r="J7" s="563"/>
      <c r="K7" s="237"/>
      <c r="L7" s="564"/>
      <c r="M7" s="565"/>
    </row>
    <row r="8" spans="1:26" ht="53.25" customHeight="1">
      <c r="B8" s="566"/>
      <c r="C8" s="567" t="s">
        <v>0</v>
      </c>
      <c r="D8" s="567" t="s">
        <v>29</v>
      </c>
      <c r="E8" s="568" t="s">
        <v>30</v>
      </c>
      <c r="F8" s="567" t="s">
        <v>44</v>
      </c>
      <c r="G8" s="569" t="s">
        <v>31</v>
      </c>
      <c r="H8" s="570" t="s">
        <v>45</v>
      </c>
      <c r="I8" s="570" t="s">
        <v>46</v>
      </c>
      <c r="J8" s="570" t="s">
        <v>228</v>
      </c>
      <c r="K8" s="845" t="s">
        <v>84</v>
      </c>
      <c r="L8" s="568" t="s">
        <v>159</v>
      </c>
      <c r="M8" s="571"/>
      <c r="P8" s="572" t="s">
        <v>29</v>
      </c>
      <c r="Q8" s="572" t="s">
        <v>308</v>
      </c>
      <c r="R8" s="572" t="s">
        <v>447</v>
      </c>
      <c r="S8" s="572" t="s">
        <v>186</v>
      </c>
      <c r="T8" s="572" t="s">
        <v>222</v>
      </c>
      <c r="U8" s="572" t="s">
        <v>450</v>
      </c>
      <c r="V8" s="572" t="s">
        <v>63</v>
      </c>
      <c r="W8" s="572" t="s">
        <v>380</v>
      </c>
      <c r="X8" s="573" t="s">
        <v>496</v>
      </c>
      <c r="Y8" s="573" t="s">
        <v>497</v>
      </c>
      <c r="Z8" s="573" t="s">
        <v>498</v>
      </c>
    </row>
    <row r="9" spans="1:26">
      <c r="B9" s="566"/>
      <c r="C9" s="376">
        <v>1</v>
      </c>
      <c r="D9" s="574" t="s">
        <v>37</v>
      </c>
      <c r="E9" s="621"/>
      <c r="F9" s="622"/>
      <c r="G9" s="623"/>
      <c r="H9" s="624"/>
      <c r="I9" s="625"/>
      <c r="J9" s="626"/>
      <c r="K9" s="301" t="str">
        <f>IF(AND(COUNTBLANK($I9:$I14)=3,COUNTA($I9:$I14)=0),0,IF(SUM($I9:$I14)=0,"",SUM($I9:$I14)))</f>
        <v/>
      </c>
      <c r="L9" s="716" t="str">
        <f t="shared" ref="L9:L10" ca="1" si="0">W9</f>
        <v/>
      </c>
      <c r="M9" s="571"/>
      <c r="P9" s="575" t="s">
        <v>222</v>
      </c>
      <c r="Q9" s="575">
        <f>ROW()-ROW($Q$8)</f>
        <v>1</v>
      </c>
      <c r="R9" s="576" t="str">
        <f>IF(S9&lt;&gt;"//",COUNTA($S$9:$S9)-COUNTIF($S$9:$S9,"//"),"")</f>
        <v/>
      </c>
      <c r="S9" s="575" t="str">
        <f>IF(E9="","//",E9)</f>
        <v>//</v>
      </c>
      <c r="T9" s="576" t="str">
        <f ca="1">_xlfn.IFNA(IF(OFFSET($P$1,MATCH($Q9,$R:$R,0)-1,0)&lt;&gt;T$8,"",IF(COUNTIF('4.2需要家合意形成状況(住宅)'!$D:$D,OFFSET($S$1,MATCH($Q9,$R:$R,0)-1,0))=0,OFFSET($S$1,MATCH($Q9,$R:$R,0)-1,0),"")),"")</f>
        <v/>
      </c>
      <c r="U9" s="576" t="str">
        <f ca="1">_xlfn.IFNA(IF(OFFSET($P$1,MATCH($Q9,$R:$R,0)-1,0)&lt;&gt;U$8,"",IF(COUNTIF('4.2需要家合意形成状況(民生・業務その他)'!$D:$D,OFFSET($S$1,MATCH($Q9,$R:$R,0)-1,0))=0,OFFSET($S$1,MATCH($Q9,$R:$R,0)-1,0),"")),"")</f>
        <v/>
      </c>
      <c r="V9" s="576" t="str">
        <f ca="1">_xlfn.IFNA(IF(OFFSET($P$1,MATCH($Q9,$R:$R,0)-1,0)&lt;&gt;V$8,"",IF(COUNTIF('4.2需要家合意形成状況(公共)'!$D:$D,OFFSET($S$1,MATCH($Q9,$R:$R,0)-1,0))=0,OFFSET($S$1,MATCH($Q9,$R:$R,0)-1,0),"")),"")</f>
        <v/>
      </c>
      <c r="W9" s="576" t="str" cm="1">
        <f t="array" aca="1" ref="W9" ca="1">_xlfn.IFNA(_xlfn.IFS($P9="住宅",OFFSET('4.2需要家合意形成状況(住宅)'!$F$1,MATCH('4.2民生電力需要量'!$S9,'4.2需要家合意形成状況(住宅)'!$D:$D,0)+1,0),$P9="業務その他",OFFSET('4.2需要家合意形成状況(民生・業務その他)'!$F$1,MATCH('4.2民生電力需要量'!$S9,'4.2需要家合意形成状況(民生・業務その他)'!$D:$D,0)+1,0),$P9="公共",OFFSET('4.2需要家合意形成状況(公共)'!$F$1,MATCH('4.2民生電力需要量'!$S9,'4.2需要家合意形成状況(公共)'!$D:$D,0)+1,0)),"")</f>
        <v/>
      </c>
      <c r="X9" s="410" t="str" cm="1">
        <f t="array" aca="1" ref="X9" ca="1">IFERROR(_xlfn._xlws.FILTER(T$9:T$49,T$9:T$49&lt;&gt;""),"")</f>
        <v/>
      </c>
      <c r="Y9" s="410" t="str" cm="1">
        <f t="array" aca="1" ref="Y9" ca="1">IFERROR(_xlfn._xlws.FILTER(U$9:U$49,U$9:U$49&lt;&gt;""),"")</f>
        <v/>
      </c>
      <c r="Z9" s="410" t="str" cm="1">
        <f t="array" aca="1" ref="Z9" ca="1">IFERROR(_xlfn._xlws.FILTER(V$9:V$49,V$9:V$49&lt;&gt;""),"")</f>
        <v/>
      </c>
    </row>
    <row r="10" spans="1:26" s="431" customFormat="1" hidden="1">
      <c r="A10" s="429"/>
      <c r="B10" s="577"/>
      <c r="C10" s="578"/>
      <c r="D10" s="579"/>
      <c r="E10" s="606"/>
      <c r="F10" s="607"/>
      <c r="G10" s="607"/>
      <c r="H10" s="608"/>
      <c r="I10" s="609"/>
      <c r="J10" s="610"/>
      <c r="K10" s="580"/>
      <c r="L10" s="627" t="str">
        <f t="shared" ca="1" si="0"/>
        <v/>
      </c>
      <c r="M10" s="581"/>
      <c r="N10" s="429"/>
      <c r="O10" s="582"/>
      <c r="P10" s="583" t="s">
        <v>448</v>
      </c>
      <c r="Q10" s="583">
        <f t="shared" ref="Q10:Q49" si="1">ROW()-ROW($Q$8)</f>
        <v>2</v>
      </c>
      <c r="R10" s="584" t="str">
        <f>IF(S10&lt;&gt;"//",COUNTA($S$9:$S10)-COUNTIF($S$9:$S10,"//"),"")</f>
        <v/>
      </c>
      <c r="S10" s="583" t="str">
        <f t="shared" ref="S10:S49" si="2">IF(E10="","//",E10)</f>
        <v>//</v>
      </c>
      <c r="T10" s="584" t="str">
        <f ca="1">_xlfn.IFNA(IF(OFFSET($P$1,MATCH($Q10,$R:$R,0)-1,0)&lt;&gt;T$8,"",IF(COUNTIF('4.2需要家合意形成状況(住宅)'!$D:$D,OFFSET($S$1,MATCH($Q10,$R:$R,0)-1,0))=0,OFFSET($S$1,MATCH($Q10,$R:$R,0)-1,0),"")),"")</f>
        <v/>
      </c>
      <c r="U10" s="583" t="str">
        <f ca="1">_xlfn.IFNA(IF(OFFSET($P$1,MATCH($Q10,$R:$R,0)-1,0)&lt;&gt;U$8,"",IF(COUNTIF('4.2需要家合意形成状況(民生・業務その他)'!$D:$D,OFFSET($S$1,MATCH($Q10,$R:$R,0)-1,0))=0,OFFSET($S$1,MATCH($Q10,$R:$R,0)-1,0),"")),"")</f>
        <v/>
      </c>
      <c r="V10" s="583" t="str">
        <f ca="1">_xlfn.IFNA(IF(OFFSET($P$1,MATCH($Q10,$R:$R,0)-1,0)&lt;&gt;V$8,"",IF(COUNTIF('4.2需要家合意形成状況(公共)'!$D:$D,OFFSET($S$1,MATCH($Q10,$R:$R,0)-1,0))=0,OFFSET($S$1,MATCH($Q10,$R:$R,0)-1,0),"")),"")</f>
        <v/>
      </c>
      <c r="W10" s="584" t="str" cm="1">
        <f t="array" aca="1" ref="W10" ca="1">_xlfn.IFNA(_xlfn.IFS($P10="住宅",OFFSET('4.2需要家合意形成状況(住宅)'!$F$1,MATCH('4.2民生電力需要量'!$S10,'4.2需要家合意形成状況(住宅)'!$D:$D,0)+1,0),$P10="業務その他",OFFSET('4.2需要家合意形成状況(民生・業務その他)'!$F$1,MATCH('4.2民生電力需要量'!$S10,'4.2需要家合意形成状況(民生・業務その他)'!$D:$D,0)+1,0),$P10="公共",OFFSET('4.2需要家合意形成状況(公共)'!$F$1,MATCH('4.2民生電力需要量'!$S10,'4.2需要家合意形成状況(公共)'!$D:$D,0)+1,0)),"")</f>
        <v/>
      </c>
      <c r="X10" s="215"/>
      <c r="Y10" s="215"/>
      <c r="Z10" s="215"/>
    </row>
    <row r="11" spans="1:26" s="431" customFormat="1">
      <c r="A11" s="429"/>
      <c r="B11" s="577"/>
      <c r="C11" s="578" t="s">
        <v>590</v>
      </c>
      <c r="D11" s="579"/>
      <c r="E11" s="611"/>
      <c r="F11" s="612"/>
      <c r="G11" s="612"/>
      <c r="H11" s="613"/>
      <c r="I11" s="614"/>
      <c r="J11" s="615"/>
      <c r="K11" s="580"/>
      <c r="L11" s="627" t="str">
        <f t="shared" ref="L11" ca="1" si="3">W11</f>
        <v/>
      </c>
      <c r="M11" s="581"/>
      <c r="N11" s="429"/>
      <c r="O11" s="582"/>
      <c r="P11" s="583" t="s">
        <v>448</v>
      </c>
      <c r="Q11" s="583">
        <f t="shared" si="1"/>
        <v>3</v>
      </c>
      <c r="R11" s="584" t="str">
        <f>IF(S11&lt;&gt;"//",COUNTA($S$9:$S11)-COUNTIF($S$9:$S11,"//"),"")</f>
        <v/>
      </c>
      <c r="S11" s="583" t="str">
        <f t="shared" ref="S11" si="4">IF(E11="","//",E11)</f>
        <v>//</v>
      </c>
      <c r="T11" s="584" t="str">
        <f ca="1">_xlfn.IFNA(IF(OFFSET($P$1,MATCH($Q11,$R:$R,0)-1,0)&lt;&gt;T$8,"",IF(COUNTIF('4.2需要家合意形成状況(住宅)'!$D:$D,OFFSET($S$1,MATCH($Q11,$R:$R,0)-1,0))=0,OFFSET($S$1,MATCH($Q11,$R:$R,0)-1,0),"")),"")</f>
        <v/>
      </c>
      <c r="U11" s="583" t="str">
        <f ca="1">_xlfn.IFNA(IF(OFFSET($P$1,MATCH($Q11,$R:$R,0)-1,0)&lt;&gt;U$8,"",IF(COUNTIF('4.2需要家合意形成状況(民生・業務その他)'!$D:$D,OFFSET($S$1,MATCH($Q11,$R:$R,0)-1,0))=0,OFFSET($S$1,MATCH($Q11,$R:$R,0)-1,0),"")),"")</f>
        <v/>
      </c>
      <c r="V11" s="583" t="str">
        <f ca="1">_xlfn.IFNA(IF(OFFSET($P$1,MATCH($Q11,$R:$R,0)-1,0)&lt;&gt;V$8,"",IF(COUNTIF('4.2需要家合意形成状況(公共)'!$D:$D,OFFSET($S$1,MATCH($Q11,$R:$R,0)-1,0))=0,OFFSET($S$1,MATCH($Q11,$R:$R,0)-1,0),"")),"")</f>
        <v/>
      </c>
      <c r="W11" s="584" t="str" cm="1">
        <f t="array" aca="1" ref="W11" ca="1">_xlfn.IFNA(_xlfn.IFS($P11="住宅",OFFSET('4.2需要家合意形成状況(住宅)'!$F$1,MATCH('4.2民生電力需要量'!$S11,'4.2需要家合意形成状況(住宅)'!$D:$D,0)+1,0),$P11="業務その他",OFFSET('4.2需要家合意形成状況(民生・業務その他)'!$F$1,MATCH('4.2民生電力需要量'!$S11,'4.2需要家合意形成状況(民生・業務その他)'!$D:$D,0)+1,0),$P11="公共",OFFSET('4.2需要家合意形成状況(公共)'!$F$1,MATCH('4.2民生電力需要量'!$S11,'4.2需要家合意形成状況(公共)'!$D:$D,0)+1,0)),"")</f>
        <v/>
      </c>
      <c r="X11" s="215"/>
      <c r="Y11" s="215"/>
      <c r="Z11" s="215"/>
    </row>
    <row r="12" spans="1:26" s="431" customFormat="1">
      <c r="A12" s="429"/>
      <c r="B12" s="577"/>
      <c r="C12" s="578"/>
      <c r="D12" s="579"/>
      <c r="E12" s="611"/>
      <c r="F12" s="612"/>
      <c r="G12" s="612"/>
      <c r="H12" s="613"/>
      <c r="I12" s="614"/>
      <c r="J12" s="615"/>
      <c r="K12" s="580"/>
      <c r="L12" s="627" t="str">
        <f t="shared" ref="L12:L48" ca="1" si="5">W12</f>
        <v/>
      </c>
      <c r="M12" s="581"/>
      <c r="N12" s="429"/>
      <c r="O12" s="582"/>
      <c r="P12" s="583" t="s">
        <v>448</v>
      </c>
      <c r="Q12" s="583">
        <f t="shared" si="1"/>
        <v>4</v>
      </c>
      <c r="R12" s="584" t="str">
        <f>IF(S12&lt;&gt;"//",COUNTA($S$9:$S12)-COUNTIF($S$9:$S12,"//"),"")</f>
        <v/>
      </c>
      <c r="S12" s="583" t="str">
        <f t="shared" si="2"/>
        <v>//</v>
      </c>
      <c r="T12" s="584" t="str">
        <f ca="1">_xlfn.IFNA(IF(OFFSET($P$1,MATCH($Q12,$R:$R,0)-1,0)&lt;&gt;T$8,"",IF(COUNTIF('4.2需要家合意形成状況(住宅)'!$D:$D,OFFSET($S$1,MATCH($Q12,$R:$R,0)-1,0))=0,OFFSET($S$1,MATCH($Q12,$R:$R,0)-1,0),"")),"")</f>
        <v/>
      </c>
      <c r="U12" s="583" t="str">
        <f ca="1">_xlfn.IFNA(IF(OFFSET($P$1,MATCH($Q12,$R:$R,0)-1,0)&lt;&gt;U$8,"",IF(COUNTIF('4.2需要家合意形成状況(民生・業務その他)'!$D:$D,OFFSET($S$1,MATCH($Q12,$R:$R,0)-1,0))=0,OFFSET($S$1,MATCH($Q12,$R:$R,0)-1,0),"")),"")</f>
        <v/>
      </c>
      <c r="V12" s="583" t="str">
        <f ca="1">_xlfn.IFNA(IF(OFFSET($P$1,MATCH($Q12,$R:$R,0)-1,0)&lt;&gt;V$8,"",IF(COUNTIF('4.2需要家合意形成状況(公共)'!$D:$D,OFFSET($S$1,MATCH($Q12,$R:$R,0)-1,0))=0,OFFSET($S$1,MATCH($Q12,$R:$R,0)-1,0),"")),"")</f>
        <v/>
      </c>
      <c r="W12" s="584" t="str" cm="1">
        <f t="array" aca="1" ref="W12" ca="1">_xlfn.IFNA(_xlfn.IFS($P12="住宅",OFFSET('4.2需要家合意形成状況(住宅)'!$F$1,MATCH('4.2民生電力需要量'!$S12,'4.2需要家合意形成状況(住宅)'!$D:$D,0)+1,0),$P12="業務その他",OFFSET('4.2需要家合意形成状況(民生・業務その他)'!$F$1,MATCH('4.2民生電力需要量'!$S12,'4.2需要家合意形成状況(民生・業務その他)'!$D:$D,0)+1,0),$P12="公共",OFFSET('4.2需要家合意形成状況(公共)'!$F$1,MATCH('4.2民生電力需要量'!$S12,'4.2需要家合意形成状況(公共)'!$D:$D,0)+1,0)),"")</f>
        <v/>
      </c>
      <c r="X12" s="215"/>
      <c r="Y12" s="215"/>
      <c r="Z12" s="215"/>
    </row>
    <row r="13" spans="1:26" s="431" customFormat="1">
      <c r="A13" s="429"/>
      <c r="B13" s="577"/>
      <c r="C13" s="578"/>
      <c r="D13" s="579"/>
      <c r="E13" s="611"/>
      <c r="F13" s="612"/>
      <c r="G13" s="612"/>
      <c r="H13" s="613"/>
      <c r="I13" s="614"/>
      <c r="J13" s="615"/>
      <c r="K13" s="580"/>
      <c r="L13" s="627" t="str">
        <f t="shared" ca="1" si="5"/>
        <v/>
      </c>
      <c r="M13" s="581"/>
      <c r="N13" s="429"/>
      <c r="O13" s="582"/>
      <c r="P13" s="583" t="s">
        <v>448</v>
      </c>
      <c r="Q13" s="583">
        <f t="shared" si="1"/>
        <v>5</v>
      </c>
      <c r="R13" s="584" t="str">
        <f>IF(S13&lt;&gt;"//",COUNTA($S$9:$S13)-COUNTIF($S$9:$S13,"//"),"")</f>
        <v/>
      </c>
      <c r="S13" s="583" t="str">
        <f t="shared" si="2"/>
        <v>//</v>
      </c>
      <c r="T13" s="584" t="str">
        <f ca="1">_xlfn.IFNA(IF(OFFSET($P$1,MATCH($Q13,$R:$R,0)-1,0)&lt;&gt;T$8,"",IF(COUNTIF('4.2需要家合意形成状況(住宅)'!$D:$D,OFFSET($S$1,MATCH($Q13,$R:$R,0)-1,0))=0,OFFSET($S$1,MATCH($Q13,$R:$R,0)-1,0),"")),"")</f>
        <v/>
      </c>
      <c r="U13" s="583" t="str">
        <f ca="1">_xlfn.IFNA(IF(OFFSET($P$1,MATCH($Q13,$R:$R,0)-1,0)&lt;&gt;U$8,"",IF(COUNTIF('4.2需要家合意形成状況(民生・業務その他)'!$D:$D,OFFSET($S$1,MATCH($Q13,$R:$R,0)-1,0))=0,OFFSET($S$1,MATCH($Q13,$R:$R,0)-1,0),"")),"")</f>
        <v/>
      </c>
      <c r="V13" s="583" t="str">
        <f ca="1">_xlfn.IFNA(IF(OFFSET($P$1,MATCH($Q13,$R:$R,0)-1,0)&lt;&gt;V$8,"",IF(COUNTIF('4.2需要家合意形成状況(公共)'!$D:$D,OFFSET($S$1,MATCH($Q13,$R:$R,0)-1,0))=0,OFFSET($S$1,MATCH($Q13,$R:$R,0)-1,0),"")),"")</f>
        <v/>
      </c>
      <c r="W13" s="584" t="str" cm="1">
        <f t="array" aca="1" ref="W13" ca="1">_xlfn.IFNA(_xlfn.IFS($P13="住宅",OFFSET('4.2需要家合意形成状況(住宅)'!$F$1,MATCH('4.2民生電力需要量'!$S13,'4.2需要家合意形成状況(住宅)'!$D:$D,0)+1,0),$P13="業務その他",OFFSET('4.2需要家合意形成状況(民生・業務その他)'!$F$1,MATCH('4.2民生電力需要量'!$S13,'4.2需要家合意形成状況(民生・業務その他)'!$D:$D,0)+1,0),$P13="公共",OFFSET('4.2需要家合意形成状況(公共)'!$F$1,MATCH('4.2民生電力需要量'!$S13,'4.2需要家合意形成状況(公共)'!$D:$D,0)+1,0)),"")</f>
        <v/>
      </c>
      <c r="X13" s="215"/>
      <c r="Y13" s="215"/>
      <c r="Z13" s="215"/>
    </row>
    <row r="14" spans="1:26">
      <c r="B14" s="566"/>
      <c r="C14" s="585">
        <v>2</v>
      </c>
      <c r="D14" s="574" t="s">
        <v>38</v>
      </c>
      <c r="E14" s="621"/>
      <c r="F14" s="622"/>
      <c r="G14" s="623"/>
      <c r="H14" s="624"/>
      <c r="I14" s="625"/>
      <c r="J14" s="626"/>
      <c r="K14" s="301" t="str">
        <f>IF(AND(COUNTBLANK($I14:$I19)=3,COUNTA($I14:$I19)=0),0,IF(SUM($I14:$I19)=0,"",SUM($I14:$I19)))</f>
        <v/>
      </c>
      <c r="L14" s="628"/>
      <c r="M14" s="571"/>
      <c r="P14" s="575" t="s">
        <v>448</v>
      </c>
      <c r="Q14" s="575">
        <f t="shared" si="1"/>
        <v>6</v>
      </c>
      <c r="R14" s="575" t="str">
        <f>IF(S14&lt;&gt;"//",COUNTA($S$9:$S14)-COUNTIF($S$9:$S14,"//"),"")</f>
        <v/>
      </c>
      <c r="S14" s="575" t="str">
        <f t="shared" si="2"/>
        <v>//</v>
      </c>
      <c r="T14" s="576" t="str">
        <f ca="1">_xlfn.IFNA(IF(OFFSET($P$1,MATCH($Q14,$R:$R,0)-1,0)&lt;&gt;T$8,"",IF(COUNTIF('4.2需要家合意形成状況(住宅)'!$D:$D,OFFSET($S$1,MATCH($Q14,$R:$R,0)-1,0))=0,OFFSET($S$1,MATCH($Q14,$R:$R,0)-1,0),"")),"")</f>
        <v/>
      </c>
      <c r="U14" s="575" t="str">
        <f ca="1">_xlfn.IFNA(IF(OFFSET($P$1,MATCH($Q14,$R:$R,0)-1,0)&lt;&gt;U$8,"",IF(COUNTIF('4.2需要家合意形成状況(民生・業務その他)'!$D:$D,OFFSET($S$1,MATCH($Q14,$R:$R,0)-1,0))=0,OFFSET($S$1,MATCH($Q14,$R:$R,0)-1,0),"")),"")</f>
        <v/>
      </c>
      <c r="V14" s="575" t="str">
        <f ca="1">_xlfn.IFNA(IF(OFFSET($P$1,MATCH($Q14,$R:$R,0)-1,0)&lt;&gt;V$8,"",IF(COUNTIF('4.2需要家合意形成状況(公共)'!$D:$D,OFFSET($S$1,MATCH($Q14,$R:$R,0)-1,0))=0,OFFSET($S$1,MATCH($Q14,$R:$R,0)-1,0),"")),"")</f>
        <v/>
      </c>
      <c r="W14" s="575" t="str" cm="1">
        <f t="array" aca="1" ref="W14" ca="1">_xlfn.IFNA(_xlfn.IFS($P14="住宅",OFFSET('4.2需要家合意形成状況(住宅)'!$F$1,MATCH('4.2民生電力需要量'!$S14,'4.2需要家合意形成状況(住宅)'!$D:$D,0)+1,0),$P14="業務その他",OFFSET('4.2需要家合意形成状況(民生・業務その他)'!$F$1,MATCH('4.2民生電力需要量'!$S14,'4.2需要家合意形成状況(民生・業務その他)'!$D:$D,0)+1,0),$P14="公共",OFFSET('4.2需要家合意形成状況(公共)'!$F$1,MATCH('4.2民生電力需要量'!$S14,'4.2需要家合意形成状況(公共)'!$D:$D,0)+1,0)),"")</f>
        <v/>
      </c>
      <c r="X14" s="410"/>
      <c r="Y14" s="410"/>
      <c r="Z14" s="410"/>
    </row>
    <row r="15" spans="1:26" s="431" customFormat="1" hidden="1">
      <c r="A15" s="429"/>
      <c r="B15" s="577"/>
      <c r="C15" s="578"/>
      <c r="D15" s="579"/>
      <c r="E15" s="606"/>
      <c r="F15" s="607"/>
      <c r="G15" s="607"/>
      <c r="H15" s="608"/>
      <c r="I15" s="609"/>
      <c r="J15" s="610"/>
      <c r="K15" s="580"/>
      <c r="L15" s="627" t="str">
        <f t="shared" ca="1" si="5"/>
        <v/>
      </c>
      <c r="M15" s="581"/>
      <c r="N15" s="429"/>
      <c r="O15" s="582"/>
      <c r="P15" s="583" t="s">
        <v>448</v>
      </c>
      <c r="Q15" s="583">
        <f t="shared" si="1"/>
        <v>7</v>
      </c>
      <c r="R15" s="583" t="str">
        <f>IF(S15&lt;&gt;"//",COUNTA($S$9:$S15)-COUNTIF($S$9:$S15,"//"),"")</f>
        <v/>
      </c>
      <c r="S15" s="583" t="str">
        <f t="shared" si="2"/>
        <v>//</v>
      </c>
      <c r="T15" s="584" t="str">
        <f ca="1">_xlfn.IFNA(IF(OFFSET($P$1,MATCH($Q15,$R:$R,0)-1,0)&lt;&gt;T$8,"",IF(COUNTIF('4.2需要家合意形成状況(住宅)'!$D:$D,OFFSET($S$1,MATCH($Q15,$R:$R,0)-1,0))=0,OFFSET($S$1,MATCH($Q15,$R:$R,0)-1,0),"")),"")</f>
        <v/>
      </c>
      <c r="U15" s="583" t="str">
        <f ca="1">_xlfn.IFNA(IF(OFFSET($P$1,MATCH($Q15,$R:$R,0)-1,0)&lt;&gt;U$8,"",IF(COUNTIF('4.2需要家合意形成状況(民生・業務その他)'!$D:$D,OFFSET($S$1,MATCH($Q15,$R:$R,0)-1,0))=0,OFFSET($S$1,MATCH($Q15,$R:$R,0)-1,0),"")),"")</f>
        <v/>
      </c>
      <c r="V15" s="583" t="str">
        <f ca="1">_xlfn.IFNA(IF(OFFSET($P$1,MATCH($Q15,$R:$R,0)-1,0)&lt;&gt;V$8,"",IF(COUNTIF('4.2需要家合意形成状況(公共)'!$D:$D,OFFSET($S$1,MATCH($Q15,$R:$R,0)-1,0))=0,OFFSET($S$1,MATCH($Q15,$R:$R,0)-1,0),"")),"")</f>
        <v/>
      </c>
      <c r="W15" s="583" t="str" cm="1">
        <f t="array" aca="1" ref="W15" ca="1">_xlfn.IFNA(_xlfn.IFS($P15="住宅",OFFSET('4.2需要家合意形成状況(住宅)'!$F$1,MATCH('4.2民生電力需要量'!$S15,'4.2需要家合意形成状況(住宅)'!$D:$D,0)+1,0),$P15="業務その他",OFFSET('4.2需要家合意形成状況(民生・業務その他)'!$F$1,MATCH('4.2民生電力需要量'!$S15,'4.2需要家合意形成状況(民生・業務その他)'!$D:$D,0)+1,0),$P15="公共",OFFSET('4.2需要家合意形成状況(公共)'!$F$1,MATCH('4.2民生電力需要量'!$S15,'4.2需要家合意形成状況(公共)'!$D:$D,0)+1,0)),"")</f>
        <v/>
      </c>
      <c r="X15" s="215"/>
      <c r="Y15" s="215"/>
      <c r="Z15" s="215"/>
    </row>
    <row r="16" spans="1:26" s="431" customFormat="1">
      <c r="A16" s="429"/>
      <c r="B16" s="577"/>
      <c r="C16" s="578" t="s">
        <v>591</v>
      </c>
      <c r="D16" s="579"/>
      <c r="E16" s="611"/>
      <c r="F16" s="612"/>
      <c r="G16" s="612"/>
      <c r="H16" s="613"/>
      <c r="I16" s="614"/>
      <c r="J16" s="615"/>
      <c r="K16" s="580"/>
      <c r="L16" s="627" t="str">
        <f t="shared" ref="L16" ca="1" si="6">W16</f>
        <v/>
      </c>
      <c r="M16" s="581"/>
      <c r="N16" s="429"/>
      <c r="O16" s="582"/>
      <c r="P16" s="583" t="s">
        <v>448</v>
      </c>
      <c r="Q16" s="583">
        <f t="shared" si="1"/>
        <v>8</v>
      </c>
      <c r="R16" s="583" t="str">
        <f>IF(S16&lt;&gt;"//",COUNTA($S$9:$S16)-COUNTIF($S$9:$S16,"//"),"")</f>
        <v/>
      </c>
      <c r="S16" s="583" t="str">
        <f t="shared" ref="S16" si="7">IF(E16="","//",E16)</f>
        <v>//</v>
      </c>
      <c r="T16" s="584" t="str">
        <f ca="1">_xlfn.IFNA(IF(OFFSET($P$1,MATCH($Q16,$R:$R,0)-1,0)&lt;&gt;T$8,"",IF(COUNTIF('4.2需要家合意形成状況(住宅)'!$D:$D,OFFSET($S$1,MATCH($Q16,$R:$R,0)-1,0))=0,OFFSET($S$1,MATCH($Q16,$R:$R,0)-1,0),"")),"")</f>
        <v/>
      </c>
      <c r="U16" s="583" t="str">
        <f ca="1">_xlfn.IFNA(IF(OFFSET($P$1,MATCH($Q16,$R:$R,0)-1,0)&lt;&gt;U$8,"",IF(COUNTIF('4.2需要家合意形成状況(民生・業務その他)'!$D:$D,OFFSET($S$1,MATCH($Q16,$R:$R,0)-1,0))=0,OFFSET($S$1,MATCH($Q16,$R:$R,0)-1,0),"")),"")</f>
        <v/>
      </c>
      <c r="V16" s="583" t="str">
        <f ca="1">_xlfn.IFNA(IF(OFFSET($P$1,MATCH($Q16,$R:$R,0)-1,0)&lt;&gt;V$8,"",IF(COUNTIF('4.2需要家合意形成状況(公共)'!$D:$D,OFFSET($S$1,MATCH($Q16,$R:$R,0)-1,0))=0,OFFSET($S$1,MATCH($Q16,$R:$R,0)-1,0),"")),"")</f>
        <v/>
      </c>
      <c r="W16" s="583" t="str" cm="1">
        <f t="array" aca="1" ref="W16" ca="1">_xlfn.IFNA(_xlfn.IFS($P16="住宅",OFFSET('4.2需要家合意形成状況(住宅)'!$F$1,MATCH('4.2民生電力需要量'!$S16,'4.2需要家合意形成状況(住宅)'!$D:$D,0)+1,0),$P16="業務その他",OFFSET('4.2需要家合意形成状況(民生・業務その他)'!$F$1,MATCH('4.2民生電力需要量'!$S16,'4.2需要家合意形成状況(民生・業務その他)'!$D:$D,0)+1,0),$P16="公共",OFFSET('4.2需要家合意形成状況(公共)'!$F$1,MATCH('4.2民生電力需要量'!$S16,'4.2需要家合意形成状況(公共)'!$D:$D,0)+1,0)),"")</f>
        <v/>
      </c>
      <c r="X16" s="215"/>
      <c r="Y16" s="215"/>
      <c r="Z16" s="215"/>
    </row>
    <row r="17" spans="1:26" s="431" customFormat="1">
      <c r="A17" s="429"/>
      <c r="B17" s="577"/>
      <c r="C17" s="578"/>
      <c r="D17" s="579"/>
      <c r="E17" s="611"/>
      <c r="F17" s="612"/>
      <c r="G17" s="612"/>
      <c r="H17" s="613"/>
      <c r="I17" s="614"/>
      <c r="J17" s="615"/>
      <c r="K17" s="580"/>
      <c r="L17" s="627" t="str">
        <f t="shared" ca="1" si="5"/>
        <v/>
      </c>
      <c r="M17" s="581"/>
      <c r="N17" s="429"/>
      <c r="O17" s="582"/>
      <c r="P17" s="583" t="s">
        <v>448</v>
      </c>
      <c r="Q17" s="583">
        <f t="shared" si="1"/>
        <v>9</v>
      </c>
      <c r="R17" s="583" t="str">
        <f>IF(S17&lt;&gt;"//",COUNTA($S$9:$S17)-COUNTIF($S$9:$S17,"//"),"")</f>
        <v/>
      </c>
      <c r="S17" s="583" t="str">
        <f t="shared" si="2"/>
        <v>//</v>
      </c>
      <c r="T17" s="584" t="str">
        <f ca="1">_xlfn.IFNA(IF(OFFSET($P$1,MATCH($Q17,$R:$R,0)-1,0)&lt;&gt;T$8,"",IF(COUNTIF('4.2需要家合意形成状況(住宅)'!$D:$D,OFFSET($S$1,MATCH($Q17,$R:$R,0)-1,0))=0,OFFSET($S$1,MATCH($Q17,$R:$R,0)-1,0),"")),"")</f>
        <v/>
      </c>
      <c r="U17" s="583" t="str">
        <f ca="1">_xlfn.IFNA(IF(OFFSET($P$1,MATCH($Q17,$R:$R,0)-1,0)&lt;&gt;U$8,"",IF(COUNTIF('4.2需要家合意形成状況(民生・業務その他)'!$D:$D,OFFSET($S$1,MATCH($Q17,$R:$R,0)-1,0))=0,OFFSET($S$1,MATCH($Q17,$R:$R,0)-1,0),"")),"")</f>
        <v/>
      </c>
      <c r="V17" s="583" t="str">
        <f ca="1">_xlfn.IFNA(IF(OFFSET($P$1,MATCH($Q17,$R:$R,0)-1,0)&lt;&gt;V$8,"",IF(COUNTIF('4.2需要家合意形成状況(公共)'!$D:$D,OFFSET($S$1,MATCH($Q17,$R:$R,0)-1,0))=0,OFFSET($S$1,MATCH($Q17,$R:$R,0)-1,0),"")),"")</f>
        <v/>
      </c>
      <c r="W17" s="583" t="str" cm="1">
        <f t="array" aca="1" ref="W17" ca="1">_xlfn.IFNA(_xlfn.IFS($P17="住宅",OFFSET('4.2需要家合意形成状況(住宅)'!$F$1,MATCH('4.2民生電力需要量'!$S17,'4.2需要家合意形成状況(住宅)'!$D:$D,0)+1,0),$P17="業務その他",OFFSET('4.2需要家合意形成状況(民生・業務その他)'!$F$1,MATCH('4.2民生電力需要量'!$S17,'4.2需要家合意形成状況(民生・業務その他)'!$D:$D,0)+1,0),$P17="公共",OFFSET('4.2需要家合意形成状況(公共)'!$F$1,MATCH('4.2民生電力需要量'!$S17,'4.2需要家合意形成状況(公共)'!$D:$D,0)+1,0)),"")</f>
        <v/>
      </c>
      <c r="X17" s="215"/>
      <c r="Y17" s="215"/>
      <c r="Z17" s="215"/>
    </row>
    <row r="18" spans="1:26" s="431" customFormat="1">
      <c r="A18" s="429"/>
      <c r="B18" s="577"/>
      <c r="C18" s="578"/>
      <c r="D18" s="579"/>
      <c r="E18" s="611"/>
      <c r="F18" s="612"/>
      <c r="G18" s="612"/>
      <c r="H18" s="613"/>
      <c r="I18" s="614"/>
      <c r="J18" s="615"/>
      <c r="K18" s="580"/>
      <c r="L18" s="627" t="str">
        <f t="shared" ca="1" si="5"/>
        <v/>
      </c>
      <c r="M18" s="581"/>
      <c r="N18" s="429"/>
      <c r="O18" s="582"/>
      <c r="P18" s="583" t="s">
        <v>448</v>
      </c>
      <c r="Q18" s="583">
        <f t="shared" si="1"/>
        <v>10</v>
      </c>
      <c r="R18" s="583" t="str">
        <f>IF(S18&lt;&gt;"//",COUNTA($S$9:$S18)-COUNTIF($S$9:$S18,"//"),"")</f>
        <v/>
      </c>
      <c r="S18" s="583" t="str">
        <f t="shared" si="2"/>
        <v>//</v>
      </c>
      <c r="T18" s="584" t="str">
        <f ca="1">_xlfn.IFNA(IF(OFFSET($P$1,MATCH($Q18,$R:$R,0)-1,0)&lt;&gt;T$8,"",IF(COUNTIF('4.2需要家合意形成状況(住宅)'!$D:$D,OFFSET($S$1,MATCH($Q18,$R:$R,0)-1,0))=0,OFFSET($S$1,MATCH($Q18,$R:$R,0)-1,0),"")),"")</f>
        <v/>
      </c>
      <c r="U18" s="583" t="str">
        <f ca="1">_xlfn.IFNA(IF(OFFSET($P$1,MATCH($Q18,$R:$R,0)-1,0)&lt;&gt;U$8,"",IF(COUNTIF('4.2需要家合意形成状況(民生・業務その他)'!$D:$D,OFFSET($S$1,MATCH($Q18,$R:$R,0)-1,0))=0,OFFSET($S$1,MATCH($Q18,$R:$R,0)-1,0),"")),"")</f>
        <v/>
      </c>
      <c r="V18" s="583" t="str">
        <f ca="1">_xlfn.IFNA(IF(OFFSET($P$1,MATCH($Q18,$R:$R,0)-1,0)&lt;&gt;V$8,"",IF(COUNTIF('4.2需要家合意形成状況(公共)'!$D:$D,OFFSET($S$1,MATCH($Q18,$R:$R,0)-1,0))=0,OFFSET($S$1,MATCH($Q18,$R:$R,0)-1,0),"")),"")</f>
        <v/>
      </c>
      <c r="W18" s="583" t="str" cm="1">
        <f t="array" aca="1" ref="W18" ca="1">_xlfn.IFNA(_xlfn.IFS($P18="住宅",OFFSET('4.2需要家合意形成状況(住宅)'!$F$1,MATCH('4.2民生電力需要量'!$S18,'4.2需要家合意形成状況(住宅)'!$D:$D,0)+1,0),$P18="業務その他",OFFSET('4.2需要家合意形成状況(民生・業務その他)'!$F$1,MATCH('4.2民生電力需要量'!$S18,'4.2需要家合意形成状況(民生・業務その他)'!$D:$D,0)+1,0),$P18="公共",OFFSET('4.2需要家合意形成状況(公共)'!$F$1,MATCH('4.2民生電力需要量'!$S18,'4.2需要家合意形成状況(公共)'!$D:$D,0)+1,0)),"")</f>
        <v/>
      </c>
      <c r="X18" s="215"/>
      <c r="Y18" s="215"/>
      <c r="Z18" s="215"/>
    </row>
    <row r="19" spans="1:26">
      <c r="A19" s="557"/>
      <c r="B19" s="586"/>
      <c r="C19" s="587">
        <v>3</v>
      </c>
      <c r="D19" s="574" t="s">
        <v>39</v>
      </c>
      <c r="E19" s="621"/>
      <c r="F19" s="622"/>
      <c r="G19" s="623"/>
      <c r="H19" s="624"/>
      <c r="I19" s="625"/>
      <c r="J19" s="626"/>
      <c r="K19" s="301" t="str">
        <f>IF(AND(COUNTBLANK($I19:$I24)=3,COUNTA($I19:$I24)=0),0,IF(SUM($I19:$I24)=0,"",SUM($I19:$I24)))</f>
        <v/>
      </c>
      <c r="L19" s="628"/>
      <c r="M19" s="571"/>
      <c r="N19" s="557"/>
      <c r="P19" s="575" t="s">
        <v>450</v>
      </c>
      <c r="Q19" s="575">
        <f t="shared" si="1"/>
        <v>11</v>
      </c>
      <c r="R19" s="575" t="str">
        <f>IF(S19&lt;&gt;"//",COUNTA($S$9:$S19)-COUNTIF($S$9:$S19,"//"),"")</f>
        <v/>
      </c>
      <c r="S19" s="575" t="str">
        <f t="shared" si="2"/>
        <v>//</v>
      </c>
      <c r="T19" s="576" t="str">
        <f ca="1">_xlfn.IFNA(IF(OFFSET($P$1,MATCH($Q19,$R:$R,0)-1,0)&lt;&gt;T$8,"",IF(COUNTIF('4.2需要家合意形成状況(住宅)'!$D:$D,OFFSET($S$1,MATCH($Q19,$R:$R,0)-1,0))=0,OFFSET($S$1,MATCH($Q19,$R:$R,0)-1,0),"")),"")</f>
        <v/>
      </c>
      <c r="U19" s="575" t="str">
        <f ca="1">_xlfn.IFNA(IF(OFFSET($P$1,MATCH($Q19,$R:$R,0)-1,0)&lt;&gt;U$8,"",IF(COUNTIF('4.2需要家合意形成状況(民生・業務その他)'!$D:$D,OFFSET($S$1,MATCH($Q19,$R:$R,0)-1,0))=0,OFFSET($S$1,MATCH($Q19,$R:$R,0)-1,0),"")),"")</f>
        <v/>
      </c>
      <c r="V19" s="575" t="str">
        <f ca="1">_xlfn.IFNA(IF(OFFSET($P$1,MATCH($Q19,$R:$R,0)-1,0)&lt;&gt;V$8,"",IF(COUNTIF('4.2需要家合意形成状況(公共)'!$D:$D,OFFSET($S$1,MATCH($Q19,$R:$R,0)-1,0))=0,OFFSET($S$1,MATCH($Q19,$R:$R,0)-1,0),"")),"")</f>
        <v/>
      </c>
      <c r="W19" s="575" t="str" cm="1">
        <f t="array" aca="1" ref="W19" ca="1">_xlfn.IFNA(_xlfn.IFS($P19="住宅",OFFSET('4.2需要家合意形成状況(住宅)'!$F$1,MATCH('4.2民生電力需要量'!$S19,'4.2需要家合意形成状況(住宅)'!$D:$D,0)+1,0),$P19="業務その他",OFFSET('4.2需要家合意形成状況(民生・業務その他)'!$F$1,MATCH('4.2民生電力需要量'!$S19,'4.2需要家合意形成状況(民生・業務その他)'!$D:$D,0)+1,0),$P19="公共",OFFSET('4.2需要家合意形成状況(公共)'!$F$1,MATCH('4.2民生電力需要量'!$S19,'4.2需要家合意形成状況(公共)'!$D:$D,0)+1,0)),"")</f>
        <v/>
      </c>
      <c r="X19" s="410"/>
      <c r="Y19" s="410"/>
      <c r="Z19" s="410"/>
    </row>
    <row r="20" spans="1:26" s="431" customFormat="1" hidden="1">
      <c r="A20" s="588"/>
      <c r="B20" s="589"/>
      <c r="C20" s="590"/>
      <c r="D20" s="579"/>
      <c r="E20" s="606"/>
      <c r="F20" s="607"/>
      <c r="G20" s="607"/>
      <c r="H20" s="608"/>
      <c r="I20" s="609"/>
      <c r="J20" s="610"/>
      <c r="K20" s="580"/>
      <c r="L20" s="627" t="str">
        <f t="shared" ca="1" si="5"/>
        <v/>
      </c>
      <c r="M20" s="581"/>
      <c r="N20" s="588"/>
      <c r="O20" s="582"/>
      <c r="P20" s="583" t="s">
        <v>449</v>
      </c>
      <c r="Q20" s="583">
        <f t="shared" si="1"/>
        <v>12</v>
      </c>
      <c r="R20" s="583" t="str">
        <f>IF(S20&lt;&gt;"//",COUNTA($S$9:$S20)-COUNTIF($S$9:$S20,"//"),"")</f>
        <v/>
      </c>
      <c r="S20" s="583" t="str">
        <f t="shared" si="2"/>
        <v>//</v>
      </c>
      <c r="T20" s="584" t="str">
        <f ca="1">_xlfn.IFNA(IF(OFFSET($P$1,MATCH($Q20,$R:$R,0)-1,0)&lt;&gt;T$8,"",IF(COUNTIF('4.2需要家合意形成状況(住宅)'!$D:$D,OFFSET($S$1,MATCH($Q20,$R:$R,0)-1,0))=0,OFFSET($S$1,MATCH($Q20,$R:$R,0)-1,0),"")),"")</f>
        <v/>
      </c>
      <c r="U20" s="583" t="str">
        <f ca="1">_xlfn.IFNA(IF(OFFSET($P$1,MATCH($Q20,$R:$R,0)-1,0)&lt;&gt;U$8,"",IF(COUNTIF('4.2需要家合意形成状況(民生・業務その他)'!$D:$D,OFFSET($S$1,MATCH($Q20,$R:$R,0)-1,0))=0,OFFSET($S$1,MATCH($Q20,$R:$R,0)-1,0),"")),"")</f>
        <v/>
      </c>
      <c r="V20" s="583" t="str">
        <f ca="1">_xlfn.IFNA(IF(OFFSET($P$1,MATCH($Q20,$R:$R,0)-1,0)&lt;&gt;V$8,"",IF(COUNTIF('4.2需要家合意形成状況(公共)'!$D:$D,OFFSET($S$1,MATCH($Q20,$R:$R,0)-1,0))=0,OFFSET($S$1,MATCH($Q20,$R:$R,0)-1,0),"")),"")</f>
        <v/>
      </c>
      <c r="W20" s="583" t="str" cm="1">
        <f t="array" aca="1" ref="W20" ca="1">_xlfn.IFNA(_xlfn.IFS($P20="住宅",OFFSET('4.2需要家合意形成状況(住宅)'!$F$1,MATCH('4.2民生電力需要量'!$S20,'4.2需要家合意形成状況(住宅)'!$D:$D,0)+1,0),$P20="業務その他",OFFSET('4.2需要家合意形成状況(民生・業務その他)'!$F$1,MATCH('4.2民生電力需要量'!$S20,'4.2需要家合意形成状況(民生・業務その他)'!$D:$D,0)+1,0),$P20="公共",OFFSET('4.2需要家合意形成状況(公共)'!$F$1,MATCH('4.2民生電力需要量'!$S20,'4.2需要家合意形成状況(公共)'!$D:$D,0)+1,0)),"")</f>
        <v/>
      </c>
      <c r="X20" s="215"/>
      <c r="Y20" s="215"/>
      <c r="Z20" s="215"/>
    </row>
    <row r="21" spans="1:26" s="431" customFormat="1">
      <c r="A21" s="588"/>
      <c r="B21" s="589"/>
      <c r="C21" s="590" t="s">
        <v>592</v>
      </c>
      <c r="D21" s="579"/>
      <c r="E21" s="611"/>
      <c r="F21" s="612"/>
      <c r="G21" s="612"/>
      <c r="H21" s="613"/>
      <c r="I21" s="614"/>
      <c r="J21" s="615"/>
      <c r="K21" s="580"/>
      <c r="L21" s="627" t="str">
        <f t="shared" ca="1" si="5"/>
        <v/>
      </c>
      <c r="M21" s="581"/>
      <c r="N21" s="588"/>
      <c r="O21" s="582"/>
      <c r="P21" s="583" t="s">
        <v>449</v>
      </c>
      <c r="Q21" s="583">
        <f t="shared" si="1"/>
        <v>13</v>
      </c>
      <c r="R21" s="583" t="str">
        <f>IF(S21&lt;&gt;"//",COUNTA($S$9:$S21)-COUNTIF($S$9:$S21,"//"),"")</f>
        <v/>
      </c>
      <c r="S21" s="583" t="str">
        <f t="shared" si="2"/>
        <v>//</v>
      </c>
      <c r="T21" s="584" t="str">
        <f ca="1">_xlfn.IFNA(IF(OFFSET($P$1,MATCH($Q21,$R:$R,0)-1,0)&lt;&gt;T$8,"",IF(COUNTIF('4.2需要家合意形成状況(住宅)'!$D:$D,OFFSET($S$1,MATCH($Q21,$R:$R,0)-1,0))=0,OFFSET($S$1,MATCH($Q21,$R:$R,0)-1,0),"")),"")</f>
        <v/>
      </c>
      <c r="U21" s="583" t="str">
        <f ca="1">_xlfn.IFNA(IF(OFFSET($P$1,MATCH($Q21,$R:$R,0)-1,0)&lt;&gt;U$8,"",IF(COUNTIF('4.2需要家合意形成状況(民生・業務その他)'!$D:$D,OFFSET($S$1,MATCH($Q21,$R:$R,0)-1,0))=0,OFFSET($S$1,MATCH($Q21,$R:$R,0)-1,0),"")),"")</f>
        <v/>
      </c>
      <c r="V21" s="583" t="str">
        <f ca="1">_xlfn.IFNA(IF(OFFSET($P$1,MATCH($Q21,$R:$R,0)-1,0)&lt;&gt;V$8,"",IF(COUNTIF('4.2需要家合意形成状況(公共)'!$D:$D,OFFSET($S$1,MATCH($Q21,$R:$R,0)-1,0))=0,OFFSET($S$1,MATCH($Q21,$R:$R,0)-1,0),"")),"")</f>
        <v/>
      </c>
      <c r="W21" s="583" t="str" cm="1">
        <f t="array" aca="1" ref="W21" ca="1">_xlfn.IFNA(_xlfn.IFS($P21="住宅",OFFSET('4.2需要家合意形成状況(住宅)'!$F$1,MATCH('4.2民生電力需要量'!$S21,'4.2需要家合意形成状況(住宅)'!$D:$D,0)+1,0),$P21="業務その他",OFFSET('4.2需要家合意形成状況(民生・業務その他)'!$F$1,MATCH('4.2民生電力需要量'!$S21,'4.2需要家合意形成状況(民生・業務その他)'!$D:$D,0)+1,0),$P21="公共",OFFSET('4.2需要家合意形成状況(公共)'!$F$1,MATCH('4.2民生電力需要量'!$S21,'4.2需要家合意形成状況(公共)'!$D:$D,0)+1,0)),"")</f>
        <v/>
      </c>
      <c r="X21" s="215"/>
      <c r="Y21" s="215"/>
      <c r="Z21" s="215"/>
    </row>
    <row r="22" spans="1:26" s="431" customFormat="1">
      <c r="A22" s="588"/>
      <c r="B22" s="589"/>
      <c r="C22" s="590"/>
      <c r="D22" s="579"/>
      <c r="E22" s="611"/>
      <c r="F22" s="612"/>
      <c r="G22" s="612"/>
      <c r="H22" s="613"/>
      <c r="I22" s="614"/>
      <c r="J22" s="615"/>
      <c r="K22" s="580"/>
      <c r="L22" s="627" t="str">
        <f t="shared" ref="L22" ca="1" si="8">W22</f>
        <v/>
      </c>
      <c r="M22" s="581"/>
      <c r="N22" s="588"/>
      <c r="O22" s="582"/>
      <c r="P22" s="583" t="s">
        <v>449</v>
      </c>
      <c r="Q22" s="583">
        <f t="shared" si="1"/>
        <v>14</v>
      </c>
      <c r="R22" s="583" t="str">
        <f>IF(S22&lt;&gt;"//",COUNTA($S$9:$S22)-COUNTIF($S$9:$S22,"//"),"")</f>
        <v/>
      </c>
      <c r="S22" s="583" t="str">
        <f t="shared" ref="S22" si="9">IF(E22="","//",E22)</f>
        <v>//</v>
      </c>
      <c r="T22" s="584" t="str">
        <f ca="1">_xlfn.IFNA(IF(OFFSET($P$1,MATCH($Q22,$R:$R,0)-1,0)&lt;&gt;T$8,"",IF(COUNTIF('4.2需要家合意形成状況(住宅)'!$D:$D,OFFSET($S$1,MATCH($Q22,$R:$R,0)-1,0))=0,OFFSET($S$1,MATCH($Q22,$R:$R,0)-1,0),"")),"")</f>
        <v/>
      </c>
      <c r="U22" s="583" t="str">
        <f ca="1">_xlfn.IFNA(IF(OFFSET($P$1,MATCH($Q22,$R:$R,0)-1,0)&lt;&gt;U$8,"",IF(COUNTIF('4.2需要家合意形成状況(民生・業務その他)'!$D:$D,OFFSET($S$1,MATCH($Q22,$R:$R,0)-1,0))=0,OFFSET($S$1,MATCH($Q22,$R:$R,0)-1,0),"")),"")</f>
        <v/>
      </c>
      <c r="V22" s="583" t="str">
        <f ca="1">_xlfn.IFNA(IF(OFFSET($P$1,MATCH($Q22,$R:$R,0)-1,0)&lt;&gt;V$8,"",IF(COUNTIF('4.2需要家合意形成状況(公共)'!$D:$D,OFFSET($S$1,MATCH($Q22,$R:$R,0)-1,0))=0,OFFSET($S$1,MATCH($Q22,$R:$R,0)-1,0),"")),"")</f>
        <v/>
      </c>
      <c r="W22" s="583" t="str" cm="1">
        <f t="array" aca="1" ref="W22" ca="1">_xlfn.IFNA(_xlfn.IFS($P22="住宅",OFFSET('4.2需要家合意形成状況(住宅)'!$F$1,MATCH('4.2民生電力需要量'!$S22,'4.2需要家合意形成状況(住宅)'!$D:$D,0)+1,0),$P22="業務その他",OFFSET('4.2需要家合意形成状況(民生・業務その他)'!$F$1,MATCH('4.2民生電力需要量'!$S22,'4.2需要家合意形成状況(民生・業務その他)'!$D:$D,0)+1,0),$P22="公共",OFFSET('4.2需要家合意形成状況(公共)'!$F$1,MATCH('4.2民生電力需要量'!$S22,'4.2需要家合意形成状況(公共)'!$D:$D,0)+1,0)),"")</f>
        <v/>
      </c>
      <c r="X22" s="215"/>
      <c r="Y22" s="215"/>
      <c r="Z22" s="215"/>
    </row>
    <row r="23" spans="1:26" s="431" customFormat="1">
      <c r="A23" s="588"/>
      <c r="B23" s="589"/>
      <c r="C23" s="590"/>
      <c r="D23" s="579"/>
      <c r="E23" s="611"/>
      <c r="F23" s="612"/>
      <c r="G23" s="612"/>
      <c r="H23" s="613"/>
      <c r="I23" s="614"/>
      <c r="J23" s="615"/>
      <c r="K23" s="580"/>
      <c r="L23" s="627" t="str">
        <f t="shared" ca="1" si="5"/>
        <v/>
      </c>
      <c r="M23" s="581"/>
      <c r="N23" s="588"/>
      <c r="O23" s="582"/>
      <c r="P23" s="583" t="s">
        <v>449</v>
      </c>
      <c r="Q23" s="583">
        <f t="shared" si="1"/>
        <v>15</v>
      </c>
      <c r="R23" s="583" t="str">
        <f>IF(S23&lt;&gt;"//",COUNTA($S$9:$S23)-COUNTIF($S$9:$S23,"//"),"")</f>
        <v/>
      </c>
      <c r="S23" s="583" t="str">
        <f t="shared" si="2"/>
        <v>//</v>
      </c>
      <c r="T23" s="584" t="str">
        <f ca="1">_xlfn.IFNA(IF(OFFSET($P$1,MATCH($Q23,$R:$R,0)-1,0)&lt;&gt;T$8,"",IF(COUNTIF('4.2需要家合意形成状況(住宅)'!$D:$D,OFFSET($S$1,MATCH($Q23,$R:$R,0)-1,0))=0,OFFSET($S$1,MATCH($Q23,$R:$R,0)-1,0),"")),"")</f>
        <v/>
      </c>
      <c r="U23" s="583" t="str">
        <f ca="1">_xlfn.IFNA(IF(OFFSET($P$1,MATCH($Q23,$R:$R,0)-1,0)&lt;&gt;U$8,"",IF(COUNTIF('4.2需要家合意形成状況(民生・業務その他)'!$D:$D,OFFSET($S$1,MATCH($Q23,$R:$R,0)-1,0))=0,OFFSET($S$1,MATCH($Q23,$R:$R,0)-1,0),"")),"")</f>
        <v/>
      </c>
      <c r="V23" s="583" t="str">
        <f ca="1">_xlfn.IFNA(IF(OFFSET($P$1,MATCH($Q23,$R:$R,0)-1,0)&lt;&gt;V$8,"",IF(COUNTIF('4.2需要家合意形成状況(公共)'!$D:$D,OFFSET($S$1,MATCH($Q23,$R:$R,0)-1,0))=0,OFFSET($S$1,MATCH($Q23,$R:$R,0)-1,0),"")),"")</f>
        <v/>
      </c>
      <c r="W23" s="583" t="str" cm="1">
        <f t="array" aca="1" ref="W23" ca="1">_xlfn.IFNA(_xlfn.IFS($P23="住宅",OFFSET('4.2需要家合意形成状況(住宅)'!$F$1,MATCH('4.2民生電力需要量'!$S23,'4.2需要家合意形成状況(住宅)'!$D:$D,0)+1,0),$P23="業務その他",OFFSET('4.2需要家合意形成状況(民生・業務その他)'!$F$1,MATCH('4.2民生電力需要量'!$S23,'4.2需要家合意形成状況(民生・業務その他)'!$D:$D,0)+1,0),$P23="公共",OFFSET('4.2需要家合意形成状況(公共)'!$F$1,MATCH('4.2民生電力需要量'!$S23,'4.2需要家合意形成状況(公共)'!$D:$D,0)+1,0)),"")</f>
        <v/>
      </c>
      <c r="X23" s="215"/>
      <c r="Y23" s="215"/>
      <c r="Z23" s="215"/>
    </row>
    <row r="24" spans="1:26">
      <c r="A24" s="557"/>
      <c r="B24" s="586"/>
      <c r="C24" s="587">
        <v>4</v>
      </c>
      <c r="D24" s="574" t="s">
        <v>40</v>
      </c>
      <c r="E24" s="621"/>
      <c r="F24" s="622"/>
      <c r="G24" s="623"/>
      <c r="H24" s="624"/>
      <c r="I24" s="625"/>
      <c r="J24" s="626"/>
      <c r="K24" s="301" t="str">
        <f>IF(AND(COUNTBLANK($I24:$I29)=3,COUNTA($I24:$I29)=0),0,IF(SUM($I24:$I29)=0,"",SUM($I24:$I29)))</f>
        <v/>
      </c>
      <c r="L24" s="628"/>
      <c r="M24" s="571"/>
      <c r="N24" s="557"/>
      <c r="P24" s="575" t="s">
        <v>449</v>
      </c>
      <c r="Q24" s="575">
        <f t="shared" si="1"/>
        <v>16</v>
      </c>
      <c r="R24" s="575" t="str">
        <f>IF(S24&lt;&gt;"//",COUNTA($S$9:$S24)-COUNTIF($S$9:$S24,"//"),"")</f>
        <v/>
      </c>
      <c r="S24" s="575" t="str">
        <f t="shared" si="2"/>
        <v>//</v>
      </c>
      <c r="T24" s="576" t="str">
        <f ca="1">_xlfn.IFNA(IF(OFFSET($P$1,MATCH($Q24,$R:$R,0)-1,0)&lt;&gt;T$8,"",IF(COUNTIF('4.2需要家合意形成状況(住宅)'!$D:$D,OFFSET($S$1,MATCH($Q24,$R:$R,0)-1,0))=0,OFFSET($S$1,MATCH($Q24,$R:$R,0)-1,0),"")),"")</f>
        <v/>
      </c>
      <c r="U24" s="575" t="str">
        <f ca="1">_xlfn.IFNA(IF(OFFSET($P$1,MATCH($Q24,$R:$R,0)-1,0)&lt;&gt;U$8,"",IF(COUNTIF('4.2需要家合意形成状況(民生・業務その他)'!$D:$D,OFFSET($S$1,MATCH($Q24,$R:$R,0)-1,0))=0,OFFSET($S$1,MATCH($Q24,$R:$R,0)-1,0),"")),"")</f>
        <v/>
      </c>
      <c r="V24" s="575" t="str">
        <f ca="1">_xlfn.IFNA(IF(OFFSET($P$1,MATCH($Q24,$R:$R,0)-1,0)&lt;&gt;V$8,"",IF(COUNTIF('4.2需要家合意形成状況(公共)'!$D:$D,OFFSET($S$1,MATCH($Q24,$R:$R,0)-1,0))=0,OFFSET($S$1,MATCH($Q24,$R:$R,0)-1,0),"")),"")</f>
        <v/>
      </c>
      <c r="W24" s="575" t="str" cm="1">
        <f t="array" aca="1" ref="W24" ca="1">_xlfn.IFNA(_xlfn.IFS($P24="住宅",OFFSET('4.2需要家合意形成状況(住宅)'!$F$1,MATCH('4.2民生電力需要量'!$S24,'4.2需要家合意形成状況(住宅)'!$D:$D,0)+1,0),$P24="業務その他",OFFSET('4.2需要家合意形成状況(民生・業務その他)'!$F$1,MATCH('4.2民生電力需要量'!$S24,'4.2需要家合意形成状況(民生・業務その他)'!$D:$D,0)+1,0),$P24="公共",OFFSET('4.2需要家合意形成状況(公共)'!$F$1,MATCH('4.2民生電力需要量'!$S24,'4.2需要家合意形成状況(公共)'!$D:$D,0)+1,0)),"")</f>
        <v/>
      </c>
      <c r="X24" s="410"/>
      <c r="Y24" s="410"/>
      <c r="Z24" s="410"/>
    </row>
    <row r="25" spans="1:26" s="431" customFormat="1" hidden="1">
      <c r="A25" s="588"/>
      <c r="B25" s="589"/>
      <c r="C25" s="590"/>
      <c r="D25" s="579"/>
      <c r="E25" s="606"/>
      <c r="F25" s="607"/>
      <c r="G25" s="607"/>
      <c r="H25" s="608"/>
      <c r="I25" s="609"/>
      <c r="J25" s="610"/>
      <c r="K25" s="580"/>
      <c r="L25" s="627" t="str">
        <f t="shared" ca="1" si="5"/>
        <v/>
      </c>
      <c r="M25" s="581"/>
      <c r="N25" s="588"/>
      <c r="O25" s="582"/>
      <c r="P25" s="583" t="s">
        <v>449</v>
      </c>
      <c r="Q25" s="583">
        <f t="shared" si="1"/>
        <v>17</v>
      </c>
      <c r="R25" s="583" t="str">
        <f>IF(S25&lt;&gt;"//",COUNTA($S$9:$S25)-COUNTIF($S$9:$S25,"//"),"")</f>
        <v/>
      </c>
      <c r="S25" s="583" t="str">
        <f t="shared" si="2"/>
        <v>//</v>
      </c>
      <c r="T25" s="584" t="str">
        <f ca="1">_xlfn.IFNA(IF(OFFSET($P$1,MATCH($Q25,$R:$R,0)-1,0)&lt;&gt;T$8,"",IF(COUNTIF('4.2需要家合意形成状況(住宅)'!$D:$D,OFFSET($S$1,MATCH($Q25,$R:$R,0)-1,0))=0,OFFSET($S$1,MATCH($Q25,$R:$R,0)-1,0),"")),"")</f>
        <v/>
      </c>
      <c r="U25" s="583" t="str">
        <f ca="1">_xlfn.IFNA(IF(OFFSET($P$1,MATCH($Q25,$R:$R,0)-1,0)&lt;&gt;U$8,"",IF(COUNTIF('4.2需要家合意形成状況(民生・業務その他)'!$D:$D,OFFSET($S$1,MATCH($Q25,$R:$R,0)-1,0))=0,OFFSET($S$1,MATCH($Q25,$R:$R,0)-1,0),"")),"")</f>
        <v/>
      </c>
      <c r="V25" s="583" t="str">
        <f ca="1">_xlfn.IFNA(IF(OFFSET($P$1,MATCH($Q25,$R:$R,0)-1,0)&lt;&gt;V$8,"",IF(COUNTIF('4.2需要家合意形成状況(公共)'!$D:$D,OFFSET($S$1,MATCH($Q25,$R:$R,0)-1,0))=0,OFFSET($S$1,MATCH($Q25,$R:$R,0)-1,0),"")),"")</f>
        <v/>
      </c>
      <c r="W25" s="583" t="str" cm="1">
        <f t="array" aca="1" ref="W25" ca="1">_xlfn.IFNA(_xlfn.IFS($P25="住宅",OFFSET('4.2需要家合意形成状況(住宅)'!$F$1,MATCH('4.2民生電力需要量'!$S25,'4.2需要家合意形成状況(住宅)'!$D:$D,0)+1,0),$P25="業務その他",OFFSET('4.2需要家合意形成状況(民生・業務その他)'!$F$1,MATCH('4.2民生電力需要量'!$S25,'4.2需要家合意形成状況(民生・業務その他)'!$D:$D,0)+1,0),$P25="公共",OFFSET('4.2需要家合意形成状況(公共)'!$F$1,MATCH('4.2民生電力需要量'!$S25,'4.2需要家合意形成状況(公共)'!$D:$D,0)+1,0)),"")</f>
        <v/>
      </c>
      <c r="X25" s="215"/>
      <c r="Y25" s="215"/>
      <c r="Z25" s="215"/>
    </row>
    <row r="26" spans="1:26" s="431" customFormat="1">
      <c r="A26" s="588"/>
      <c r="B26" s="589"/>
      <c r="C26" s="590" t="s">
        <v>593</v>
      </c>
      <c r="D26" s="579"/>
      <c r="E26" s="611"/>
      <c r="F26" s="612"/>
      <c r="G26" s="612"/>
      <c r="H26" s="613"/>
      <c r="I26" s="614"/>
      <c r="J26" s="615"/>
      <c r="K26" s="580"/>
      <c r="L26" s="627" t="str">
        <f t="shared" ca="1" si="5"/>
        <v/>
      </c>
      <c r="M26" s="581"/>
      <c r="N26" s="588"/>
      <c r="O26" s="582"/>
      <c r="P26" s="583" t="s">
        <v>449</v>
      </c>
      <c r="Q26" s="583">
        <f t="shared" si="1"/>
        <v>18</v>
      </c>
      <c r="R26" s="583" t="str">
        <f>IF(S26&lt;&gt;"//",COUNTA($S$9:$S26)-COUNTIF($S$9:$S26,"//"),"")</f>
        <v/>
      </c>
      <c r="S26" s="583" t="str">
        <f t="shared" si="2"/>
        <v>//</v>
      </c>
      <c r="T26" s="584" t="str">
        <f ca="1">_xlfn.IFNA(IF(OFFSET($P$1,MATCH($Q26,$R:$R,0)-1,0)&lt;&gt;T$8,"",IF(COUNTIF('4.2需要家合意形成状況(住宅)'!$D:$D,OFFSET($S$1,MATCH($Q26,$R:$R,0)-1,0))=0,OFFSET($S$1,MATCH($Q26,$R:$R,0)-1,0),"")),"")</f>
        <v/>
      </c>
      <c r="U26" s="583" t="str">
        <f ca="1">_xlfn.IFNA(IF(OFFSET($P$1,MATCH($Q26,$R:$R,0)-1,0)&lt;&gt;U$8,"",IF(COUNTIF('4.2需要家合意形成状況(民生・業務その他)'!$D:$D,OFFSET($S$1,MATCH($Q26,$R:$R,0)-1,0))=0,OFFSET($S$1,MATCH($Q26,$R:$R,0)-1,0),"")),"")</f>
        <v/>
      </c>
      <c r="V26" s="583" t="str">
        <f ca="1">_xlfn.IFNA(IF(OFFSET($P$1,MATCH($Q26,$R:$R,0)-1,0)&lt;&gt;V$8,"",IF(COUNTIF('4.2需要家合意形成状況(公共)'!$D:$D,OFFSET($S$1,MATCH($Q26,$R:$R,0)-1,0))=0,OFFSET($S$1,MATCH($Q26,$R:$R,0)-1,0),"")),"")</f>
        <v/>
      </c>
      <c r="W26" s="583" t="str" cm="1">
        <f t="array" aca="1" ref="W26" ca="1">_xlfn.IFNA(_xlfn.IFS($P26="住宅",OFFSET('4.2需要家合意形成状況(住宅)'!$F$1,MATCH('4.2民生電力需要量'!$S26,'4.2需要家合意形成状況(住宅)'!$D:$D,0)+1,0),$P26="業務その他",OFFSET('4.2需要家合意形成状況(民生・業務その他)'!$F$1,MATCH('4.2民生電力需要量'!$S26,'4.2需要家合意形成状況(民生・業務その他)'!$D:$D,0)+1,0),$P26="公共",OFFSET('4.2需要家合意形成状況(公共)'!$F$1,MATCH('4.2民生電力需要量'!$S26,'4.2需要家合意形成状況(公共)'!$D:$D,0)+1,0)),"")</f>
        <v/>
      </c>
      <c r="X26" s="215"/>
      <c r="Y26" s="215"/>
      <c r="Z26" s="215"/>
    </row>
    <row r="27" spans="1:26" s="431" customFormat="1">
      <c r="A27" s="588"/>
      <c r="B27" s="589"/>
      <c r="C27" s="590"/>
      <c r="D27" s="579"/>
      <c r="E27" s="611"/>
      <c r="F27" s="612"/>
      <c r="G27" s="612"/>
      <c r="H27" s="613"/>
      <c r="I27" s="614"/>
      <c r="J27" s="615"/>
      <c r="K27" s="580"/>
      <c r="L27" s="627" t="str">
        <f t="shared" ca="1" si="5"/>
        <v/>
      </c>
      <c r="M27" s="581"/>
      <c r="N27" s="588"/>
      <c r="O27" s="582"/>
      <c r="P27" s="583" t="s">
        <v>449</v>
      </c>
      <c r="Q27" s="583">
        <f t="shared" si="1"/>
        <v>19</v>
      </c>
      <c r="R27" s="583" t="str">
        <f>IF(S27&lt;&gt;"//",COUNTA($S$9:$S27)-COUNTIF($S$9:$S27,"//"),"")</f>
        <v/>
      </c>
      <c r="S27" s="583" t="str">
        <f t="shared" si="2"/>
        <v>//</v>
      </c>
      <c r="T27" s="584" t="str">
        <f ca="1">_xlfn.IFNA(IF(OFFSET($P$1,MATCH($Q27,$R:$R,0)-1,0)&lt;&gt;T$8,"",IF(COUNTIF('4.2需要家合意形成状況(住宅)'!$D:$D,OFFSET($S$1,MATCH($Q27,$R:$R,0)-1,0))=0,OFFSET($S$1,MATCH($Q27,$R:$R,0)-1,0),"")),"")</f>
        <v/>
      </c>
      <c r="U27" s="583" t="str">
        <f ca="1">_xlfn.IFNA(IF(OFFSET($P$1,MATCH($Q27,$R:$R,0)-1,0)&lt;&gt;U$8,"",IF(COUNTIF('4.2需要家合意形成状況(民生・業務その他)'!$D:$D,OFFSET($S$1,MATCH($Q27,$R:$R,0)-1,0))=0,OFFSET($S$1,MATCH($Q27,$R:$R,0)-1,0),"")),"")</f>
        <v/>
      </c>
      <c r="V27" s="583" t="str">
        <f ca="1">_xlfn.IFNA(IF(OFFSET($P$1,MATCH($Q27,$R:$R,0)-1,0)&lt;&gt;V$8,"",IF(COUNTIF('4.2需要家合意形成状況(公共)'!$D:$D,OFFSET($S$1,MATCH($Q27,$R:$R,0)-1,0))=0,OFFSET($S$1,MATCH($Q27,$R:$R,0)-1,0),"")),"")</f>
        <v/>
      </c>
      <c r="W27" s="583" t="str" cm="1">
        <f t="array" aca="1" ref="W27" ca="1">_xlfn.IFNA(_xlfn.IFS($P27="住宅",OFFSET('4.2需要家合意形成状況(住宅)'!$F$1,MATCH('4.2民生電力需要量'!$S27,'4.2需要家合意形成状況(住宅)'!$D:$D,0)+1,0),$P27="業務その他",OFFSET('4.2需要家合意形成状況(民生・業務その他)'!$F$1,MATCH('4.2民生電力需要量'!$S27,'4.2需要家合意形成状況(民生・業務その他)'!$D:$D,0)+1,0),$P27="公共",OFFSET('4.2需要家合意形成状況(公共)'!$F$1,MATCH('4.2民生電力需要量'!$S27,'4.2需要家合意形成状況(公共)'!$D:$D,0)+1,0)),"")</f>
        <v/>
      </c>
      <c r="X27" s="215"/>
      <c r="Y27" s="215"/>
      <c r="Z27" s="215"/>
    </row>
    <row r="28" spans="1:26" s="431" customFormat="1">
      <c r="A28" s="588"/>
      <c r="B28" s="589"/>
      <c r="C28" s="590"/>
      <c r="D28" s="579"/>
      <c r="E28" s="611"/>
      <c r="F28" s="612"/>
      <c r="G28" s="612"/>
      <c r="H28" s="613"/>
      <c r="I28" s="614"/>
      <c r="J28" s="615"/>
      <c r="K28" s="580"/>
      <c r="L28" s="627" t="str">
        <f t="shared" ca="1" si="5"/>
        <v/>
      </c>
      <c r="M28" s="581"/>
      <c r="N28" s="588"/>
      <c r="O28" s="582"/>
      <c r="P28" s="583" t="s">
        <v>449</v>
      </c>
      <c r="Q28" s="583">
        <f t="shared" si="1"/>
        <v>20</v>
      </c>
      <c r="R28" s="583" t="str">
        <f>IF(S28&lt;&gt;"//",COUNTA($S$9:$S28)-COUNTIF($S$9:$S28,"//"),"")</f>
        <v/>
      </c>
      <c r="S28" s="583" t="str">
        <f t="shared" si="2"/>
        <v>//</v>
      </c>
      <c r="T28" s="584" t="str">
        <f ca="1">_xlfn.IFNA(IF(OFFSET($P$1,MATCH($Q28,$R:$R,0)-1,0)&lt;&gt;T$8,"",IF(COUNTIF('4.2需要家合意形成状況(住宅)'!$D:$D,OFFSET($S$1,MATCH($Q28,$R:$R,0)-1,0))=0,OFFSET($S$1,MATCH($Q28,$R:$R,0)-1,0),"")),"")</f>
        <v/>
      </c>
      <c r="U28" s="583" t="str">
        <f ca="1">_xlfn.IFNA(IF(OFFSET($P$1,MATCH($Q28,$R:$R,0)-1,0)&lt;&gt;U$8,"",IF(COUNTIF('4.2需要家合意形成状況(民生・業務その他)'!$D:$D,OFFSET($S$1,MATCH($Q28,$R:$R,0)-1,0))=0,OFFSET($S$1,MATCH($Q28,$R:$R,0)-1,0),"")),"")</f>
        <v/>
      </c>
      <c r="V28" s="583" t="str">
        <f ca="1">_xlfn.IFNA(IF(OFFSET($P$1,MATCH($Q28,$R:$R,0)-1,0)&lt;&gt;V$8,"",IF(COUNTIF('4.2需要家合意形成状況(公共)'!$D:$D,OFFSET($S$1,MATCH($Q28,$R:$R,0)-1,0))=0,OFFSET($S$1,MATCH($Q28,$R:$R,0)-1,0),"")),"")</f>
        <v/>
      </c>
      <c r="W28" s="583" t="str" cm="1">
        <f t="array" aca="1" ref="W28" ca="1">_xlfn.IFNA(_xlfn.IFS($P28="住宅",OFFSET('4.2需要家合意形成状況(住宅)'!$F$1,MATCH('4.2民生電力需要量'!$S28,'4.2需要家合意形成状況(住宅)'!$D:$D,0)+1,0),$P28="業務その他",OFFSET('4.2需要家合意形成状況(民生・業務その他)'!$F$1,MATCH('4.2民生電力需要量'!$S28,'4.2需要家合意形成状況(民生・業務その他)'!$D:$D,0)+1,0),$P28="公共",OFFSET('4.2需要家合意形成状況(公共)'!$F$1,MATCH('4.2民生電力需要量'!$S28,'4.2需要家合意形成状況(公共)'!$D:$D,0)+1,0)),"")</f>
        <v/>
      </c>
      <c r="X28" s="215"/>
      <c r="Y28" s="215"/>
      <c r="Z28" s="215"/>
    </row>
    <row r="29" spans="1:26">
      <c r="A29" s="557"/>
      <c r="B29" s="586"/>
      <c r="C29" s="587">
        <v>5</v>
      </c>
      <c r="D29" s="574" t="s">
        <v>41</v>
      </c>
      <c r="E29" s="621"/>
      <c r="F29" s="622"/>
      <c r="G29" s="623"/>
      <c r="H29" s="624"/>
      <c r="I29" s="625"/>
      <c r="J29" s="626"/>
      <c r="K29" s="301" t="str">
        <f>IF(AND(COUNTBLANK($I29:$I34)=3,COUNTA($I29:$I34)=0),0,IF(SUM($I29:$I34)=0,"",SUM($I29:$I34)))</f>
        <v/>
      </c>
      <c r="L29" s="628"/>
      <c r="M29" s="571"/>
      <c r="N29" s="557"/>
      <c r="P29" s="575" t="s">
        <v>449</v>
      </c>
      <c r="Q29" s="575">
        <f t="shared" si="1"/>
        <v>21</v>
      </c>
      <c r="R29" s="575" t="str">
        <f>IF(S29&lt;&gt;"//",COUNTA($S$9:$S29)-COUNTIF($S$9:$S29,"//"),"")</f>
        <v/>
      </c>
      <c r="S29" s="575" t="str">
        <f t="shared" si="2"/>
        <v>//</v>
      </c>
      <c r="T29" s="576" t="str">
        <f ca="1">_xlfn.IFNA(IF(OFFSET($P$1,MATCH($Q29,$R:$R,0)-1,0)&lt;&gt;T$8,"",IF(COUNTIF('4.2需要家合意形成状況(住宅)'!$D:$D,OFFSET($S$1,MATCH($Q29,$R:$R,0)-1,0))=0,OFFSET($S$1,MATCH($Q29,$R:$R,0)-1,0),"")),"")</f>
        <v/>
      </c>
      <c r="U29" s="575" t="str">
        <f ca="1">_xlfn.IFNA(IF(OFFSET($P$1,MATCH($Q29,$R:$R,0)-1,0)&lt;&gt;U$8,"",IF(COUNTIF('4.2需要家合意形成状況(民生・業務その他)'!$D:$D,OFFSET($S$1,MATCH($Q29,$R:$R,0)-1,0))=0,OFFSET($S$1,MATCH($Q29,$R:$R,0)-1,0),"")),"")</f>
        <v/>
      </c>
      <c r="V29" s="575" t="str">
        <f ca="1">_xlfn.IFNA(IF(OFFSET($P$1,MATCH($Q29,$R:$R,0)-1,0)&lt;&gt;V$8,"",IF(COUNTIF('4.2需要家合意形成状況(公共)'!$D:$D,OFFSET($S$1,MATCH($Q29,$R:$R,0)-1,0))=0,OFFSET($S$1,MATCH($Q29,$R:$R,0)-1,0),"")),"")</f>
        <v/>
      </c>
      <c r="W29" s="575" t="str" cm="1">
        <f t="array" aca="1" ref="W29" ca="1">_xlfn.IFNA(_xlfn.IFS($P29="住宅",OFFSET('4.2需要家合意形成状況(住宅)'!$F$1,MATCH('4.2民生電力需要量'!$S29,'4.2需要家合意形成状況(住宅)'!$D:$D,0)+1,0),$P29="業務その他",OFFSET('4.2需要家合意形成状況(民生・業務その他)'!$F$1,MATCH('4.2民生電力需要量'!$S29,'4.2需要家合意形成状況(民生・業務その他)'!$D:$D,0)+1,0),$P29="公共",OFFSET('4.2需要家合意形成状況(公共)'!$F$1,MATCH('4.2民生電力需要量'!$S29,'4.2需要家合意形成状況(公共)'!$D:$D,0)+1,0)),"")</f>
        <v/>
      </c>
      <c r="X29" s="410"/>
      <c r="Y29" s="410"/>
      <c r="Z29" s="410"/>
    </row>
    <row r="30" spans="1:26" s="431" customFormat="1" hidden="1">
      <c r="A30" s="588"/>
      <c r="B30" s="589"/>
      <c r="C30" s="590"/>
      <c r="D30" s="579"/>
      <c r="E30" s="606"/>
      <c r="F30" s="607"/>
      <c r="G30" s="607"/>
      <c r="H30" s="608"/>
      <c r="I30" s="609"/>
      <c r="J30" s="610"/>
      <c r="K30" s="580"/>
      <c r="L30" s="627" t="str">
        <f t="shared" ca="1" si="5"/>
        <v/>
      </c>
      <c r="M30" s="581"/>
      <c r="N30" s="588"/>
      <c r="O30" s="582"/>
      <c r="P30" s="583" t="s">
        <v>449</v>
      </c>
      <c r="Q30" s="583">
        <f t="shared" si="1"/>
        <v>22</v>
      </c>
      <c r="R30" s="583" t="str">
        <f>IF(S30&lt;&gt;"//",COUNTA($S$9:$S30)-COUNTIF($S$9:$S30,"//"),"")</f>
        <v/>
      </c>
      <c r="S30" s="583" t="str">
        <f t="shared" si="2"/>
        <v>//</v>
      </c>
      <c r="T30" s="584" t="str">
        <f ca="1">_xlfn.IFNA(IF(OFFSET($P$1,MATCH($Q30,$R:$R,0)-1,0)&lt;&gt;T$8,"",IF(COUNTIF('4.2需要家合意形成状況(住宅)'!$D:$D,OFFSET($S$1,MATCH($Q30,$R:$R,0)-1,0))=0,OFFSET($S$1,MATCH($Q30,$R:$R,0)-1,0),"")),"")</f>
        <v/>
      </c>
      <c r="U30" s="583" t="str">
        <f ca="1">_xlfn.IFNA(IF(OFFSET($P$1,MATCH($Q30,$R:$R,0)-1,0)&lt;&gt;U$8,"",IF(COUNTIF('4.2需要家合意形成状況(民生・業務その他)'!$D:$D,OFFSET($S$1,MATCH($Q30,$R:$R,0)-1,0))=0,OFFSET($S$1,MATCH($Q30,$R:$R,0)-1,0),"")),"")</f>
        <v/>
      </c>
      <c r="V30" s="583" t="str">
        <f ca="1">_xlfn.IFNA(IF(OFFSET($P$1,MATCH($Q30,$R:$R,0)-1,0)&lt;&gt;V$8,"",IF(COUNTIF('4.2需要家合意形成状況(公共)'!$D:$D,OFFSET($S$1,MATCH($Q30,$R:$R,0)-1,0))=0,OFFSET($S$1,MATCH($Q30,$R:$R,0)-1,0),"")),"")</f>
        <v/>
      </c>
      <c r="W30" s="583" t="str" cm="1">
        <f t="array" aca="1" ref="W30" ca="1">_xlfn.IFNA(_xlfn.IFS($P30="住宅",OFFSET('4.2需要家合意形成状況(住宅)'!$F$1,MATCH('4.2民生電力需要量'!$S30,'4.2需要家合意形成状況(住宅)'!$D:$D,0)+1,0),$P30="業務その他",OFFSET('4.2需要家合意形成状況(民生・業務その他)'!$F$1,MATCH('4.2民生電力需要量'!$S30,'4.2需要家合意形成状況(民生・業務その他)'!$D:$D,0)+1,0),$P30="公共",OFFSET('4.2需要家合意形成状況(公共)'!$F$1,MATCH('4.2民生電力需要量'!$S30,'4.2需要家合意形成状況(公共)'!$D:$D,0)+1,0)),"")</f>
        <v/>
      </c>
      <c r="X30" s="215"/>
      <c r="Y30" s="215"/>
      <c r="Z30" s="215"/>
    </row>
    <row r="31" spans="1:26" s="431" customFormat="1">
      <c r="A31" s="588"/>
      <c r="B31" s="589"/>
      <c r="C31" s="590" t="s">
        <v>594</v>
      </c>
      <c r="D31" s="579"/>
      <c r="E31" s="611"/>
      <c r="F31" s="612"/>
      <c r="G31" s="612"/>
      <c r="H31" s="613"/>
      <c r="I31" s="614"/>
      <c r="J31" s="615"/>
      <c r="K31" s="580"/>
      <c r="L31" s="627" t="str">
        <f t="shared" ca="1" si="5"/>
        <v/>
      </c>
      <c r="M31" s="581"/>
      <c r="N31" s="588"/>
      <c r="O31" s="582"/>
      <c r="P31" s="583" t="s">
        <v>449</v>
      </c>
      <c r="Q31" s="583">
        <f t="shared" si="1"/>
        <v>23</v>
      </c>
      <c r="R31" s="583" t="str">
        <f>IF(S31&lt;&gt;"//",COUNTA($S$9:$S31)-COUNTIF($S$9:$S31,"//"),"")</f>
        <v/>
      </c>
      <c r="S31" s="583" t="str">
        <f t="shared" si="2"/>
        <v>//</v>
      </c>
      <c r="T31" s="584" t="str">
        <f ca="1">_xlfn.IFNA(IF(OFFSET($P$1,MATCH($Q31,$R:$R,0)-1,0)&lt;&gt;T$8,"",IF(COUNTIF('4.2需要家合意形成状況(住宅)'!$D:$D,OFFSET($S$1,MATCH($Q31,$R:$R,0)-1,0))=0,OFFSET($S$1,MATCH($Q31,$R:$R,0)-1,0),"")),"")</f>
        <v/>
      </c>
      <c r="U31" s="583" t="str">
        <f ca="1">_xlfn.IFNA(IF(OFFSET($P$1,MATCH($Q31,$R:$R,0)-1,0)&lt;&gt;U$8,"",IF(COUNTIF('4.2需要家合意形成状況(民生・業務その他)'!$D:$D,OFFSET($S$1,MATCH($Q31,$R:$R,0)-1,0))=0,OFFSET($S$1,MATCH($Q31,$R:$R,0)-1,0),"")),"")</f>
        <v/>
      </c>
      <c r="V31" s="583" t="str">
        <f ca="1">_xlfn.IFNA(IF(OFFSET($P$1,MATCH($Q31,$R:$R,0)-1,0)&lt;&gt;V$8,"",IF(COUNTIF('4.2需要家合意形成状況(公共)'!$D:$D,OFFSET($S$1,MATCH($Q31,$R:$R,0)-1,0))=0,OFFSET($S$1,MATCH($Q31,$R:$R,0)-1,0),"")),"")</f>
        <v/>
      </c>
      <c r="W31" s="583" t="str" cm="1">
        <f t="array" aca="1" ref="W31" ca="1">_xlfn.IFNA(_xlfn.IFS($P31="住宅",OFFSET('4.2需要家合意形成状況(住宅)'!$F$1,MATCH('4.2民生電力需要量'!$S31,'4.2需要家合意形成状況(住宅)'!$D:$D,0)+1,0),$P31="業務その他",OFFSET('4.2需要家合意形成状況(民生・業務その他)'!$F$1,MATCH('4.2民生電力需要量'!$S31,'4.2需要家合意形成状況(民生・業務その他)'!$D:$D,0)+1,0),$P31="公共",OFFSET('4.2需要家合意形成状況(公共)'!$F$1,MATCH('4.2民生電力需要量'!$S31,'4.2需要家合意形成状況(公共)'!$D:$D,0)+1,0)),"")</f>
        <v/>
      </c>
      <c r="X31" s="215"/>
      <c r="Y31" s="215"/>
      <c r="Z31" s="215"/>
    </row>
    <row r="32" spans="1:26" s="431" customFormat="1">
      <c r="A32" s="588"/>
      <c r="B32" s="589"/>
      <c r="C32" s="590"/>
      <c r="D32" s="579"/>
      <c r="E32" s="611"/>
      <c r="F32" s="612"/>
      <c r="G32" s="612"/>
      <c r="H32" s="613"/>
      <c r="I32" s="614"/>
      <c r="J32" s="615"/>
      <c r="K32" s="580"/>
      <c r="L32" s="627" t="str">
        <f t="shared" ref="L32" ca="1" si="10">W32</f>
        <v/>
      </c>
      <c r="M32" s="581"/>
      <c r="N32" s="588"/>
      <c r="O32" s="582"/>
      <c r="P32" s="583" t="s">
        <v>449</v>
      </c>
      <c r="Q32" s="583">
        <f t="shared" si="1"/>
        <v>24</v>
      </c>
      <c r="R32" s="583" t="str">
        <f>IF(S32&lt;&gt;"//",COUNTA($S$9:$S32)-COUNTIF($S$9:$S32,"//"),"")</f>
        <v/>
      </c>
      <c r="S32" s="583" t="str">
        <f t="shared" ref="S32" si="11">IF(E32="","//",E32)</f>
        <v>//</v>
      </c>
      <c r="T32" s="584" t="str">
        <f ca="1">_xlfn.IFNA(IF(OFFSET($P$1,MATCH($Q32,$R:$R,0)-1,0)&lt;&gt;T$8,"",IF(COUNTIF('4.2需要家合意形成状況(住宅)'!$D:$D,OFFSET($S$1,MATCH($Q32,$R:$R,0)-1,0))=0,OFFSET($S$1,MATCH($Q32,$R:$R,0)-1,0),"")),"")</f>
        <v/>
      </c>
      <c r="U32" s="583" t="str">
        <f ca="1">_xlfn.IFNA(IF(OFFSET($P$1,MATCH($Q32,$R:$R,0)-1,0)&lt;&gt;U$8,"",IF(COUNTIF('4.2需要家合意形成状況(民生・業務その他)'!$D:$D,OFFSET($S$1,MATCH($Q32,$R:$R,0)-1,0))=0,OFFSET($S$1,MATCH($Q32,$R:$R,0)-1,0),"")),"")</f>
        <v/>
      </c>
      <c r="V32" s="583" t="str">
        <f ca="1">_xlfn.IFNA(IF(OFFSET($P$1,MATCH($Q32,$R:$R,0)-1,0)&lt;&gt;V$8,"",IF(COUNTIF('4.2需要家合意形成状況(公共)'!$D:$D,OFFSET($S$1,MATCH($Q32,$R:$R,0)-1,0))=0,OFFSET($S$1,MATCH($Q32,$R:$R,0)-1,0),"")),"")</f>
        <v/>
      </c>
      <c r="W32" s="583" t="str" cm="1">
        <f t="array" aca="1" ref="W32" ca="1">_xlfn.IFNA(_xlfn.IFS($P32="住宅",OFFSET('4.2需要家合意形成状況(住宅)'!$F$1,MATCH('4.2民生電力需要量'!$S32,'4.2需要家合意形成状況(住宅)'!$D:$D,0)+1,0),$P32="業務その他",OFFSET('4.2需要家合意形成状況(民生・業務その他)'!$F$1,MATCH('4.2民生電力需要量'!$S32,'4.2需要家合意形成状況(民生・業務その他)'!$D:$D,0)+1,0),$P32="公共",OFFSET('4.2需要家合意形成状況(公共)'!$F$1,MATCH('4.2民生電力需要量'!$S32,'4.2需要家合意形成状況(公共)'!$D:$D,0)+1,0)),"")</f>
        <v/>
      </c>
      <c r="X32" s="215"/>
      <c r="Y32" s="215"/>
      <c r="Z32" s="215"/>
    </row>
    <row r="33" spans="1:26" s="431" customFormat="1">
      <c r="A33" s="588"/>
      <c r="B33" s="589"/>
      <c r="C33" s="590"/>
      <c r="D33" s="579"/>
      <c r="E33" s="611"/>
      <c r="F33" s="612"/>
      <c r="G33" s="612"/>
      <c r="H33" s="613"/>
      <c r="I33" s="614"/>
      <c r="J33" s="615"/>
      <c r="K33" s="580"/>
      <c r="L33" s="627" t="str">
        <f t="shared" ref="L33" ca="1" si="12">W33</f>
        <v/>
      </c>
      <c r="M33" s="581"/>
      <c r="N33" s="588"/>
      <c r="O33" s="582"/>
      <c r="P33" s="583" t="s">
        <v>449</v>
      </c>
      <c r="Q33" s="583">
        <f t="shared" si="1"/>
        <v>25</v>
      </c>
      <c r="R33" s="583" t="str">
        <f>IF(S33&lt;&gt;"//",COUNTA($S$9:$S33)-COUNTIF($S$9:$S33,"//"),"")</f>
        <v/>
      </c>
      <c r="S33" s="583" t="str">
        <f t="shared" ref="S33" si="13">IF(E33="","//",E33)</f>
        <v>//</v>
      </c>
      <c r="T33" s="584" t="str">
        <f ca="1">_xlfn.IFNA(IF(OFFSET($P$1,MATCH($Q33,$R:$R,0)-1,0)&lt;&gt;T$8,"",IF(COUNTIF('4.2需要家合意形成状況(住宅)'!$D:$D,OFFSET($S$1,MATCH($Q33,$R:$R,0)-1,0))=0,OFFSET($S$1,MATCH($Q33,$R:$R,0)-1,0),"")),"")</f>
        <v/>
      </c>
      <c r="U33" s="583" t="str">
        <f ca="1">_xlfn.IFNA(IF(OFFSET($P$1,MATCH($Q33,$R:$R,0)-1,0)&lt;&gt;U$8,"",IF(COUNTIF('4.2需要家合意形成状況(民生・業務その他)'!$D:$D,OFFSET($S$1,MATCH($Q33,$R:$R,0)-1,0))=0,OFFSET($S$1,MATCH($Q33,$R:$R,0)-1,0),"")),"")</f>
        <v/>
      </c>
      <c r="V33" s="583" t="str">
        <f ca="1">_xlfn.IFNA(IF(OFFSET($P$1,MATCH($Q33,$R:$R,0)-1,0)&lt;&gt;V$8,"",IF(COUNTIF('4.2需要家合意形成状況(公共)'!$D:$D,OFFSET($S$1,MATCH($Q33,$R:$R,0)-1,0))=0,OFFSET($S$1,MATCH($Q33,$R:$R,0)-1,0),"")),"")</f>
        <v/>
      </c>
      <c r="W33" s="583" t="str" cm="1">
        <f t="array" aca="1" ref="W33" ca="1">_xlfn.IFNA(_xlfn.IFS($P33="住宅",OFFSET('4.2需要家合意形成状況(住宅)'!$F$1,MATCH('4.2民生電力需要量'!$S33,'4.2需要家合意形成状況(住宅)'!$D:$D,0)+1,0),$P33="業務その他",OFFSET('4.2需要家合意形成状況(民生・業務その他)'!$F$1,MATCH('4.2民生電力需要量'!$S33,'4.2需要家合意形成状況(民生・業務その他)'!$D:$D,0)+1,0),$P33="公共",OFFSET('4.2需要家合意形成状況(公共)'!$F$1,MATCH('4.2民生電力需要量'!$S33,'4.2需要家合意形成状況(公共)'!$D:$D,0)+1,0)),"")</f>
        <v/>
      </c>
      <c r="X33" s="215"/>
      <c r="Y33" s="215"/>
      <c r="Z33" s="215"/>
    </row>
    <row r="34" spans="1:26">
      <c r="B34" s="566"/>
      <c r="C34" s="587">
        <v>6</v>
      </c>
      <c r="D34" s="574" t="s">
        <v>42</v>
      </c>
      <c r="E34" s="621"/>
      <c r="F34" s="622"/>
      <c r="G34" s="623"/>
      <c r="H34" s="624"/>
      <c r="I34" s="625"/>
      <c r="J34" s="626"/>
      <c r="K34" s="301" t="str">
        <f>IF(AND(COUNTBLANK($I34:$I39)=3,COUNTA($I34:$I39)=0),0,IF(SUM($I34:$I39)=0,"",SUM($I34:$I39)))</f>
        <v/>
      </c>
      <c r="L34" s="628"/>
      <c r="M34" s="571"/>
      <c r="P34" s="575" t="s">
        <v>449</v>
      </c>
      <c r="Q34" s="575">
        <f t="shared" si="1"/>
        <v>26</v>
      </c>
      <c r="R34" s="575" t="str">
        <f>IF(S34&lt;&gt;"//",COUNTA($S$9:$S34)-COUNTIF($S$9:$S34,"//"),"")</f>
        <v/>
      </c>
      <c r="S34" s="575" t="str">
        <f t="shared" si="2"/>
        <v>//</v>
      </c>
      <c r="T34" s="576" t="str">
        <f ca="1">_xlfn.IFNA(IF(OFFSET($P$1,MATCH($Q34,$R:$R,0)-1,0)&lt;&gt;T$8,"",IF(COUNTIF('4.2需要家合意形成状況(住宅)'!$D:$D,OFFSET($S$1,MATCH($Q34,$R:$R,0)-1,0))=0,OFFSET($S$1,MATCH($Q34,$R:$R,0)-1,0),"")),"")</f>
        <v/>
      </c>
      <c r="U34" s="575" t="str">
        <f ca="1">_xlfn.IFNA(IF(OFFSET($P$1,MATCH($Q34,$R:$R,0)-1,0)&lt;&gt;U$8,"",IF(COUNTIF('4.2需要家合意形成状況(民生・業務その他)'!$D:$D,OFFSET($S$1,MATCH($Q34,$R:$R,0)-1,0))=0,OFFSET($S$1,MATCH($Q34,$R:$R,0)-1,0),"")),"")</f>
        <v/>
      </c>
      <c r="V34" s="575" t="str">
        <f ca="1">_xlfn.IFNA(IF(OFFSET($P$1,MATCH($Q34,$R:$R,0)-1,0)&lt;&gt;V$8,"",IF(COUNTIF('4.2需要家合意形成状況(公共)'!$D:$D,OFFSET($S$1,MATCH($Q34,$R:$R,0)-1,0))=0,OFFSET($S$1,MATCH($Q34,$R:$R,0)-1,0),"")),"")</f>
        <v/>
      </c>
      <c r="W34" s="575" t="str" cm="1">
        <f t="array" aca="1" ref="W34" ca="1">_xlfn.IFNA(_xlfn.IFS($P34="住宅",OFFSET('4.2需要家合意形成状況(住宅)'!$F$1,MATCH('4.2民生電力需要量'!$S34,'4.2需要家合意形成状況(住宅)'!$D:$D,0)+1,0),$P34="業務その他",OFFSET('4.2需要家合意形成状況(民生・業務その他)'!$F$1,MATCH('4.2民生電力需要量'!$S34,'4.2需要家合意形成状況(民生・業務その他)'!$D:$D,0)+1,0),$P34="公共",OFFSET('4.2需要家合意形成状況(公共)'!$F$1,MATCH('4.2民生電力需要量'!$S34,'4.2需要家合意形成状況(公共)'!$D:$D,0)+1,0)),"")</f>
        <v/>
      </c>
      <c r="X34" s="410"/>
      <c r="Y34" s="410"/>
      <c r="Z34" s="410"/>
    </row>
    <row r="35" spans="1:26" s="431" customFormat="1" hidden="1">
      <c r="A35" s="429"/>
      <c r="B35" s="577"/>
      <c r="C35" s="590"/>
      <c r="D35" s="579"/>
      <c r="E35" s="606"/>
      <c r="F35" s="607"/>
      <c r="G35" s="607"/>
      <c r="H35" s="608"/>
      <c r="I35" s="609"/>
      <c r="J35" s="610"/>
      <c r="K35" s="580"/>
      <c r="L35" s="627" t="str">
        <f t="shared" ca="1" si="5"/>
        <v/>
      </c>
      <c r="M35" s="581"/>
      <c r="N35" s="429"/>
      <c r="O35" s="582"/>
      <c r="P35" s="583" t="s">
        <v>449</v>
      </c>
      <c r="Q35" s="583">
        <f t="shared" si="1"/>
        <v>27</v>
      </c>
      <c r="R35" s="583" t="str">
        <f>IF(S35&lt;&gt;"//",COUNTA($S$9:$S35)-COUNTIF($S$9:$S35,"//"),"")</f>
        <v/>
      </c>
      <c r="S35" s="583" t="str">
        <f t="shared" si="2"/>
        <v>//</v>
      </c>
      <c r="T35" s="584" t="str">
        <f ca="1">_xlfn.IFNA(IF(OFFSET($P$1,MATCH($Q35,$R:$R,0)-1,0)&lt;&gt;T$8,"",IF(COUNTIF('4.2需要家合意形成状況(住宅)'!$D:$D,OFFSET($S$1,MATCH($Q35,$R:$R,0)-1,0))=0,OFFSET($S$1,MATCH($Q35,$R:$R,0)-1,0),"")),"")</f>
        <v/>
      </c>
      <c r="U35" s="583" t="str">
        <f ca="1">_xlfn.IFNA(IF(OFFSET($P$1,MATCH($Q35,$R:$R,0)-1,0)&lt;&gt;U$8,"",IF(COUNTIF('4.2需要家合意形成状況(民生・業務その他)'!$D:$D,OFFSET($S$1,MATCH($Q35,$R:$R,0)-1,0))=0,OFFSET($S$1,MATCH($Q35,$R:$R,0)-1,0),"")),"")</f>
        <v/>
      </c>
      <c r="V35" s="583" t="str">
        <f ca="1">_xlfn.IFNA(IF(OFFSET($P$1,MATCH($Q35,$R:$R,0)-1,0)&lt;&gt;V$8,"",IF(COUNTIF('4.2需要家合意形成状況(公共)'!$D:$D,OFFSET($S$1,MATCH($Q35,$R:$R,0)-1,0))=0,OFFSET($S$1,MATCH($Q35,$R:$R,0)-1,0),"")),"")</f>
        <v/>
      </c>
      <c r="W35" s="583" t="str" cm="1">
        <f t="array" aca="1" ref="W35" ca="1">_xlfn.IFNA(_xlfn.IFS($P35="住宅",OFFSET('4.2需要家合意形成状況(住宅)'!$F$1,MATCH('4.2民生電力需要量'!$S35,'4.2需要家合意形成状況(住宅)'!$D:$D,0)+1,0),$P35="業務その他",OFFSET('4.2需要家合意形成状況(民生・業務その他)'!$F$1,MATCH('4.2民生電力需要量'!$S35,'4.2需要家合意形成状況(民生・業務その他)'!$D:$D,0)+1,0),$P35="公共",OFFSET('4.2需要家合意形成状況(公共)'!$F$1,MATCH('4.2民生電力需要量'!$S35,'4.2需要家合意形成状況(公共)'!$D:$D,0)+1,0)),"")</f>
        <v/>
      </c>
      <c r="X35" s="215"/>
      <c r="Y35" s="215"/>
      <c r="Z35" s="215"/>
    </row>
    <row r="36" spans="1:26" s="431" customFormat="1">
      <c r="A36" s="429"/>
      <c r="B36" s="577"/>
      <c r="C36" s="590" t="s">
        <v>595</v>
      </c>
      <c r="D36" s="591"/>
      <c r="E36" s="611"/>
      <c r="F36" s="612"/>
      <c r="G36" s="612"/>
      <c r="H36" s="613"/>
      <c r="I36" s="614"/>
      <c r="J36" s="615"/>
      <c r="K36" s="580"/>
      <c r="L36" s="627" t="str">
        <f t="shared" ca="1" si="5"/>
        <v/>
      </c>
      <c r="M36" s="581"/>
      <c r="N36" s="429"/>
      <c r="O36" s="582"/>
      <c r="P36" s="583" t="s">
        <v>449</v>
      </c>
      <c r="Q36" s="583">
        <f t="shared" si="1"/>
        <v>28</v>
      </c>
      <c r="R36" s="583" t="str">
        <f>IF(S36&lt;&gt;"//",COUNTA($S$9:$S36)-COUNTIF($S$9:$S36,"//"),"")</f>
        <v/>
      </c>
      <c r="S36" s="583" t="str">
        <f t="shared" si="2"/>
        <v>//</v>
      </c>
      <c r="T36" s="584" t="str">
        <f ca="1">_xlfn.IFNA(IF(OFFSET($P$1,MATCH($Q36,$R:$R,0)-1,0)&lt;&gt;T$8,"",IF(COUNTIF('4.2需要家合意形成状況(住宅)'!$D:$D,OFFSET($S$1,MATCH($Q36,$R:$R,0)-1,0))=0,OFFSET($S$1,MATCH($Q36,$R:$R,0)-1,0),"")),"")</f>
        <v/>
      </c>
      <c r="U36" s="583" t="str">
        <f ca="1">_xlfn.IFNA(IF(OFFSET($P$1,MATCH($Q36,$R:$R,0)-1,0)&lt;&gt;U$8,"",IF(COUNTIF('4.2需要家合意形成状況(民生・業務その他)'!$D:$D,OFFSET($S$1,MATCH($Q36,$R:$R,0)-1,0))=0,OFFSET($S$1,MATCH($Q36,$R:$R,0)-1,0),"")),"")</f>
        <v/>
      </c>
      <c r="V36" s="583" t="str">
        <f ca="1">_xlfn.IFNA(IF(OFFSET($P$1,MATCH($Q36,$R:$R,0)-1,0)&lt;&gt;V$8,"",IF(COUNTIF('4.2需要家合意形成状況(公共)'!$D:$D,OFFSET($S$1,MATCH($Q36,$R:$R,0)-1,0))=0,OFFSET($S$1,MATCH($Q36,$R:$R,0)-1,0),"")),"")</f>
        <v/>
      </c>
      <c r="W36" s="583" t="str" cm="1">
        <f t="array" aca="1" ref="W36" ca="1">_xlfn.IFNA(_xlfn.IFS($P36="住宅",OFFSET('4.2需要家合意形成状況(住宅)'!$F$1,MATCH('4.2民生電力需要量'!$S36,'4.2需要家合意形成状況(住宅)'!$D:$D,0)+1,0),$P36="業務その他",OFFSET('4.2需要家合意形成状況(民生・業務その他)'!$F$1,MATCH('4.2民生電力需要量'!$S36,'4.2需要家合意形成状況(民生・業務その他)'!$D:$D,0)+1,0),$P36="公共",OFFSET('4.2需要家合意形成状況(公共)'!$F$1,MATCH('4.2民生電力需要量'!$S36,'4.2需要家合意形成状況(公共)'!$D:$D,0)+1,0)),"")</f>
        <v/>
      </c>
      <c r="X36" s="215"/>
      <c r="Y36" s="215"/>
      <c r="Z36" s="215"/>
    </row>
    <row r="37" spans="1:26" s="431" customFormat="1">
      <c r="A37" s="429"/>
      <c r="B37" s="577"/>
      <c r="C37" s="590"/>
      <c r="D37" s="591"/>
      <c r="E37" s="611"/>
      <c r="F37" s="612"/>
      <c r="G37" s="612"/>
      <c r="H37" s="613"/>
      <c r="I37" s="614"/>
      <c r="J37" s="615"/>
      <c r="K37" s="580"/>
      <c r="L37" s="627" t="str">
        <f t="shared" ca="1" si="5"/>
        <v/>
      </c>
      <c r="M37" s="581"/>
      <c r="N37" s="429"/>
      <c r="O37" s="582"/>
      <c r="P37" s="583" t="s">
        <v>449</v>
      </c>
      <c r="Q37" s="583">
        <f t="shared" si="1"/>
        <v>29</v>
      </c>
      <c r="R37" s="583" t="str">
        <f>IF(S37&lt;&gt;"//",COUNTA($S$9:$S37)-COUNTIF($S$9:$S37,"//"),"")</f>
        <v/>
      </c>
      <c r="S37" s="583" t="str">
        <f t="shared" si="2"/>
        <v>//</v>
      </c>
      <c r="T37" s="584" t="str">
        <f ca="1">_xlfn.IFNA(IF(OFFSET($P$1,MATCH($Q37,$R:$R,0)-1,0)&lt;&gt;T$8,"",IF(COUNTIF('4.2需要家合意形成状況(住宅)'!$D:$D,OFFSET($S$1,MATCH($Q37,$R:$R,0)-1,0))=0,OFFSET($S$1,MATCH($Q37,$R:$R,0)-1,0),"")),"")</f>
        <v/>
      </c>
      <c r="U37" s="583" t="str">
        <f ca="1">_xlfn.IFNA(IF(OFFSET($P$1,MATCH($Q37,$R:$R,0)-1,0)&lt;&gt;U$8,"",IF(COUNTIF('4.2需要家合意形成状況(民生・業務その他)'!$D:$D,OFFSET($S$1,MATCH($Q37,$R:$R,0)-1,0))=0,OFFSET($S$1,MATCH($Q37,$R:$R,0)-1,0),"")),"")</f>
        <v/>
      </c>
      <c r="V37" s="583" t="str">
        <f ca="1">_xlfn.IFNA(IF(OFFSET($P$1,MATCH($Q37,$R:$R,0)-1,0)&lt;&gt;V$8,"",IF(COUNTIF('4.2需要家合意形成状況(公共)'!$D:$D,OFFSET($S$1,MATCH($Q37,$R:$R,0)-1,0))=0,OFFSET($S$1,MATCH($Q37,$R:$R,0)-1,0),"")),"")</f>
        <v/>
      </c>
      <c r="W37" s="583" t="str" cm="1">
        <f t="array" aca="1" ref="W37" ca="1">_xlfn.IFNA(_xlfn.IFS($P37="住宅",OFFSET('4.2需要家合意形成状況(住宅)'!$F$1,MATCH('4.2民生電力需要量'!$S37,'4.2需要家合意形成状況(住宅)'!$D:$D,0)+1,0),$P37="業務その他",OFFSET('4.2需要家合意形成状況(民生・業務その他)'!$F$1,MATCH('4.2民生電力需要量'!$S37,'4.2需要家合意形成状況(民生・業務その他)'!$D:$D,0)+1,0),$P37="公共",OFFSET('4.2需要家合意形成状況(公共)'!$F$1,MATCH('4.2民生電力需要量'!$S37,'4.2需要家合意形成状況(公共)'!$D:$D,0)+1,0)),"")</f>
        <v/>
      </c>
      <c r="X37" s="215"/>
      <c r="Y37" s="215"/>
      <c r="Z37" s="215"/>
    </row>
    <row r="38" spans="1:26" s="431" customFormat="1">
      <c r="A38" s="429"/>
      <c r="B38" s="577"/>
      <c r="C38" s="590"/>
      <c r="D38" s="591"/>
      <c r="E38" s="611"/>
      <c r="F38" s="612"/>
      <c r="G38" s="612"/>
      <c r="H38" s="613"/>
      <c r="I38" s="614"/>
      <c r="J38" s="615"/>
      <c r="K38" s="580"/>
      <c r="L38" s="627" t="str">
        <f t="shared" ca="1" si="5"/>
        <v/>
      </c>
      <c r="M38" s="581"/>
      <c r="N38" s="429"/>
      <c r="O38" s="582"/>
      <c r="P38" s="583" t="s">
        <v>449</v>
      </c>
      <c r="Q38" s="583">
        <f t="shared" si="1"/>
        <v>30</v>
      </c>
      <c r="R38" s="583" t="str">
        <f>IF(S38&lt;&gt;"//",COUNTA($S$9:$S38)-COUNTIF($S$9:$S38,"//"),"")</f>
        <v/>
      </c>
      <c r="S38" s="583" t="str">
        <f t="shared" si="2"/>
        <v>//</v>
      </c>
      <c r="T38" s="584" t="str">
        <f ca="1">_xlfn.IFNA(IF(OFFSET($P$1,MATCH($Q38,$R:$R,0)-1,0)&lt;&gt;T$8,"",IF(COUNTIF('4.2需要家合意形成状況(住宅)'!$D:$D,OFFSET($S$1,MATCH($Q38,$R:$R,0)-1,0))=0,OFFSET($S$1,MATCH($Q38,$R:$R,0)-1,0),"")),"")</f>
        <v/>
      </c>
      <c r="U38" s="583" t="str">
        <f ca="1">_xlfn.IFNA(IF(OFFSET($P$1,MATCH($Q38,$R:$R,0)-1,0)&lt;&gt;U$8,"",IF(COUNTIF('4.2需要家合意形成状況(民生・業務その他)'!$D:$D,OFFSET($S$1,MATCH($Q38,$R:$R,0)-1,0))=0,OFFSET($S$1,MATCH($Q38,$R:$R,0)-1,0),"")),"")</f>
        <v/>
      </c>
      <c r="V38" s="583" t="str">
        <f ca="1">_xlfn.IFNA(IF(OFFSET($P$1,MATCH($Q38,$R:$R,0)-1,0)&lt;&gt;V$8,"",IF(COUNTIF('4.2需要家合意形成状況(公共)'!$D:$D,OFFSET($S$1,MATCH($Q38,$R:$R,0)-1,0))=0,OFFSET($S$1,MATCH($Q38,$R:$R,0)-1,0),"")),"")</f>
        <v/>
      </c>
      <c r="W38" s="583" t="str" cm="1">
        <f t="array" aca="1" ref="W38" ca="1">_xlfn.IFNA(_xlfn.IFS($P38="住宅",OFFSET('4.2需要家合意形成状況(住宅)'!$F$1,MATCH('4.2民生電力需要量'!$S38,'4.2需要家合意形成状況(住宅)'!$D:$D,0)+1,0),$P38="業務その他",OFFSET('4.2需要家合意形成状況(民生・業務その他)'!$F$1,MATCH('4.2民生電力需要量'!$S38,'4.2需要家合意形成状況(民生・業務その他)'!$D:$D,0)+1,0),$P38="公共",OFFSET('4.2需要家合意形成状況(公共)'!$F$1,MATCH('4.2民生電力需要量'!$S38,'4.2需要家合意形成状況(公共)'!$D:$D,0)+1,0)),"")</f>
        <v/>
      </c>
      <c r="X38" s="215"/>
      <c r="Y38" s="215"/>
      <c r="Z38" s="215"/>
    </row>
    <row r="39" spans="1:26">
      <c r="B39" s="566"/>
      <c r="C39" s="587">
        <v>7</v>
      </c>
      <c r="D39" s="574" t="s">
        <v>43</v>
      </c>
      <c r="E39" s="621"/>
      <c r="F39" s="622"/>
      <c r="G39" s="623"/>
      <c r="H39" s="624"/>
      <c r="I39" s="625"/>
      <c r="J39" s="626"/>
      <c r="K39" s="301" t="str">
        <f>IF(AND(COUNTBLANK($I39:$I44)=3,COUNTA($I39:$I44)=0),0,IF(SUM($I39:$I44)=0,"",SUM($I39:$I44)))</f>
        <v/>
      </c>
      <c r="L39" s="628"/>
      <c r="M39" s="571"/>
      <c r="P39" s="575" t="s">
        <v>63</v>
      </c>
      <c r="Q39" s="575">
        <f t="shared" si="1"/>
        <v>31</v>
      </c>
      <c r="R39" s="575" t="str">
        <f>IF(S39&lt;&gt;"//",COUNTA($S$9:$S39)-COUNTIF($S$9:$S39,"//"),"")</f>
        <v/>
      </c>
      <c r="S39" s="575" t="str">
        <f t="shared" si="2"/>
        <v>//</v>
      </c>
      <c r="T39" s="576" t="str">
        <f ca="1">_xlfn.IFNA(IF(OFFSET($P$1,MATCH($Q39,$R:$R,0)-1,0)&lt;&gt;T$8,"",IF(COUNTIF('4.2需要家合意形成状況(住宅)'!$D:$D,OFFSET($S$1,MATCH($Q39,$R:$R,0)-1,0))=0,OFFSET($S$1,MATCH($Q39,$R:$R,0)-1,0),"")),"")</f>
        <v/>
      </c>
      <c r="U39" s="575" t="str">
        <f ca="1">_xlfn.IFNA(IF(OFFSET($P$1,MATCH($Q39,$R:$R,0)-1,0)&lt;&gt;U$8,"",IF(COUNTIF('4.2需要家合意形成状況(民生・業務その他)'!$D:$D,OFFSET($S$1,MATCH($Q39,$R:$R,0)-1,0))=0,OFFSET($S$1,MATCH($Q39,$R:$R,0)-1,0),"")),"")</f>
        <v/>
      </c>
      <c r="V39" s="575" t="str">
        <f ca="1">_xlfn.IFNA(IF(OFFSET($P$1,MATCH($Q39,$R:$R,0)-1,0)&lt;&gt;V$8,"",IF(COUNTIF('4.2需要家合意形成状況(公共)'!$D:$D,OFFSET($S$1,MATCH($Q39,$R:$R,0)-1,0))=0,OFFSET($S$1,MATCH($Q39,$R:$R,0)-1,0),"")),"")</f>
        <v/>
      </c>
      <c r="W39" s="575" t="str" cm="1">
        <f t="array" aca="1" ref="W39" ca="1">_xlfn.IFNA(_xlfn.IFS($P39="住宅",OFFSET('4.2需要家合意形成状況(住宅)'!$F$1,MATCH('4.2民生電力需要量'!$S39,'4.2需要家合意形成状況(住宅)'!$D:$D,0)+1,0),$P39="業務その他",OFFSET('4.2需要家合意形成状況(民生・業務その他)'!$F$1,MATCH('4.2民生電力需要量'!$S39,'4.2需要家合意形成状況(民生・業務その他)'!$D:$D,0)+1,0),$P39="公共",OFFSET('4.2需要家合意形成状況(公共)'!$F$1,MATCH('4.2民生電力需要量'!$S39,'4.2需要家合意形成状況(公共)'!$D:$D,0)+1,0)),"")</f>
        <v/>
      </c>
      <c r="X39" s="410"/>
      <c r="Y39" s="410"/>
      <c r="Z39" s="410"/>
    </row>
    <row r="40" spans="1:26" s="431" customFormat="1" hidden="1">
      <c r="A40" s="429"/>
      <c r="B40" s="577"/>
      <c r="C40" s="578"/>
      <c r="D40" s="579"/>
      <c r="E40" s="606"/>
      <c r="F40" s="607"/>
      <c r="G40" s="607"/>
      <c r="H40" s="608"/>
      <c r="I40" s="609"/>
      <c r="J40" s="610"/>
      <c r="K40" s="580"/>
      <c r="L40" s="627" t="str">
        <f t="shared" ca="1" si="5"/>
        <v/>
      </c>
      <c r="M40" s="581"/>
      <c r="N40" s="429"/>
      <c r="O40" s="582"/>
      <c r="P40" s="583" t="s">
        <v>451</v>
      </c>
      <c r="Q40" s="583">
        <f t="shared" si="1"/>
        <v>32</v>
      </c>
      <c r="R40" s="583" t="str">
        <f>IF(S40&lt;&gt;"//",COUNTA($S$9:$S40)-COUNTIF($S$9:$S40,"//"),"")</f>
        <v/>
      </c>
      <c r="S40" s="583" t="str">
        <f t="shared" si="2"/>
        <v>//</v>
      </c>
      <c r="T40" s="584" t="str">
        <f ca="1">_xlfn.IFNA(IF(OFFSET($P$1,MATCH($Q40,$R:$R,0)-1,0)&lt;&gt;T$8,"",IF(COUNTIF('4.2需要家合意形成状況(住宅)'!$D:$D,OFFSET($S$1,MATCH($Q40,$R:$R,0)-1,0))=0,OFFSET($S$1,MATCH($Q40,$R:$R,0)-1,0),"")),"")</f>
        <v/>
      </c>
      <c r="U40" s="583" t="str">
        <f ca="1">_xlfn.IFNA(IF(OFFSET($P$1,MATCH($Q40,$R:$R,0)-1,0)&lt;&gt;U$8,"",IF(COUNTIF('4.2需要家合意形成状況(民生・業務その他)'!$D:$D,OFFSET($S$1,MATCH($Q40,$R:$R,0)-1,0))=0,OFFSET($S$1,MATCH($Q40,$R:$R,0)-1,0),"")),"")</f>
        <v/>
      </c>
      <c r="V40" s="583" t="str">
        <f ca="1">_xlfn.IFNA(IF(OFFSET($P$1,MATCH($Q40,$R:$R,0)-1,0)&lt;&gt;V$8,"",IF(COUNTIF('4.2需要家合意形成状況(公共)'!$D:$D,OFFSET($S$1,MATCH($Q40,$R:$R,0)-1,0))=0,OFFSET($S$1,MATCH($Q40,$R:$R,0)-1,0),"")),"")</f>
        <v/>
      </c>
      <c r="W40" s="583" t="str" cm="1">
        <f t="array" aca="1" ref="W40" ca="1">_xlfn.IFNA(_xlfn.IFS($P40="住宅",OFFSET('4.2需要家合意形成状況(住宅)'!$F$1,MATCH('4.2民生電力需要量'!$S40,'4.2需要家合意形成状況(住宅)'!$D:$D,0)+1,0),$P40="業務その他",OFFSET('4.2需要家合意形成状況(民生・業務その他)'!$F$1,MATCH('4.2民生電力需要量'!$S40,'4.2需要家合意形成状況(民生・業務その他)'!$D:$D,0)+1,0),$P40="公共",OFFSET('4.2需要家合意形成状況(公共)'!$F$1,MATCH('4.2民生電力需要量'!$S40,'4.2需要家合意形成状況(公共)'!$D:$D,0)+1,0)),"")</f>
        <v/>
      </c>
      <c r="X40" s="215"/>
      <c r="Y40" s="215"/>
      <c r="Z40" s="215"/>
    </row>
    <row r="41" spans="1:26" s="431" customFormat="1">
      <c r="A41" s="429"/>
      <c r="B41" s="577"/>
      <c r="C41" s="578" t="s">
        <v>596</v>
      </c>
      <c r="D41" s="592"/>
      <c r="E41" s="611"/>
      <c r="F41" s="612"/>
      <c r="G41" s="612"/>
      <c r="H41" s="613"/>
      <c r="I41" s="614"/>
      <c r="J41" s="615"/>
      <c r="K41" s="580"/>
      <c r="L41" s="627" t="str">
        <f t="shared" ca="1" si="5"/>
        <v/>
      </c>
      <c r="M41" s="581"/>
      <c r="N41" s="429"/>
      <c r="O41" s="582"/>
      <c r="P41" s="583" t="s">
        <v>451</v>
      </c>
      <c r="Q41" s="583">
        <f t="shared" si="1"/>
        <v>33</v>
      </c>
      <c r="R41" s="583" t="str">
        <f>IF(S41&lt;&gt;"//",COUNTA($S$9:$S41)-COUNTIF($S$9:$S41,"//"),"")</f>
        <v/>
      </c>
      <c r="S41" s="583" t="str">
        <f t="shared" si="2"/>
        <v>//</v>
      </c>
      <c r="T41" s="584" t="str">
        <f ca="1">_xlfn.IFNA(IF(OFFSET($P$1,MATCH($Q41,$R:$R,0)-1,0)&lt;&gt;T$8,"",IF(COUNTIF('4.2需要家合意形成状況(住宅)'!$D:$D,OFFSET($S$1,MATCH($Q41,$R:$R,0)-1,0))=0,OFFSET($S$1,MATCH($Q41,$R:$R,0)-1,0),"")),"")</f>
        <v/>
      </c>
      <c r="U41" s="583" t="str">
        <f ca="1">_xlfn.IFNA(IF(OFFSET($P$1,MATCH($Q41,$R:$R,0)-1,0)&lt;&gt;U$8,"",IF(COUNTIF('4.2需要家合意形成状況(民生・業務その他)'!$D:$D,OFFSET($S$1,MATCH($Q41,$R:$R,0)-1,0))=0,OFFSET($S$1,MATCH($Q41,$R:$R,0)-1,0),"")),"")</f>
        <v/>
      </c>
      <c r="V41" s="583" t="str">
        <f ca="1">_xlfn.IFNA(IF(OFFSET($P$1,MATCH($Q41,$R:$R,0)-1,0)&lt;&gt;V$8,"",IF(COUNTIF('4.2需要家合意形成状況(公共)'!$D:$D,OFFSET($S$1,MATCH($Q41,$R:$R,0)-1,0))=0,OFFSET($S$1,MATCH($Q41,$R:$R,0)-1,0),"")),"")</f>
        <v/>
      </c>
      <c r="W41" s="583" t="str" cm="1">
        <f t="array" aca="1" ref="W41" ca="1">_xlfn.IFNA(_xlfn.IFS($P41="住宅",OFFSET('4.2需要家合意形成状況(住宅)'!$F$1,MATCH('4.2民生電力需要量'!$S41,'4.2需要家合意形成状況(住宅)'!$D:$D,0)+1,0),$P41="業務その他",OFFSET('4.2需要家合意形成状況(民生・業務その他)'!$F$1,MATCH('4.2民生電力需要量'!$S41,'4.2需要家合意形成状況(民生・業務その他)'!$D:$D,0)+1,0),$P41="公共",OFFSET('4.2需要家合意形成状況(公共)'!$F$1,MATCH('4.2民生電力需要量'!$S41,'4.2需要家合意形成状況(公共)'!$D:$D,0)+1,0)),"")</f>
        <v/>
      </c>
      <c r="X41" s="215"/>
      <c r="Y41" s="215"/>
      <c r="Z41" s="215"/>
    </row>
    <row r="42" spans="1:26" s="431" customFormat="1">
      <c r="A42" s="429"/>
      <c r="B42" s="577"/>
      <c r="C42" s="578"/>
      <c r="D42" s="579"/>
      <c r="E42" s="611"/>
      <c r="F42" s="612"/>
      <c r="G42" s="612"/>
      <c r="H42" s="613"/>
      <c r="I42" s="614"/>
      <c r="J42" s="615"/>
      <c r="K42" s="580"/>
      <c r="L42" s="627" t="str">
        <f t="shared" ca="1" si="5"/>
        <v/>
      </c>
      <c r="M42" s="581"/>
      <c r="N42" s="429"/>
      <c r="O42" s="582"/>
      <c r="P42" s="583" t="s">
        <v>451</v>
      </c>
      <c r="Q42" s="583">
        <f t="shared" si="1"/>
        <v>34</v>
      </c>
      <c r="R42" s="583" t="str">
        <f>IF(S42&lt;&gt;"//",COUNTA($S$9:$S42)-COUNTIF($S$9:$S42,"//"),"")</f>
        <v/>
      </c>
      <c r="S42" s="583" t="str">
        <f t="shared" si="2"/>
        <v>//</v>
      </c>
      <c r="T42" s="584" t="str">
        <f ca="1">_xlfn.IFNA(IF(OFFSET($P$1,MATCH($Q42,$R:$R,0)-1,0)&lt;&gt;T$8,"",IF(COUNTIF('4.2需要家合意形成状況(住宅)'!$D:$D,OFFSET($S$1,MATCH($Q42,$R:$R,0)-1,0))=0,OFFSET($S$1,MATCH($Q42,$R:$R,0)-1,0),"")),"")</f>
        <v/>
      </c>
      <c r="U42" s="583" t="str">
        <f ca="1">_xlfn.IFNA(IF(OFFSET($P$1,MATCH($Q42,$R:$R,0)-1,0)&lt;&gt;U$8,"",IF(COUNTIF('4.2需要家合意形成状況(民生・業務その他)'!$D:$D,OFFSET($S$1,MATCH($Q42,$R:$R,0)-1,0))=0,OFFSET($S$1,MATCH($Q42,$R:$R,0)-1,0),"")),"")</f>
        <v/>
      </c>
      <c r="V42" s="583" t="str">
        <f ca="1">_xlfn.IFNA(IF(OFFSET($P$1,MATCH($Q42,$R:$R,0)-1,0)&lt;&gt;V$8,"",IF(COUNTIF('4.2需要家合意形成状況(公共)'!$D:$D,OFFSET($S$1,MATCH($Q42,$R:$R,0)-1,0))=0,OFFSET($S$1,MATCH($Q42,$R:$R,0)-1,0),"")),"")</f>
        <v/>
      </c>
      <c r="W42" s="583" t="str" cm="1">
        <f t="array" aca="1" ref="W42" ca="1">_xlfn.IFNA(_xlfn.IFS($P42="住宅",OFFSET('4.2需要家合意形成状況(住宅)'!$F$1,MATCH('4.2民生電力需要量'!$S42,'4.2需要家合意形成状況(住宅)'!$D:$D,0)+1,0),$P42="業務その他",OFFSET('4.2需要家合意形成状況(民生・業務その他)'!$F$1,MATCH('4.2民生電力需要量'!$S42,'4.2需要家合意形成状況(民生・業務その他)'!$D:$D,0)+1,0),$P42="公共",OFFSET('4.2需要家合意形成状況(公共)'!$F$1,MATCH('4.2民生電力需要量'!$S42,'4.2需要家合意形成状況(公共)'!$D:$D,0)+1,0)),"")</f>
        <v/>
      </c>
      <c r="X42" s="215"/>
      <c r="Y42" s="215"/>
      <c r="Z42" s="215"/>
    </row>
    <row r="43" spans="1:26" s="431" customFormat="1">
      <c r="A43" s="429"/>
      <c r="B43" s="577"/>
      <c r="C43" s="578"/>
      <c r="D43" s="579"/>
      <c r="E43" s="611"/>
      <c r="F43" s="612"/>
      <c r="G43" s="612"/>
      <c r="H43" s="613"/>
      <c r="I43" s="614"/>
      <c r="J43" s="615"/>
      <c r="K43" s="580"/>
      <c r="L43" s="627" t="str">
        <f t="shared" ca="1" si="5"/>
        <v/>
      </c>
      <c r="M43" s="581"/>
      <c r="N43" s="429"/>
      <c r="O43" s="582"/>
      <c r="P43" s="583" t="s">
        <v>451</v>
      </c>
      <c r="Q43" s="583">
        <f t="shared" si="1"/>
        <v>35</v>
      </c>
      <c r="R43" s="583" t="str">
        <f>IF(S43&lt;&gt;"//",COUNTA($S$9:$S43)-COUNTIF($S$9:$S43,"//"),"")</f>
        <v/>
      </c>
      <c r="S43" s="583" t="str">
        <f t="shared" si="2"/>
        <v>//</v>
      </c>
      <c r="T43" s="584" t="str">
        <f ca="1">_xlfn.IFNA(IF(OFFSET($P$1,MATCH($Q43,$R:$R,0)-1,0)&lt;&gt;T$8,"",IF(COUNTIF('4.2需要家合意形成状況(住宅)'!$D:$D,OFFSET($S$1,MATCH($Q43,$R:$R,0)-1,0))=0,OFFSET($S$1,MATCH($Q43,$R:$R,0)-1,0),"")),"")</f>
        <v/>
      </c>
      <c r="U43" s="583" t="str">
        <f ca="1">_xlfn.IFNA(IF(OFFSET($P$1,MATCH($Q43,$R:$R,0)-1,0)&lt;&gt;U$8,"",IF(COUNTIF('4.2需要家合意形成状況(民生・業務その他)'!$D:$D,OFFSET($S$1,MATCH($Q43,$R:$R,0)-1,0))=0,OFFSET($S$1,MATCH($Q43,$R:$R,0)-1,0),"")),"")</f>
        <v/>
      </c>
      <c r="V43" s="583" t="str">
        <f ca="1">_xlfn.IFNA(IF(OFFSET($P$1,MATCH($Q43,$R:$R,0)-1,0)&lt;&gt;V$8,"",IF(COUNTIF('4.2需要家合意形成状況(公共)'!$D:$D,OFFSET($S$1,MATCH($Q43,$R:$R,0)-1,0))=0,OFFSET($S$1,MATCH($Q43,$R:$R,0)-1,0),"")),"")</f>
        <v/>
      </c>
      <c r="W43" s="583" t="str" cm="1">
        <f t="array" aca="1" ref="W43" ca="1">_xlfn.IFNA(_xlfn.IFS($P43="住宅",OFFSET('4.2需要家合意形成状況(住宅)'!$F$1,MATCH('4.2民生電力需要量'!$S43,'4.2需要家合意形成状況(住宅)'!$D:$D,0)+1,0),$P43="業務その他",OFFSET('4.2需要家合意形成状況(民生・業務その他)'!$F$1,MATCH('4.2民生電力需要量'!$S43,'4.2需要家合意形成状況(民生・業務その他)'!$D:$D,0)+1,0),$P43="公共",OFFSET('4.2需要家合意形成状況(公共)'!$F$1,MATCH('4.2民生電力需要量'!$S43,'4.2需要家合意形成状況(公共)'!$D:$D,0)+1,0)),"")</f>
        <v/>
      </c>
      <c r="X43" s="215"/>
      <c r="Y43" s="215"/>
      <c r="Z43" s="215"/>
    </row>
    <row r="44" spans="1:26">
      <c r="B44" s="566"/>
      <c r="C44" s="585">
        <v>8</v>
      </c>
      <c r="D44" s="574" t="s">
        <v>21</v>
      </c>
      <c r="E44" s="621"/>
      <c r="F44" s="622"/>
      <c r="G44" s="623"/>
      <c r="H44" s="624"/>
      <c r="I44" s="625"/>
      <c r="J44" s="626"/>
      <c r="K44" s="301" t="str">
        <f>IF(AND(COUNTBLANK($I44:$I49)=3,COUNTA($I44:$I49)=0),0,IF(SUM($I44:$I49)=0,"",SUM($I44:$I49)))</f>
        <v/>
      </c>
      <c r="L44" s="628"/>
      <c r="M44" s="571"/>
      <c r="P44" s="575" t="s">
        <v>451</v>
      </c>
      <c r="Q44" s="575">
        <f t="shared" si="1"/>
        <v>36</v>
      </c>
      <c r="R44" s="575" t="str">
        <f>IF(S44&lt;&gt;"//",COUNTA($S$9:$S44)-COUNTIF($S$9:$S44,"//"),"")</f>
        <v/>
      </c>
      <c r="S44" s="575" t="str">
        <f t="shared" si="2"/>
        <v>//</v>
      </c>
      <c r="T44" s="576" t="str">
        <f ca="1">_xlfn.IFNA(IF(OFFSET($P$1,MATCH($Q44,$R:$R,0)-1,0)&lt;&gt;T$8,"",IF(COUNTIF('4.2需要家合意形成状況(住宅)'!$D:$D,OFFSET($S$1,MATCH($Q44,$R:$R,0)-1,0))=0,OFFSET($S$1,MATCH($Q44,$R:$R,0)-1,0),"")),"")</f>
        <v/>
      </c>
      <c r="U44" s="575" t="str">
        <f ca="1">_xlfn.IFNA(IF(OFFSET($P$1,MATCH($Q44,$R:$R,0)-1,0)&lt;&gt;U$8,"",IF(COUNTIF('4.2需要家合意形成状況(民生・業務その他)'!$D:$D,OFFSET($S$1,MATCH($Q44,$R:$R,0)-1,0))=0,OFFSET($S$1,MATCH($Q44,$R:$R,0)-1,0),"")),"")</f>
        <v/>
      </c>
      <c r="V44" s="575" t="str">
        <f ca="1">_xlfn.IFNA(IF(OFFSET($P$1,MATCH($Q44,$R:$R,0)-1,0)&lt;&gt;V$8,"",IF(COUNTIF('4.2需要家合意形成状況(公共)'!$D:$D,OFFSET($S$1,MATCH($Q44,$R:$R,0)-1,0))=0,OFFSET($S$1,MATCH($Q44,$R:$R,0)-1,0),"")),"")</f>
        <v/>
      </c>
      <c r="W44" s="575" t="str" cm="1">
        <f t="array" aca="1" ref="W44" ca="1">_xlfn.IFNA(_xlfn.IFS($P44="住宅",OFFSET('4.2需要家合意形成状況(住宅)'!$F$1,MATCH('4.2民生電力需要量'!$S44,'4.2需要家合意形成状況(住宅)'!$D:$D,0)+1,0),$P44="業務その他",OFFSET('4.2需要家合意形成状況(民生・業務その他)'!$F$1,MATCH('4.2民生電力需要量'!$S44,'4.2需要家合意形成状況(民生・業務その他)'!$D:$D,0)+1,0),$P44="公共",OFFSET('4.2需要家合意形成状況(公共)'!$F$1,MATCH('4.2民生電力需要量'!$S44,'4.2需要家合意形成状況(公共)'!$D:$D,0)+1,0)),"")</f>
        <v/>
      </c>
      <c r="X44" s="410"/>
      <c r="Y44" s="410"/>
      <c r="Z44" s="410"/>
    </row>
    <row r="45" spans="1:26" s="431" customFormat="1" hidden="1">
      <c r="A45" s="429"/>
      <c r="B45" s="577"/>
      <c r="C45" s="578"/>
      <c r="D45" s="579"/>
      <c r="E45" s="606"/>
      <c r="F45" s="607"/>
      <c r="G45" s="607"/>
      <c r="H45" s="608"/>
      <c r="I45" s="609"/>
      <c r="J45" s="610"/>
      <c r="K45" s="580"/>
      <c r="L45" s="627" t="str">
        <f t="shared" ca="1" si="5"/>
        <v/>
      </c>
      <c r="M45" s="581"/>
      <c r="N45" s="429"/>
      <c r="O45" s="582"/>
      <c r="P45" s="583" t="s">
        <v>451</v>
      </c>
      <c r="Q45" s="583">
        <f t="shared" si="1"/>
        <v>37</v>
      </c>
      <c r="R45" s="583" t="str">
        <f>IF(S45&lt;&gt;"//",COUNTA($S$9:$S45)-COUNTIF($S$9:$S45,"//"),"")</f>
        <v/>
      </c>
      <c r="S45" s="583" t="str">
        <f t="shared" si="2"/>
        <v>//</v>
      </c>
      <c r="T45" s="584" t="str">
        <f ca="1">_xlfn.IFNA(IF(OFFSET($P$1,MATCH($Q45,$R:$R,0)-1,0)&lt;&gt;T$8,"",IF(COUNTIF('4.2需要家合意形成状況(住宅)'!$D:$D,OFFSET($S$1,MATCH($Q45,$R:$R,0)-1,0))=0,OFFSET($S$1,MATCH($Q45,$R:$R,0)-1,0),"")),"")</f>
        <v/>
      </c>
      <c r="U45" s="583" t="str">
        <f ca="1">_xlfn.IFNA(IF(OFFSET($P$1,MATCH($Q45,$R:$R,0)-1,0)&lt;&gt;U$8,"",IF(COUNTIF('4.2需要家合意形成状況(民生・業務その他)'!$D:$D,OFFSET($S$1,MATCH($Q45,$R:$R,0)-1,0))=0,OFFSET($S$1,MATCH($Q45,$R:$R,0)-1,0),"")),"")</f>
        <v/>
      </c>
      <c r="V45" s="583" t="str">
        <f ca="1">_xlfn.IFNA(IF(OFFSET($P$1,MATCH($Q45,$R:$R,0)-1,0)&lt;&gt;V$8,"",IF(COUNTIF('4.2需要家合意形成状況(公共)'!$D:$D,OFFSET($S$1,MATCH($Q45,$R:$R,0)-1,0))=0,OFFSET($S$1,MATCH($Q45,$R:$R,0)-1,0),"")),"")</f>
        <v/>
      </c>
      <c r="W45" s="583" t="str" cm="1">
        <f t="array" aca="1" ref="W45" ca="1">_xlfn.IFNA(_xlfn.IFS($P45="住宅",OFFSET('4.2需要家合意形成状況(住宅)'!$F$1,MATCH('4.2民生電力需要量'!$S45,'4.2需要家合意形成状況(住宅)'!$D:$D,0)+1,0),$P45="業務その他",OFFSET('4.2需要家合意形成状況(民生・業務その他)'!$F$1,MATCH('4.2民生電力需要量'!$S45,'4.2需要家合意形成状況(民生・業務その他)'!$D:$D,0)+1,0),$P45="公共",OFFSET('4.2需要家合意形成状況(公共)'!$F$1,MATCH('4.2民生電力需要量'!$S45,'4.2需要家合意形成状況(公共)'!$D:$D,0)+1,0)),"")</f>
        <v/>
      </c>
      <c r="X45" s="215"/>
      <c r="Y45" s="215"/>
      <c r="Z45" s="215"/>
    </row>
    <row r="46" spans="1:26" s="431" customFormat="1">
      <c r="A46" s="429"/>
      <c r="B46" s="577"/>
      <c r="C46" s="578" t="s">
        <v>597</v>
      </c>
      <c r="D46" s="579"/>
      <c r="E46" s="611"/>
      <c r="F46" s="612"/>
      <c r="G46" s="612"/>
      <c r="H46" s="613"/>
      <c r="I46" s="614"/>
      <c r="J46" s="615"/>
      <c r="K46" s="580"/>
      <c r="L46" s="627" t="str">
        <f t="shared" ca="1" si="5"/>
        <v/>
      </c>
      <c r="M46" s="581"/>
      <c r="N46" s="429"/>
      <c r="O46" s="582"/>
      <c r="P46" s="583" t="s">
        <v>451</v>
      </c>
      <c r="Q46" s="583">
        <f t="shared" si="1"/>
        <v>38</v>
      </c>
      <c r="R46" s="583" t="str">
        <f>IF(S46&lt;&gt;"//",COUNTA($S$9:$S46)-COUNTIF($S$9:$S46,"//"),"")</f>
        <v/>
      </c>
      <c r="S46" s="583" t="str">
        <f t="shared" si="2"/>
        <v>//</v>
      </c>
      <c r="T46" s="584" t="str">
        <f ca="1">_xlfn.IFNA(IF(OFFSET($P$1,MATCH($Q46,$R:$R,0)-1,0)&lt;&gt;T$8,"",IF(COUNTIF('4.2需要家合意形成状況(住宅)'!$D:$D,OFFSET($S$1,MATCH($Q46,$R:$R,0)-1,0))=0,OFFSET($S$1,MATCH($Q46,$R:$R,0)-1,0),"")),"")</f>
        <v/>
      </c>
      <c r="U46" s="583" t="str">
        <f ca="1">_xlfn.IFNA(IF(OFFSET($P$1,MATCH($Q46,$R:$R,0)-1,0)&lt;&gt;U$8,"",IF(COUNTIF('4.2需要家合意形成状況(民生・業務その他)'!$D:$D,OFFSET($S$1,MATCH($Q46,$R:$R,0)-1,0))=0,OFFSET($S$1,MATCH($Q46,$R:$R,0)-1,0),"")),"")</f>
        <v/>
      </c>
      <c r="V46" s="583" t="str">
        <f ca="1">_xlfn.IFNA(IF(OFFSET($P$1,MATCH($Q46,$R:$R,0)-1,0)&lt;&gt;V$8,"",IF(COUNTIF('4.2需要家合意形成状況(公共)'!$D:$D,OFFSET($S$1,MATCH($Q46,$R:$R,0)-1,0))=0,OFFSET($S$1,MATCH($Q46,$R:$R,0)-1,0),"")),"")</f>
        <v/>
      </c>
      <c r="W46" s="583" t="str" cm="1">
        <f t="array" aca="1" ref="W46" ca="1">_xlfn.IFNA(_xlfn.IFS($P46="住宅",OFFSET('4.2需要家合意形成状況(住宅)'!$F$1,MATCH('4.2民生電力需要量'!$S46,'4.2需要家合意形成状況(住宅)'!$D:$D,0)+1,0),$P46="業務その他",OFFSET('4.2需要家合意形成状況(民生・業務その他)'!$F$1,MATCH('4.2民生電力需要量'!$S46,'4.2需要家合意形成状況(民生・業務その他)'!$D:$D,0)+1,0),$P46="公共",OFFSET('4.2需要家合意形成状況(公共)'!$F$1,MATCH('4.2民生電力需要量'!$S46,'4.2需要家合意形成状況(公共)'!$D:$D,0)+1,0)),"")</f>
        <v/>
      </c>
      <c r="X46" s="215"/>
      <c r="Y46" s="215"/>
      <c r="Z46" s="215"/>
    </row>
    <row r="47" spans="1:26" s="431" customFormat="1">
      <c r="A47" s="429"/>
      <c r="B47" s="577"/>
      <c r="C47" s="578"/>
      <c r="D47" s="579"/>
      <c r="E47" s="611"/>
      <c r="F47" s="612"/>
      <c r="G47" s="612"/>
      <c r="H47" s="613"/>
      <c r="I47" s="614"/>
      <c r="J47" s="615"/>
      <c r="K47" s="580"/>
      <c r="L47" s="627" t="str">
        <f t="shared" ca="1" si="5"/>
        <v/>
      </c>
      <c r="M47" s="581"/>
      <c r="N47" s="429"/>
      <c r="O47" s="582"/>
      <c r="P47" s="583" t="s">
        <v>451</v>
      </c>
      <c r="Q47" s="583">
        <f t="shared" si="1"/>
        <v>39</v>
      </c>
      <c r="R47" s="583" t="str">
        <f>IF(S47&lt;&gt;"//",COUNTA($S$9:$S47)-COUNTIF($S$9:$S47,"//"),"")</f>
        <v/>
      </c>
      <c r="S47" s="583" t="str">
        <f t="shared" si="2"/>
        <v>//</v>
      </c>
      <c r="T47" s="584" t="str">
        <f ca="1">_xlfn.IFNA(IF(OFFSET($P$1,MATCH($Q47,$R:$R,0)-1,0)&lt;&gt;T$8,"",IF(COUNTIF('4.2需要家合意形成状況(住宅)'!$D:$D,OFFSET($S$1,MATCH($Q47,$R:$R,0)-1,0))=0,OFFSET($S$1,MATCH($Q47,$R:$R,0)-1,0),"")),"")</f>
        <v/>
      </c>
      <c r="U47" s="583" t="str">
        <f ca="1">_xlfn.IFNA(IF(OFFSET($P$1,MATCH($Q47,$R:$R,0)-1,0)&lt;&gt;U$8,"",IF(COUNTIF('4.2需要家合意形成状況(民生・業務その他)'!$D:$D,OFFSET($S$1,MATCH($Q47,$R:$R,0)-1,0))=0,OFFSET($S$1,MATCH($Q47,$R:$R,0)-1,0),"")),"")</f>
        <v/>
      </c>
      <c r="V47" s="583" t="str">
        <f ca="1">_xlfn.IFNA(IF(OFFSET($P$1,MATCH($Q47,$R:$R,0)-1,0)&lt;&gt;V$8,"",IF(COUNTIF('4.2需要家合意形成状況(公共)'!$D:$D,OFFSET($S$1,MATCH($Q47,$R:$R,0)-1,0))=0,OFFSET($S$1,MATCH($Q47,$R:$R,0)-1,0),"")),"")</f>
        <v/>
      </c>
      <c r="W47" s="583" t="str" cm="1">
        <f t="array" aca="1" ref="W47" ca="1">_xlfn.IFNA(_xlfn.IFS($P47="住宅",OFFSET('4.2需要家合意形成状況(住宅)'!$F$1,MATCH('4.2民生電力需要量'!$S47,'4.2需要家合意形成状況(住宅)'!$D:$D,0)+1,0),$P47="業務その他",OFFSET('4.2需要家合意形成状況(民生・業務その他)'!$F$1,MATCH('4.2民生電力需要量'!$S47,'4.2需要家合意形成状況(民生・業務その他)'!$D:$D,0)+1,0),$P47="公共",OFFSET('4.2需要家合意形成状況(公共)'!$F$1,MATCH('4.2民生電力需要量'!$S47,'4.2需要家合意形成状況(公共)'!$D:$D,0)+1,0)),"")</f>
        <v/>
      </c>
      <c r="X47" s="215"/>
      <c r="Y47" s="215"/>
      <c r="Z47" s="215"/>
    </row>
    <row r="48" spans="1:26" s="431" customFormat="1">
      <c r="A48" s="429"/>
      <c r="B48" s="577"/>
      <c r="C48" s="578"/>
      <c r="D48" s="579"/>
      <c r="E48" s="616"/>
      <c r="F48" s="617"/>
      <c r="G48" s="617"/>
      <c r="H48" s="618"/>
      <c r="I48" s="619"/>
      <c r="J48" s="620"/>
      <c r="K48" s="629"/>
      <c r="L48" s="627" t="str">
        <f t="shared" ca="1" si="5"/>
        <v/>
      </c>
      <c r="M48" s="581"/>
      <c r="N48" s="429"/>
      <c r="O48" s="582"/>
      <c r="P48" s="583" t="s">
        <v>451</v>
      </c>
      <c r="Q48" s="583">
        <f t="shared" si="1"/>
        <v>40</v>
      </c>
      <c r="R48" s="583" t="str">
        <f>IF(S48&lt;&gt;"//",COUNTA($S$9:$S48)-COUNTIF($S$9:$S48,"//"),"")</f>
        <v/>
      </c>
      <c r="S48" s="583" t="str">
        <f t="shared" si="2"/>
        <v>//</v>
      </c>
      <c r="T48" s="584" t="str">
        <f ca="1">_xlfn.IFNA(IF(OFFSET($P$1,MATCH($Q48,$R:$R,0)-1,0)&lt;&gt;T$8,"",IF(COUNTIF('4.2需要家合意形成状況(住宅)'!$D:$D,OFFSET($S$1,MATCH($Q48,$R:$R,0)-1,0))=0,OFFSET($S$1,MATCH($Q48,$R:$R,0)-1,0),"")),"")</f>
        <v/>
      </c>
      <c r="U48" s="583" t="str">
        <f ca="1">_xlfn.IFNA(IF(OFFSET($P$1,MATCH($Q48,$R:$R,0)-1,0)&lt;&gt;U$8,"",IF(COUNTIF('4.2需要家合意形成状況(民生・業務その他)'!$D:$D,OFFSET($S$1,MATCH($Q48,$R:$R,0)-1,0))=0,OFFSET($S$1,MATCH($Q48,$R:$R,0)-1,0),"")),"")</f>
        <v/>
      </c>
      <c r="V48" s="583" t="str">
        <f ca="1">_xlfn.IFNA(IF(OFFSET($P$1,MATCH($Q48,$R:$R,0)-1,0)&lt;&gt;V$8,"",IF(COUNTIF('4.2需要家合意形成状況(公共)'!$D:$D,OFFSET($S$1,MATCH($Q48,$R:$R,0)-1,0))=0,OFFSET($S$1,MATCH($Q48,$R:$R,0)-1,0),"")),"")</f>
        <v/>
      </c>
      <c r="W48" s="583" t="str" cm="1">
        <f t="array" aca="1" ref="W48" ca="1">_xlfn.IFNA(_xlfn.IFS($P48="住宅",OFFSET('4.2需要家合意形成状況(住宅)'!$F$1,MATCH('4.2民生電力需要量'!$S48,'4.2需要家合意形成状況(住宅)'!$D:$D,0)+1,0),$P48="業務その他",OFFSET('4.2需要家合意形成状況(民生・業務その他)'!$F$1,MATCH('4.2民生電力需要量'!$S48,'4.2需要家合意形成状況(民生・業務その他)'!$D:$D,0)+1,0),$P48="公共",OFFSET('4.2需要家合意形成状況(公共)'!$F$1,MATCH('4.2民生電力需要量'!$S48,'4.2需要家合意形成状況(公共)'!$D:$D,0)+1,0)),"")</f>
        <v/>
      </c>
      <c r="X48" s="215"/>
      <c r="Y48" s="215"/>
      <c r="Z48" s="215"/>
    </row>
    <row r="49" spans="1:26">
      <c r="B49" s="566"/>
      <c r="C49" s="593"/>
      <c r="D49" s="594" t="s">
        <v>26</v>
      </c>
      <c r="E49" s="595"/>
      <c r="F49" s="596"/>
      <c r="G49" s="596"/>
      <c r="H49" s="597"/>
      <c r="I49" s="303"/>
      <c r="J49" s="304"/>
      <c r="K49" s="715">
        <f>SUM(K9,K14,K19,K24,K29,K34,K39,K44)</f>
        <v>0</v>
      </c>
      <c r="L49" s="598"/>
      <c r="M49" s="571"/>
      <c r="P49" s="575" t="s">
        <v>451</v>
      </c>
      <c r="Q49" s="575">
        <f t="shared" si="1"/>
        <v>41</v>
      </c>
      <c r="R49" s="575" t="str">
        <f>IF(S49&lt;&gt;"//",COUNTA($S$9:$S49)-COUNTIF($S$9:$S49,"//"),"")</f>
        <v/>
      </c>
      <c r="S49" s="575" t="str">
        <f t="shared" si="2"/>
        <v>//</v>
      </c>
      <c r="T49" s="576" t="str">
        <f ca="1">_xlfn.IFNA(IF(OFFSET($P$1,MATCH($Q49,$R:$R,0)-1,0)&lt;&gt;T$8,"",IF(COUNTIF('4.2需要家合意形成状況(住宅)'!$D:$D,OFFSET($S$1,MATCH($Q49,$R:$R,0)-1,0))=0,OFFSET($S$1,MATCH($Q49,$R:$R,0)-1,0),"")),"")</f>
        <v/>
      </c>
      <c r="U49" s="575" t="str">
        <f ca="1">_xlfn.IFNA(IF(OFFSET($P$1,MATCH($Q49,$R:$R,0)-1,0)&lt;&gt;U$8,"",IF(COUNTIF('4.2需要家合意形成状況(民生・業務その他)'!$D:$D,OFFSET($S$1,MATCH($Q49,$R:$R,0)-1,0))=0,OFFSET($S$1,MATCH($Q49,$R:$R,0)-1,0),"")),"")</f>
        <v/>
      </c>
      <c r="V49" s="575" t="str">
        <f ca="1">_xlfn.IFNA(IF(OFFSET($P$1,MATCH($Q49,$R:$R,0)-1,0)&lt;&gt;V$8,"",IF(COUNTIF('4.2需要家合意形成状況(公共)'!$D:$D,OFFSET($S$1,MATCH($Q49,$R:$R,0)-1,0))=0,OFFSET($S$1,MATCH($Q49,$R:$R,0)-1,0),"")),"")</f>
        <v/>
      </c>
      <c r="W49" s="575" t="str" cm="1">
        <f t="array" aca="1" ref="W49" ca="1">_xlfn.IFNA(_xlfn.IFS($P49="住宅",OFFSET('4.2需要家合意形成状況(住宅)'!$F$1,MATCH('4.2民生電力需要量'!$S49,'4.2需要家合意形成状況(住宅)'!$D:$D,0)+1,0),$P49="業務その他",OFFSET('4.2需要家合意形成状況(民生・業務その他)'!$F$1,MATCH('4.2民生電力需要量'!$S49,'4.2需要家合意形成状況(民生・業務その他)'!$D:$D,0)+1,0),$P49="公共",OFFSET('4.2需要家合意形成状況(公共)'!$F$1,MATCH('4.2民生電力需要量'!$S49,'4.2需要家合意形成状況(公共)'!$D:$D,0)+1,0)),"")</f>
        <v/>
      </c>
      <c r="X49" s="410"/>
      <c r="Y49" s="410"/>
      <c r="Z49" s="410"/>
    </row>
    <row r="50" spans="1:26" ht="7.5" customHeight="1">
      <c r="A50" s="90"/>
      <c r="B50" s="599"/>
      <c r="C50" s="247"/>
      <c r="D50" s="247"/>
      <c r="E50" s="600"/>
      <c r="F50" s="247"/>
      <c r="G50" s="247"/>
      <c r="H50" s="600"/>
      <c r="I50" s="247"/>
      <c r="J50" s="601"/>
      <c r="K50" s="247"/>
      <c r="L50" s="602"/>
      <c r="M50" s="603"/>
    </row>
    <row r="51" spans="1:26" ht="27" customHeight="1">
      <c r="A51" s="90"/>
      <c r="D51" s="557" t="s">
        <v>117</v>
      </c>
      <c r="E51" s="604"/>
      <c r="F51" s="604"/>
      <c r="G51" s="604"/>
      <c r="H51" s="604"/>
      <c r="I51" s="604"/>
      <c r="J51" s="605"/>
      <c r="K51" s="604"/>
      <c r="L51" s="605"/>
      <c r="M51" s="604"/>
    </row>
    <row r="52" spans="1:26">
      <c r="A52" s="90"/>
      <c r="D52" s="230" t="s">
        <v>118</v>
      </c>
      <c r="O52" s="230"/>
      <c r="P52" s="230" t="s">
        <v>425</v>
      </c>
      <c r="Q52" s="230"/>
    </row>
    <row r="53" spans="1:26">
      <c r="A53" s="90"/>
      <c r="P53" s="268" t="s">
        <v>598</v>
      </c>
      <c r="Q53" s="268">
        <f ca="1">IF((COUNTA($E:$E)-1)=COUNTIF(L:L,"?"),1,0)</f>
        <v>1</v>
      </c>
    </row>
    <row r="54" spans="1:26">
      <c r="A54" s="90"/>
      <c r="P54" s="268" t="s">
        <v>599</v>
      </c>
      <c r="Q54" s="268" cm="1">
        <f t="array" aca="1" ref="Q54" ca="1">IF(SUMPRODUCT(N(L9:L49&lt;&gt;W9:W49))=0,1,0)</f>
        <v>1</v>
      </c>
    </row>
    <row r="55" spans="1:26">
      <c r="A55" s="90"/>
      <c r="P55" s="268" t="s">
        <v>600</v>
      </c>
      <c r="Q55" s="268">
        <f ca="1">Q53*Q54</f>
        <v>1</v>
      </c>
    </row>
    <row r="56" spans="1:26">
      <c r="A56" s="90"/>
    </row>
    <row r="57" spans="1:26">
      <c r="A57" s="90"/>
    </row>
    <row r="58" spans="1:26">
      <c r="A58" s="90"/>
    </row>
    <row r="59" spans="1:26">
      <c r="A59" s="90"/>
    </row>
  </sheetData>
  <sheetProtection algorithmName="SHA-512" hashValue="RdMTCb+LNfRbv96F8M6QQ2M1KAh6Xs1sOsubmq+EncHgvRZJhVNED1fWXELulqj39pnilQQx0znSCVh7m/pqMg==" saltValue="yT21v/mhZZLDyIyyqklo3g==" spinCount="100000" sheet="1" formatCells="0" insertRows="0" deleteRows="0"/>
  <phoneticPr fontId="1"/>
  <conditionalFormatting sqref="C10:C48">
    <cfRule type="notContainsBlanks" dxfId="1291" priority="2">
      <formula>LEN(TRIM(C10))&gt;0</formula>
    </cfRule>
    <cfRule type="expression" dxfId="1290" priority="3">
      <formula>$E10&lt;&gt;""</formula>
    </cfRule>
  </conditionalFormatting>
  <conditionalFormatting sqref="C9:L49">
    <cfRule type="expression" dxfId="1289" priority="4">
      <formula>$Q9=""</formula>
    </cfRule>
  </conditionalFormatting>
  <conditionalFormatting sqref="E9:L48">
    <cfRule type="notContainsBlanks" dxfId="1288" priority="6">
      <formula>LEN(TRIM(E9))&gt;0</formula>
    </cfRule>
  </conditionalFormatting>
  <conditionalFormatting sqref="K49">
    <cfRule type="cellIs" dxfId="1287" priority="1" operator="notEqual">
      <formula>0</formula>
    </cfRule>
  </conditionalFormatting>
  <conditionalFormatting sqref="L9:L49">
    <cfRule type="expression" dxfId="1286" priority="5">
      <formula>$W9&lt;&gt;$L9</formula>
    </cfRule>
  </conditionalFormatting>
  <dataValidations count="10">
    <dataValidation type="list" allowBlank="1" showInputMessage="1" showErrorMessage="1" sqref="G49:H49" xr:uid="{89415004-3146-4BDB-B2FD-2A956727567D}">
      <formula1>OFFSET(#REF!,MATCH($F49,#REF!,0),1,1,COUNTA(OFFSET(#REF!,MATCH($F49,#REF!,0),1,1,10)))</formula1>
    </dataValidation>
    <dataValidation type="list" allowBlank="1" showInputMessage="1" showErrorMessage="1" sqref="F49" xr:uid="{0AEC1D1C-BBF9-424A-B279-09A6F1414D08}">
      <formula1>#REF!</formula1>
    </dataValidation>
    <dataValidation type="custom" allowBlank="1" showInputMessage="1" showErrorMessage="1" sqref="I49:J49 H9:H49" xr:uid="{4199A797-7444-42FC-ACA1-C1BCCEADAFDA}">
      <formula1>$D9="*"</formula1>
    </dataValidation>
    <dataValidation type="decimal" operator="greaterThanOrEqual" allowBlank="1" showInputMessage="1" showErrorMessage="1" error="数値で入力してください" sqref="J9 J14 L39 L14 J44 L19 L24 L29 L34 J19 J24 J29 J34 J39 I9:I48 L44" xr:uid="{6BB95785-C989-4D77-8D5C-A03A954DFCB8}">
      <formula1>0</formula1>
    </dataValidation>
    <dataValidation type="list" operator="greaterThanOrEqual" allowBlank="1" showInputMessage="1" showErrorMessage="1" sqref="J20:J23 J45:J48 J35:J38 J40:J43 J30:J33 J25:J28 J15:J18 J10:J13" xr:uid="{A8B6B932-49CB-4693-BE67-C93BC31A5C09}">
      <formula1>"範囲内,範囲外"</formula1>
    </dataValidation>
    <dataValidation type="textLength" operator="lessThan" allowBlank="1" showInputMessage="1" showErrorMessage="1" sqref="K9 K14 K19 K24 K29 K34 K39 K44 D9:D48" xr:uid="{4535185D-AA60-4653-BDBF-ADC4FB3C8937}">
      <formula1>1</formula1>
    </dataValidation>
    <dataValidation type="list" allowBlank="1" showInputMessage="1" sqref="F34 F9 F29 F39 F14 F19 F24 F44" xr:uid="{5E570AAE-4BA8-49D5-B68B-152A31AE3989}">
      <formula1>OFFSET(#REF!,MATCH(#REF!,#REF!,0),3,1,COUNTA(#REF!))</formula1>
    </dataValidation>
    <dataValidation type="textLength" operator="lessThan" allowBlank="1" showInputMessage="1" sqref="K20:K23 K35:K38 K40:K43 K45:K48 K30:K33 K25:K28 K15:K18 K10:K13" xr:uid="{BA87061B-195B-4B0E-99D5-DED36533D3A0}">
      <formula1>1</formula1>
    </dataValidation>
    <dataValidation type="list" allowBlank="1" showInputMessage="1" showErrorMessage="1" sqref="F15:F18 F10:F13" xr:uid="{4F3B3076-AD29-4B01-BBA5-8FA6BEB545CF}">
      <formula1>"既存住宅,新築住宅"</formula1>
    </dataValidation>
    <dataValidation type="list" allowBlank="1" showInputMessage="1" showErrorMessage="1" sqref="F25:F28 F45:F48 F35:F38 F40:F43 F20:F23 F30:F33" xr:uid="{117E1D87-8B47-430D-8428-3AC3C77EFAD8}">
      <formula1>"新築,既存,建替"</formula1>
    </dataValidation>
  </dataValidations>
  <pageMargins left="0.7" right="0.7" top="0.75" bottom="0.75" header="0.3" footer="0.3"/>
  <pageSetup paperSize="8" scale="80" orientation="portrait" r:id="rId1"/>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41674-8BFE-4B21-BA3D-7680079DB9CA}">
  <sheetPr codeName="Sheet32">
    <tabColor theme="7" tint="0.79998168889431442"/>
    <pageSetUpPr fitToPage="1"/>
  </sheetPr>
  <dimension ref="A1:AB424"/>
  <sheetViews>
    <sheetView showGridLines="0" zoomScaleNormal="100" zoomScaleSheetLayoutView="83" workbookViewId="0"/>
  </sheetViews>
  <sheetFormatPr defaultColWidth="9" defaultRowHeight="18"/>
  <cols>
    <col min="1" max="1" width="2.08203125" customWidth="1"/>
    <col min="2" max="2" width="2" customWidth="1"/>
    <col min="3" max="3" width="7.08203125" customWidth="1"/>
    <col min="4" max="4" width="21.5" customWidth="1"/>
    <col min="5" max="5" width="24.58203125" style="3" bestFit="1" customWidth="1"/>
    <col min="6" max="11" width="15" customWidth="1"/>
    <col min="12" max="12" width="2" customWidth="1"/>
    <col min="13" max="13" width="4.08203125" style="2" customWidth="1"/>
    <col min="14" max="15" width="9" style="2"/>
    <col min="18" max="26" width="12.58203125" hidden="1" customWidth="1"/>
    <col min="27" max="28" width="9" hidden="1" customWidth="1"/>
  </cols>
  <sheetData>
    <row r="1" spans="1:28">
      <c r="A1" s="44" t="s">
        <v>364</v>
      </c>
      <c r="B1" s="1"/>
      <c r="C1" s="1"/>
      <c r="E1"/>
    </row>
    <row r="2" spans="1:28">
      <c r="B2" t="s">
        <v>433</v>
      </c>
      <c r="C2" s="3"/>
      <c r="D2" s="3"/>
      <c r="F2" s="3"/>
      <c r="G2" s="3"/>
      <c r="H2" s="3"/>
      <c r="I2" s="3"/>
      <c r="J2" s="3"/>
      <c r="K2" s="3"/>
      <c r="L2" s="3"/>
      <c r="M2" s="3"/>
      <c r="N2" s="3"/>
      <c r="O2" s="3"/>
      <c r="P2" s="3"/>
    </row>
    <row r="3" spans="1:28">
      <c r="C3" t="s">
        <v>515</v>
      </c>
    </row>
    <row r="4" spans="1:28" ht="18.75" customHeight="1">
      <c r="B4" s="73"/>
      <c r="C4" t="s">
        <v>434</v>
      </c>
      <c r="R4" t="s">
        <v>317</v>
      </c>
    </row>
    <row r="5" spans="1:28">
      <c r="AA5">
        <f ca="1">PRODUCT(AB:AB)</f>
        <v>1</v>
      </c>
    </row>
    <row r="6" spans="1:28" ht="9" customHeight="1">
      <c r="B6" s="10"/>
      <c r="C6" s="5"/>
      <c r="D6" s="5"/>
      <c r="E6" s="307"/>
      <c r="F6" s="5"/>
      <c r="G6" s="5"/>
      <c r="H6" s="5"/>
      <c r="I6" s="5"/>
      <c r="J6" s="5"/>
      <c r="K6" s="5"/>
      <c r="L6" s="6"/>
      <c r="M6"/>
      <c r="N6"/>
      <c r="O6"/>
      <c r="R6" t="str">
        <f>D7</f>
        <v>(選択してください)</v>
      </c>
    </row>
    <row r="7" spans="1:28">
      <c r="B7" s="7"/>
      <c r="C7" s="77" t="str">
        <f ca="1">IFERROR(OFFSET('4.2民生電力需要量'!$C$1,MATCH(D7,'4.2民生電力需要量'!$E:$E,0)-1,0),"")</f>
        <v/>
      </c>
      <c r="D7" s="96" t="s">
        <v>130</v>
      </c>
      <c r="E7" s="72" t="s">
        <v>131</v>
      </c>
      <c r="F7" s="1061" t="str">
        <f ca="1">IFERROR(OFFSET('4.2民生電力需要量'!$G$1,MATCH($D7,'4.2民生電力需要量'!$E:$E,0)-1,0),"")</f>
        <v/>
      </c>
      <c r="G7" s="1061"/>
      <c r="H7" s="1061"/>
      <c r="I7" s="1061"/>
      <c r="J7" s="1061"/>
      <c r="K7" s="1061"/>
      <c r="L7" s="8"/>
      <c r="M7"/>
      <c r="N7"/>
      <c r="O7"/>
      <c r="R7" s="177" t="str">
        <f ca="1">IFERROR(OFFSET('4.2民生電力需要量'!$G$1,MATCH($D7,'4.2民生電力需要量'!$E:$E,0)-1,0),"")</f>
        <v/>
      </c>
      <c r="S7" s="177"/>
      <c r="T7" s="177"/>
      <c r="U7" s="177"/>
      <c r="V7" s="177"/>
      <c r="W7" s="177"/>
      <c r="X7" s="177"/>
      <c r="Y7" s="177"/>
      <c r="Z7" s="177"/>
      <c r="AA7" s="177"/>
      <c r="AB7" s="177">
        <f ca="1">(F7=R7)*1</f>
        <v>1</v>
      </c>
    </row>
    <row r="8" spans="1:28">
      <c r="B8" s="7"/>
      <c r="C8" s="74"/>
      <c r="D8" s="66"/>
      <c r="E8" s="72" t="s">
        <v>221</v>
      </c>
      <c r="F8" s="1062" t="str">
        <f ca="1">IFERROR(OFFSET('4.2民生電力需要量'!$I$1,MATCH($D7,'4.2民生電力需要量'!$E:$E,0)-1,0),"")</f>
        <v/>
      </c>
      <c r="G8" s="1062"/>
      <c r="H8" s="1062"/>
      <c r="I8" s="1062"/>
      <c r="J8" s="1062"/>
      <c r="K8" s="1062"/>
      <c r="L8" s="8"/>
      <c r="M8"/>
      <c r="N8"/>
      <c r="O8"/>
      <c r="R8" s="177" t="str">
        <f ca="1">IFERROR(OFFSET('4.2民生電力需要量'!$I$1,MATCH($D7,'4.2民生電力需要量'!$E:$E,0)-1,0),"")</f>
        <v/>
      </c>
      <c r="S8" s="177"/>
      <c r="T8" s="177"/>
      <c r="U8" s="177"/>
      <c r="V8" s="177"/>
      <c r="W8" s="177"/>
      <c r="X8" s="177"/>
      <c r="Y8" s="177"/>
      <c r="Z8" s="177"/>
      <c r="AA8" s="177"/>
      <c r="AB8" s="177">
        <f t="shared" ref="AB8:AB9" ca="1" si="0">(F8=R8)*1</f>
        <v>1</v>
      </c>
    </row>
    <row r="9" spans="1:28">
      <c r="B9" s="7"/>
      <c r="C9" s="74"/>
      <c r="D9" s="66"/>
      <c r="E9" s="72" t="s">
        <v>176</v>
      </c>
      <c r="F9" s="1063" t="str">
        <f>_xlfn.IFNA(R9,"")</f>
        <v/>
      </c>
      <c r="G9" s="1063"/>
      <c r="H9" s="1063"/>
      <c r="I9" s="1063"/>
      <c r="J9" s="1063"/>
      <c r="K9" s="1063"/>
      <c r="L9" s="8"/>
      <c r="M9"/>
      <c r="N9"/>
      <c r="O9"/>
      <c r="R9" s="217" t="str">
        <f>IF(PRODUCT($Z11:$Z15)=1,AA11,"")</f>
        <v/>
      </c>
      <c r="S9" s="177"/>
      <c r="T9" s="177"/>
      <c r="U9" s="177"/>
      <c r="V9" s="177"/>
      <c r="W9" s="177"/>
      <c r="X9" s="177"/>
      <c r="Y9" s="177"/>
      <c r="Z9" s="177"/>
      <c r="AA9" s="177"/>
      <c r="AB9" s="177">
        <f t="shared" si="0"/>
        <v>1</v>
      </c>
    </row>
    <row r="10" spans="1:28" s="2" customFormat="1" ht="60">
      <c r="A10"/>
      <c r="B10" s="7"/>
      <c r="C10" s="74"/>
      <c r="D10" s="66"/>
      <c r="E10" s="308"/>
      <c r="F10" s="314" t="s">
        <v>302</v>
      </c>
      <c r="G10" s="315" t="s">
        <v>303</v>
      </c>
      <c r="H10" s="315" t="s">
        <v>304</v>
      </c>
      <c r="I10" s="315" t="s">
        <v>305</v>
      </c>
      <c r="J10" s="315" t="s">
        <v>435</v>
      </c>
      <c r="K10" s="315" t="s">
        <v>272</v>
      </c>
      <c r="L10" s="8"/>
      <c r="M10"/>
      <c r="P10"/>
      <c r="Q10"/>
      <c r="R10" s="296" t="s">
        <v>301</v>
      </c>
      <c r="S10" s="296" t="s">
        <v>302</v>
      </c>
      <c r="T10" s="316" t="s">
        <v>429</v>
      </c>
      <c r="U10" s="296" t="s">
        <v>430</v>
      </c>
      <c r="V10" s="296" t="s">
        <v>428</v>
      </c>
      <c r="W10" s="317" t="s">
        <v>272</v>
      </c>
      <c r="X10" s="296" t="s">
        <v>432</v>
      </c>
      <c r="Y10" s="217" t="s">
        <v>408</v>
      </c>
      <c r="Z10" s="217" t="s">
        <v>436</v>
      </c>
      <c r="AA10" s="296" t="s">
        <v>431</v>
      </c>
      <c r="AB10" s="296"/>
    </row>
    <row r="11" spans="1:28" s="101" customFormat="1" ht="18.75" hidden="1" customHeight="1">
      <c r="A11" s="11"/>
      <c r="B11" s="97"/>
      <c r="C11" s="98"/>
      <c r="D11" s="99"/>
      <c r="E11" s="440"/>
      <c r="F11" s="441"/>
      <c r="G11" s="441"/>
      <c r="H11" s="441"/>
      <c r="I11" s="441"/>
      <c r="J11" s="441"/>
      <c r="K11" s="441"/>
      <c r="L11" s="100"/>
      <c r="M11" s="11"/>
      <c r="Q11" s="11"/>
      <c r="R11" s="131">
        <f>IF(E11="地区代表者",COUNTA($D$1:$D11),0)</f>
        <v>0</v>
      </c>
      <c r="S11" s="131">
        <f t="shared" ref="S11:S12" si="1">IF(F11="実施済",1,0)</f>
        <v>0</v>
      </c>
      <c r="T11" s="260"/>
      <c r="U11" s="131">
        <f t="shared" ref="U11:U12" si="2">IF(AND(H11="実施済",I11="実施済"),S11*1,0)</f>
        <v>0</v>
      </c>
      <c r="V11" s="131">
        <f>IF(J11="実施済",$U11*1,0)</f>
        <v>0</v>
      </c>
      <c r="W11" s="260"/>
      <c r="X11" s="131" t="str">
        <f>IF(E11="","",IF(R11*S11&gt;0,3,SUM(S11,U11,V11)))</f>
        <v/>
      </c>
      <c r="Y11" s="131">
        <f>MIN($X$11:$X$15)+1</f>
        <v>1</v>
      </c>
      <c r="Z11" s="131">
        <f>IF(E11="",1,IF(R11&gt;0,IF(COUNTA($F11:$K11)=2,1,0),IF(COUNTA($F11:$K11)=6,1,0)))</f>
        <v>1</v>
      </c>
      <c r="AA11" s="131" t="str" cm="1">
        <f t="array" ref="AA11">_xlfn.IFS(Y11=4,"A",Y11=3,"B",Y11=2,"C",Y11=1,"D")</f>
        <v>D</v>
      </c>
      <c r="AB11" s="131" t="str" cm="1">
        <f t="array" ref="AB11">_xlfn.IFS(Z11=4,"A",Z11=3,"B",Z11=2,"C",Z11=1,"D")</f>
        <v>D</v>
      </c>
    </row>
    <row r="12" spans="1:28" s="101" customFormat="1" ht="18.75" customHeight="1">
      <c r="A12" s="11"/>
      <c r="B12" s="97"/>
      <c r="C12" s="98"/>
      <c r="D12" s="99"/>
      <c r="E12" s="442" t="s">
        <v>301</v>
      </c>
      <c r="F12" s="443"/>
      <c r="G12" s="846"/>
      <c r="H12" s="846"/>
      <c r="I12" s="846"/>
      <c r="J12" s="846"/>
      <c r="K12" s="443"/>
      <c r="L12" s="100"/>
      <c r="M12" s="11"/>
      <c r="Q12" s="11"/>
      <c r="R12" s="131">
        <f>IF(E12="地区代表者",COUNTA($D$1:$D12),0)</f>
        <v>1</v>
      </c>
      <c r="S12" s="131">
        <f t="shared" si="1"/>
        <v>0</v>
      </c>
      <c r="T12" s="260"/>
      <c r="U12" s="131">
        <f t="shared" si="2"/>
        <v>0</v>
      </c>
      <c r="V12" s="131">
        <f>IF(J12="実施済",$U12*1,0)</f>
        <v>0</v>
      </c>
      <c r="W12" s="260"/>
      <c r="X12" s="131">
        <f t="shared" ref="X12:X13" si="3">IF(E12="","",IF(R12*S12&gt;0,3,SUM(S12,U12,V12)))</f>
        <v>0</v>
      </c>
      <c r="Y12" s="131">
        <f>MIN($X$11:$X$15)+1</f>
        <v>1</v>
      </c>
      <c r="Z12" s="131">
        <f t="shared" ref="Z12:Z15" si="4">IF(E12="",1,IF(R12&gt;0,IF(COUNTA($F12:$K12)=2,1,0),IF(COUNTA($F12:$K12)=6,1,0)))</f>
        <v>0</v>
      </c>
      <c r="AA12" s="131" t="str" cm="1">
        <f t="array" ref="AA12">_xlfn.IFS(Y12=4,"A",Y12=3,"B",Y12=2,"C",Y12=1,"D")</f>
        <v>D</v>
      </c>
      <c r="AB12" s="131"/>
    </row>
    <row r="13" spans="1:28" s="101" customFormat="1" ht="18.75" customHeight="1">
      <c r="A13" s="11"/>
      <c r="B13" s="97"/>
      <c r="C13" s="98"/>
      <c r="D13" s="99"/>
      <c r="E13" s="442" t="s">
        <v>116</v>
      </c>
      <c r="F13" s="443"/>
      <c r="G13" s="443"/>
      <c r="H13" s="443"/>
      <c r="I13" s="443"/>
      <c r="J13" s="443"/>
      <c r="K13" s="443"/>
      <c r="L13" s="100"/>
      <c r="M13" s="11"/>
      <c r="P13" s="11"/>
      <c r="Q13" s="11"/>
      <c r="R13" s="131">
        <f>IF(E13="地区代表者",COUNTA($D$1:$D13),0)</f>
        <v>0</v>
      </c>
      <c r="S13" s="131">
        <f>IF(F13="実施済",1,0)</f>
        <v>0</v>
      </c>
      <c r="T13" s="260"/>
      <c r="U13" s="131">
        <f>IF(AND(H13="実施済",I13="実施済"),S13*1,0)</f>
        <v>0</v>
      </c>
      <c r="V13" s="131">
        <f>IF(J13="実施済",$U13*1,0)</f>
        <v>0</v>
      </c>
      <c r="W13" s="260"/>
      <c r="X13" s="131">
        <f t="shared" si="3"/>
        <v>0</v>
      </c>
      <c r="Y13" s="131">
        <f>MIN($X$11:$X$15)+1</f>
        <v>1</v>
      </c>
      <c r="Z13" s="131">
        <f t="shared" si="4"/>
        <v>0</v>
      </c>
      <c r="AA13" s="131" t="str" cm="1">
        <f t="array" ref="AA13">_xlfn.IFS(Y13=4,"A",Y13=3,"B",Y13=2,"C",Y13=1,"D")</f>
        <v>D</v>
      </c>
      <c r="AB13" s="131"/>
    </row>
    <row r="14" spans="1:28" s="2" customFormat="1" ht="9" customHeight="1">
      <c r="A14"/>
      <c r="B14" s="65"/>
      <c r="C14" s="4"/>
      <c r="D14" s="309"/>
      <c r="E14" s="310"/>
      <c r="F14" s="310"/>
      <c r="G14" s="310"/>
      <c r="H14" s="310"/>
      <c r="I14" s="310"/>
      <c r="J14" s="310"/>
      <c r="K14" s="310"/>
      <c r="L14" s="9"/>
      <c r="M14"/>
      <c r="P14"/>
      <c r="Q14"/>
      <c r="R14" s="217">
        <f>IF(E14="地区代表者",COUNTA($D$1:$D14),0)</f>
        <v>0</v>
      </c>
      <c r="S14" s="217">
        <f t="shared" ref="S14:S15" si="5">IF(F14="実施済",1,0)</f>
        <v>0</v>
      </c>
      <c r="T14" s="318"/>
      <c r="U14" s="217">
        <f t="shared" ref="U14:U15" si="6">IF(AND(H14="実施済",I14="実施済"),S14*1,0)</f>
        <v>0</v>
      </c>
      <c r="V14" s="217">
        <f t="shared" ref="V14:V15" si="7">IF(J14="実施済",$U14*1,0)</f>
        <v>0</v>
      </c>
      <c r="W14" s="318"/>
      <c r="X14" s="217" t="str">
        <f t="shared" ref="X14:X15" si="8">IF(E14="","",IF(R14*S14&gt;0,3,SUM(S14,U14,V14)))</f>
        <v/>
      </c>
      <c r="Y14" s="217">
        <f>MIN($X$11:$X$15)+1</f>
        <v>1</v>
      </c>
      <c r="Z14" s="217">
        <f t="shared" si="4"/>
        <v>1</v>
      </c>
      <c r="AA14" s="217" t="str" cm="1">
        <f t="array" ref="AA14">_xlfn.IFS(Y14=4,"A",Y14=3,"B",Y14=2,"C",Y14=1,"D")</f>
        <v>D</v>
      </c>
      <c r="AB14" s="217"/>
    </row>
    <row r="15" spans="1:28" s="2" customFormat="1" ht="6" customHeight="1">
      <c r="A15"/>
      <c r="B15"/>
      <c r="C15"/>
      <c r="D15" s="311"/>
      <c r="E15" s="312"/>
      <c r="F15" s="312"/>
      <c r="G15" s="312"/>
      <c r="H15" s="312"/>
      <c r="I15" s="312"/>
      <c r="J15" s="312"/>
      <c r="K15" s="312"/>
      <c r="L15"/>
      <c r="M15"/>
      <c r="P15"/>
      <c r="Q15"/>
      <c r="R15" s="217">
        <f>IF(E15="地区代表者",COUNTA($D$1:$D15),0)</f>
        <v>0</v>
      </c>
      <c r="S15" s="217">
        <f t="shared" si="5"/>
        <v>0</v>
      </c>
      <c r="T15" s="318"/>
      <c r="U15" s="217">
        <f t="shared" si="6"/>
        <v>0</v>
      </c>
      <c r="V15" s="217">
        <f t="shared" si="7"/>
        <v>0</v>
      </c>
      <c r="W15" s="318"/>
      <c r="X15" s="217" t="str">
        <f t="shared" si="8"/>
        <v/>
      </c>
      <c r="Y15" s="217">
        <f>MIN($X$11:$X$15)+1</f>
        <v>1</v>
      </c>
      <c r="Z15" s="217">
        <f t="shared" si="4"/>
        <v>1</v>
      </c>
      <c r="AA15" s="217" t="str" cm="1">
        <f t="array" ref="AA15">_xlfn.IFS(Y15=4,"A",Y15=3,"B",Y15=2,"C",Y15=1,"D")</f>
        <v>D</v>
      </c>
      <c r="AB15" s="217"/>
    </row>
    <row r="16" spans="1:28" ht="96" customHeight="1">
      <c r="C16" s="78"/>
      <c r="D16" s="79"/>
      <c r="E16" s="72" t="s">
        <v>238</v>
      </c>
      <c r="F16" s="1057"/>
      <c r="G16" s="1057"/>
      <c r="H16" s="1057"/>
      <c r="I16" s="1057"/>
      <c r="J16" s="1057"/>
      <c r="K16" s="1057"/>
      <c r="L16" s="80" t="s">
        <v>132</v>
      </c>
      <c r="M16" s="292"/>
    </row>
    <row r="17" spans="1:28" ht="96" customHeight="1">
      <c r="C17" s="75"/>
      <c r="D17" s="68"/>
      <c r="E17" s="72" t="s">
        <v>239</v>
      </c>
      <c r="F17" s="1057"/>
      <c r="G17" s="1057"/>
      <c r="H17" s="1057"/>
      <c r="I17" s="1057"/>
      <c r="J17" s="1057"/>
      <c r="K17" s="1057"/>
    </row>
    <row r="18" spans="1:28" ht="18.5" thickBot="1">
      <c r="A18" s="81"/>
      <c r="B18" s="81"/>
      <c r="C18" s="81"/>
      <c r="D18" s="81"/>
      <c r="E18" s="313"/>
      <c r="F18" s="81"/>
      <c r="G18" s="81"/>
      <c r="H18" s="81"/>
      <c r="I18" s="81"/>
      <c r="J18" s="81"/>
      <c r="K18" s="81"/>
      <c r="L18" s="81"/>
      <c r="M18" s="82"/>
    </row>
    <row r="20" spans="1:28" ht="9" customHeight="1">
      <c r="B20" s="10"/>
      <c r="C20" s="5"/>
      <c r="D20" s="5"/>
      <c r="E20" s="307"/>
      <c r="F20" s="5"/>
      <c r="G20" s="5"/>
      <c r="H20" s="5"/>
      <c r="I20" s="5"/>
      <c r="J20" s="5"/>
      <c r="K20" s="5"/>
      <c r="L20" s="6"/>
      <c r="M20"/>
      <c r="N20"/>
      <c r="O20"/>
      <c r="R20" t="str">
        <f>D21</f>
        <v>(選択してください)</v>
      </c>
    </row>
    <row r="21" spans="1:28">
      <c r="B21" s="7"/>
      <c r="C21" s="77" t="str">
        <f ca="1">IFERROR(OFFSET('4.2民生電力需要量'!$C$1,MATCH(D21,'4.2民生電力需要量'!$E:$E,0)-1,0),"")</f>
        <v/>
      </c>
      <c r="D21" s="96" t="s">
        <v>130</v>
      </c>
      <c r="E21" s="72" t="s">
        <v>131</v>
      </c>
      <c r="F21" s="1064" t="str">
        <f ca="1">IFERROR(OFFSET('4.2民生電力需要量'!$G$1,MATCH($D21,'4.2民生電力需要量'!$E:$E,0)-1,0),"")</f>
        <v/>
      </c>
      <c r="G21" s="1065"/>
      <c r="H21" s="1065"/>
      <c r="I21" s="1065"/>
      <c r="J21" s="1065"/>
      <c r="K21" s="1066"/>
      <c r="L21" s="8"/>
      <c r="M21"/>
      <c r="N21"/>
      <c r="O21"/>
      <c r="R21" s="177" t="str">
        <f ca="1">IFERROR(OFFSET('4.2民生電力需要量'!$G$1,MATCH($D21,'4.2民生電力需要量'!$E:$E,0)-1,0),"")</f>
        <v/>
      </c>
      <c r="S21" s="177"/>
      <c r="T21" s="177"/>
      <c r="U21" s="177"/>
      <c r="V21" s="177"/>
      <c r="W21" s="177"/>
      <c r="X21" s="177"/>
      <c r="Y21" s="177"/>
      <c r="Z21" s="177"/>
      <c r="AA21" s="177"/>
      <c r="AB21" s="177">
        <f ca="1">(F21=R21)*1</f>
        <v>1</v>
      </c>
    </row>
    <row r="22" spans="1:28">
      <c r="B22" s="7"/>
      <c r="C22" s="74"/>
      <c r="D22" s="66"/>
      <c r="E22" s="72" t="s">
        <v>221</v>
      </c>
      <c r="F22" s="1067" t="str">
        <f ca="1">IFERROR(OFFSET('4.2民生電力需要量'!$I$1,MATCH($D21,'4.2民生電力需要量'!$E:$E,0)-1,0),"")</f>
        <v/>
      </c>
      <c r="G22" s="1068"/>
      <c r="H22" s="1068"/>
      <c r="I22" s="1068"/>
      <c r="J22" s="1068"/>
      <c r="K22" s="1069"/>
      <c r="L22" s="8"/>
      <c r="M22"/>
      <c r="N22"/>
      <c r="O22"/>
      <c r="R22" s="177" t="str">
        <f ca="1">IFERROR(OFFSET('4.2民生電力需要量'!$I$1,MATCH($D21,'4.2民生電力需要量'!$E:$E,0)-1,0),"")</f>
        <v/>
      </c>
      <c r="S22" s="177"/>
      <c r="T22" s="177"/>
      <c r="U22" s="177"/>
      <c r="V22" s="177"/>
      <c r="W22" s="177"/>
      <c r="X22" s="177"/>
      <c r="Y22" s="177"/>
      <c r="Z22" s="177"/>
      <c r="AA22" s="177"/>
      <c r="AB22" s="177">
        <f ca="1">(F22=R22)*1</f>
        <v>1</v>
      </c>
    </row>
    <row r="23" spans="1:28">
      <c r="B23" s="7"/>
      <c r="C23" s="74"/>
      <c r="D23" s="66"/>
      <c r="E23" s="72" t="s">
        <v>175</v>
      </c>
      <c r="F23" s="1070" t="str">
        <f>_xlfn.IFNA(R23,"")</f>
        <v/>
      </c>
      <c r="G23" s="1071"/>
      <c r="H23" s="1071"/>
      <c r="I23" s="1071"/>
      <c r="J23" s="1071"/>
      <c r="K23" s="1072"/>
      <c r="L23" s="8"/>
      <c r="M23"/>
      <c r="N23"/>
      <c r="O23"/>
      <c r="R23" s="217" t="str">
        <f>IF(PRODUCT($Z25:$Z29)=1,AA25,"")</f>
        <v/>
      </c>
      <c r="S23" s="177"/>
      <c r="T23" s="177"/>
      <c r="U23" s="177"/>
      <c r="V23" s="177"/>
      <c r="W23" s="177"/>
      <c r="X23" s="177"/>
      <c r="Y23" s="177"/>
      <c r="Z23" s="177"/>
      <c r="AA23" s="177"/>
      <c r="AB23" s="177">
        <f>(F23=R23)*1</f>
        <v>1</v>
      </c>
    </row>
    <row r="24" spans="1:28" s="2" customFormat="1" ht="60">
      <c r="A24"/>
      <c r="B24" s="7"/>
      <c r="C24" s="74"/>
      <c r="D24" s="66"/>
      <c r="E24" s="308"/>
      <c r="F24" s="314" t="s">
        <v>302</v>
      </c>
      <c r="G24" s="315" t="s">
        <v>303</v>
      </c>
      <c r="H24" s="315" t="s">
        <v>304</v>
      </c>
      <c r="I24" s="315" t="s">
        <v>305</v>
      </c>
      <c r="J24" s="315" t="s">
        <v>435</v>
      </c>
      <c r="K24" s="315" t="s">
        <v>272</v>
      </c>
      <c r="L24" s="8"/>
      <c r="M24"/>
      <c r="P24"/>
      <c r="Q24"/>
      <c r="R24" s="296" t="s">
        <v>301</v>
      </c>
      <c r="S24" s="296" t="s">
        <v>302</v>
      </c>
      <c r="T24" s="316" t="s">
        <v>429</v>
      </c>
      <c r="U24" s="296" t="s">
        <v>430</v>
      </c>
      <c r="V24" s="296" t="s">
        <v>428</v>
      </c>
      <c r="W24" s="317" t="s">
        <v>272</v>
      </c>
      <c r="X24" s="296" t="s">
        <v>432</v>
      </c>
      <c r="Y24" s="217" t="s">
        <v>408</v>
      </c>
      <c r="Z24" s="217" t="s">
        <v>436</v>
      </c>
      <c r="AA24" s="296" t="s">
        <v>431</v>
      </c>
      <c r="AB24" s="296"/>
    </row>
    <row r="25" spans="1:28" s="101" customFormat="1" ht="18.75" hidden="1" customHeight="1">
      <c r="A25" s="11"/>
      <c r="B25" s="97"/>
      <c r="C25" s="98"/>
      <c r="D25" s="99"/>
      <c r="E25" s="440"/>
      <c r="F25" s="441"/>
      <c r="G25" s="441"/>
      <c r="H25" s="441"/>
      <c r="I25" s="441"/>
      <c r="J25" s="441"/>
      <c r="K25" s="441"/>
      <c r="L25" s="100"/>
      <c r="M25" s="11"/>
      <c r="Q25" s="11"/>
      <c r="R25" s="131">
        <f>IF(E25="地区代表者",COUNTA($D$1:$D25),0)</f>
        <v>0</v>
      </c>
      <c r="S25" s="131">
        <f t="shared" ref="S25:S26" si="9">IF(F25="実施済",1,0)</f>
        <v>0</v>
      </c>
      <c r="T25" s="260"/>
      <c r="U25" s="131">
        <f t="shared" ref="U25:U26" si="10">IF(AND(H25="実施済",I25="実施済"),S25*1,0)</f>
        <v>0</v>
      </c>
      <c r="V25" s="131">
        <f>IF(J25="実施済",$U25*1,0)</f>
        <v>0</v>
      </c>
      <c r="W25" s="260"/>
      <c r="X25" s="131" t="str">
        <f>IF(E25="","",IF(R25*S25&gt;0,3,SUM(S25,U25,V25)))</f>
        <v/>
      </c>
      <c r="Y25" s="131">
        <f>MIN($X$25:$X$29)+1</f>
        <v>1</v>
      </c>
      <c r="Z25" s="131">
        <f>IF(E25="",1,IF(R25&gt;0,IF(COUNTA($F25:$K25)=2,1,0),IF(COUNTA($F25:$K25)=6,1,0)))</f>
        <v>1</v>
      </c>
      <c r="AA25" s="131" t="str" cm="1">
        <f t="array" ref="AA25">_xlfn.IFS(Y25=4,"A",Y25=3,"B",Y25=2,"C",Y25=1,"D")</f>
        <v>D</v>
      </c>
      <c r="AB25" s="131" t="str" cm="1">
        <f t="array" ref="AB25">_xlfn.IFS(Z25=4,"A",Z25=3,"B",Z25=2,"C",Z25=1,"D")</f>
        <v>D</v>
      </c>
    </row>
    <row r="26" spans="1:28" s="101" customFormat="1" ht="18.75" customHeight="1">
      <c r="A26" s="11"/>
      <c r="B26" s="97"/>
      <c r="C26" s="98"/>
      <c r="D26" s="99"/>
      <c r="E26" s="442" t="s">
        <v>301</v>
      </c>
      <c r="F26" s="443"/>
      <c r="G26" s="846"/>
      <c r="H26" s="846"/>
      <c r="I26" s="846"/>
      <c r="J26" s="846"/>
      <c r="K26" s="443"/>
      <c r="L26" s="100"/>
      <c r="M26" s="11"/>
      <c r="Q26" s="11"/>
      <c r="R26" s="131">
        <f>IF(E26="地区代表者",COUNTA($D$1:$D26),0)</f>
        <v>2</v>
      </c>
      <c r="S26" s="131">
        <f t="shared" si="9"/>
        <v>0</v>
      </c>
      <c r="T26" s="260"/>
      <c r="U26" s="131">
        <f t="shared" si="10"/>
        <v>0</v>
      </c>
      <c r="V26" s="131">
        <f>IF(J26="実施済",$U26*1,0)</f>
        <v>0</v>
      </c>
      <c r="W26" s="260"/>
      <c r="X26" s="131">
        <f t="shared" ref="X26:X29" si="11">IF(E26="","",IF(R26*S26&gt;0,3,SUM(S26,U26,V26)))</f>
        <v>0</v>
      </c>
      <c r="Y26" s="131">
        <f>MIN($X$25:$X$29)+1</f>
        <v>1</v>
      </c>
      <c r="Z26" s="131">
        <f t="shared" ref="Z26:Z29" si="12">IF(E26="",1,IF(R26&gt;0,IF(COUNTA($F26:$K26)=2,1,0),IF(COUNTA($F26:$K26)=6,1,0)))</f>
        <v>0</v>
      </c>
      <c r="AA26" s="131" t="str" cm="1">
        <f t="array" ref="AA26">_xlfn.IFS(Y26=4,"A",Y26=3,"B",Y26=2,"C",Y26=1,"D")</f>
        <v>D</v>
      </c>
      <c r="AB26" s="131"/>
    </row>
    <row r="27" spans="1:28" s="101" customFormat="1" ht="18.75" customHeight="1">
      <c r="A27" s="11"/>
      <c r="B27" s="97"/>
      <c r="C27" s="98"/>
      <c r="D27" s="99"/>
      <c r="E27" s="442" t="s">
        <v>116</v>
      </c>
      <c r="F27" s="443"/>
      <c r="G27" s="443"/>
      <c r="H27" s="443"/>
      <c r="I27" s="443"/>
      <c r="J27" s="443"/>
      <c r="K27" s="443"/>
      <c r="L27" s="100"/>
      <c r="M27" s="11"/>
      <c r="P27" s="11"/>
      <c r="Q27" s="11"/>
      <c r="R27" s="131">
        <f>IF(E27="地区代表者",COUNTA($D$1:$D27),0)</f>
        <v>0</v>
      </c>
      <c r="S27" s="131">
        <f>IF(F27="実施済",1,0)</f>
        <v>0</v>
      </c>
      <c r="T27" s="260"/>
      <c r="U27" s="131">
        <f>IF(AND(H27="実施済",I27="実施済"),S27*1,0)</f>
        <v>0</v>
      </c>
      <c r="V27" s="131">
        <f>IF(J27="実施済",$U27*1,0)</f>
        <v>0</v>
      </c>
      <c r="W27" s="260"/>
      <c r="X27" s="131">
        <f t="shared" si="11"/>
        <v>0</v>
      </c>
      <c r="Y27" s="131">
        <f>MIN($X$25:$X$29)+1</f>
        <v>1</v>
      </c>
      <c r="Z27" s="131">
        <f t="shared" si="12"/>
        <v>0</v>
      </c>
      <c r="AA27" s="131" t="str" cm="1">
        <f t="array" ref="AA27">_xlfn.IFS(Y27=4,"A",Y27=3,"B",Y27=2,"C",Y27=1,"D")</f>
        <v>D</v>
      </c>
      <c r="AB27" s="131"/>
    </row>
    <row r="28" spans="1:28" s="2" customFormat="1" ht="9" customHeight="1">
      <c r="A28"/>
      <c r="B28" s="65"/>
      <c r="C28" s="4"/>
      <c r="D28" s="309"/>
      <c r="E28" s="310"/>
      <c r="F28" s="310"/>
      <c r="G28" s="310"/>
      <c r="H28" s="310"/>
      <c r="I28" s="310"/>
      <c r="J28" s="310"/>
      <c r="K28" s="310"/>
      <c r="L28" s="9"/>
      <c r="M28"/>
      <c r="P28"/>
      <c r="Q28"/>
      <c r="R28" s="217">
        <f>IF(E28="地区代表者",COUNTA($D$1:$D28),0)</f>
        <v>0</v>
      </c>
      <c r="S28" s="217">
        <f t="shared" ref="S28:S29" si="13">IF(F28="実施済",1,0)</f>
        <v>0</v>
      </c>
      <c r="T28" s="318"/>
      <c r="U28" s="217">
        <f t="shared" ref="U28:U29" si="14">IF(AND(H28="実施済",I28="実施済"),S28*1,0)</f>
        <v>0</v>
      </c>
      <c r="V28" s="217">
        <f t="shared" ref="V28:V29" si="15">IF(J28="実施済",$U28*1,0)</f>
        <v>0</v>
      </c>
      <c r="W28" s="318"/>
      <c r="X28" s="217" t="str">
        <f t="shared" si="11"/>
        <v/>
      </c>
      <c r="Y28" s="217">
        <f>MIN($X$25:$X$29)+1</f>
        <v>1</v>
      </c>
      <c r="Z28" s="217">
        <f t="shared" si="12"/>
        <v>1</v>
      </c>
      <c r="AA28" s="217" t="str" cm="1">
        <f t="array" ref="AA28">_xlfn.IFS(Y28=4,"A",Y28=3,"B",Y28=2,"C",Y28=1,"D")</f>
        <v>D</v>
      </c>
      <c r="AB28" s="217"/>
    </row>
    <row r="29" spans="1:28" s="2" customFormat="1" ht="6" customHeight="1">
      <c r="A29"/>
      <c r="B29"/>
      <c r="C29"/>
      <c r="D29" s="311"/>
      <c r="E29" s="312"/>
      <c r="F29" s="312"/>
      <c r="G29" s="312"/>
      <c r="H29" s="312"/>
      <c r="I29" s="312"/>
      <c r="J29" s="312"/>
      <c r="K29" s="312"/>
      <c r="L29"/>
      <c r="M29"/>
      <c r="P29"/>
      <c r="Q29"/>
      <c r="R29" s="217">
        <f>IF(E29="地区代表者",COUNTA($D$1:$D29),0)</f>
        <v>0</v>
      </c>
      <c r="S29" s="217">
        <f t="shared" si="13"/>
        <v>0</v>
      </c>
      <c r="T29" s="318"/>
      <c r="U29" s="217">
        <f t="shared" si="14"/>
        <v>0</v>
      </c>
      <c r="V29" s="217">
        <f t="shared" si="15"/>
        <v>0</v>
      </c>
      <c r="W29" s="318"/>
      <c r="X29" s="217" t="str">
        <f t="shared" si="11"/>
        <v/>
      </c>
      <c r="Y29" s="217">
        <f>MIN($X$25:$X$29)+1</f>
        <v>1</v>
      </c>
      <c r="Z29" s="217">
        <f t="shared" si="12"/>
        <v>1</v>
      </c>
      <c r="AA29" s="217" t="str" cm="1">
        <f t="array" ref="AA29">_xlfn.IFS(Y29=4,"A",Y29=3,"B",Y29=2,"C",Y29=1,"D")</f>
        <v>D</v>
      </c>
      <c r="AB29" s="217"/>
    </row>
    <row r="30" spans="1:28" ht="96" customHeight="1">
      <c r="C30" s="78"/>
      <c r="D30" s="79"/>
      <c r="E30" s="72" t="s">
        <v>238</v>
      </c>
      <c r="F30" s="1057"/>
      <c r="G30" s="1057"/>
      <c r="H30" s="1057"/>
      <c r="I30" s="1057"/>
      <c r="J30" s="1057"/>
      <c r="K30" s="1057"/>
      <c r="L30" s="80" t="s">
        <v>132</v>
      </c>
      <c r="M30" s="292"/>
    </row>
    <row r="31" spans="1:28" ht="96" customHeight="1">
      <c r="C31" s="75"/>
      <c r="D31" s="68"/>
      <c r="E31" s="72" t="s">
        <v>239</v>
      </c>
      <c r="F31" s="1057"/>
      <c r="G31" s="1057"/>
      <c r="H31" s="1057"/>
      <c r="I31" s="1057"/>
      <c r="J31" s="1057"/>
      <c r="K31" s="1057"/>
    </row>
    <row r="32" spans="1:28" ht="18.5" thickBot="1">
      <c r="A32" s="81"/>
      <c r="B32" s="81"/>
      <c r="C32" s="81"/>
      <c r="D32" s="81"/>
      <c r="E32" s="313"/>
      <c r="F32" s="81"/>
      <c r="G32" s="81"/>
      <c r="H32" s="81"/>
      <c r="I32" s="81"/>
      <c r="J32" s="81"/>
      <c r="K32" s="81"/>
      <c r="L32" s="81"/>
      <c r="M32" s="82"/>
    </row>
    <row r="34" spans="1:28" ht="9" customHeight="1">
      <c r="B34" s="10"/>
      <c r="C34" s="5"/>
      <c r="D34" s="5"/>
      <c r="E34" s="307"/>
      <c r="F34" s="5"/>
      <c r="G34" s="5"/>
      <c r="H34" s="5"/>
      <c r="I34" s="5"/>
      <c r="J34" s="5"/>
      <c r="K34" s="5"/>
      <c r="L34" s="6"/>
      <c r="M34"/>
      <c r="N34"/>
      <c r="O34"/>
      <c r="R34" t="str">
        <f>D35</f>
        <v>(選択してください)</v>
      </c>
    </row>
    <row r="35" spans="1:28">
      <c r="B35" s="7"/>
      <c r="C35" s="77" t="str">
        <f ca="1">IFERROR(OFFSET('4.2民生電力需要量'!$C$1,MATCH(D35,'4.2民生電力需要量'!$E:$E,0)-1,0),"")</f>
        <v/>
      </c>
      <c r="D35" s="96" t="s">
        <v>130</v>
      </c>
      <c r="E35" s="72" t="s">
        <v>131</v>
      </c>
      <c r="F35" s="1061" t="str">
        <f ca="1">IFERROR(OFFSET('4.2民生電力需要量'!$G$1,MATCH($D35,'4.2民生電力需要量'!$E:$E,0)-1,0),"")</f>
        <v/>
      </c>
      <c r="G35" s="1061"/>
      <c r="H35" s="1061"/>
      <c r="I35" s="1061"/>
      <c r="J35" s="1061"/>
      <c r="K35" s="1061"/>
      <c r="L35" s="8"/>
      <c r="M35"/>
      <c r="N35"/>
      <c r="O35"/>
      <c r="R35" s="177" t="str">
        <f ca="1">IFERROR(OFFSET('4.2民生電力需要量'!$G$1,MATCH($D35,'4.2民生電力需要量'!$E:$E,0)-1,0),"")</f>
        <v/>
      </c>
      <c r="S35" s="177"/>
      <c r="T35" s="177"/>
      <c r="U35" s="177"/>
      <c r="V35" s="177"/>
      <c r="W35" s="177"/>
      <c r="X35" s="177"/>
      <c r="Y35" s="177"/>
      <c r="Z35" s="177"/>
      <c r="AA35" s="177"/>
      <c r="AB35" s="177">
        <f ca="1">(F35=R35)*1</f>
        <v>1</v>
      </c>
    </row>
    <row r="36" spans="1:28">
      <c r="B36" s="7"/>
      <c r="C36" s="74"/>
      <c r="D36" s="66"/>
      <c r="E36" s="72" t="s">
        <v>221</v>
      </c>
      <c r="F36" s="1062" t="str">
        <f ca="1">IFERROR(OFFSET('4.2民生電力需要量'!$I$1,MATCH($D35,'4.2民生電力需要量'!$E:$E,0)-1,0),"")</f>
        <v/>
      </c>
      <c r="G36" s="1062"/>
      <c r="H36" s="1062"/>
      <c r="I36" s="1062"/>
      <c r="J36" s="1062"/>
      <c r="K36" s="1062"/>
      <c r="L36" s="8"/>
      <c r="M36"/>
      <c r="N36"/>
      <c r="O36"/>
      <c r="R36" s="177" t="str">
        <f ca="1">IFERROR(OFFSET('4.2民生電力需要量'!$I$1,MATCH($D35,'4.2民生電力需要量'!$E:$E,0)-1,0),"")</f>
        <v/>
      </c>
      <c r="S36" s="177"/>
      <c r="T36" s="177"/>
      <c r="U36" s="177"/>
      <c r="V36" s="177"/>
      <c r="W36" s="177"/>
      <c r="X36" s="177"/>
      <c r="Y36" s="177"/>
      <c r="Z36" s="177"/>
      <c r="AA36" s="177"/>
      <c r="AB36" s="177">
        <f ca="1">(F36=R36)*1</f>
        <v>1</v>
      </c>
    </row>
    <row r="37" spans="1:28">
      <c r="B37" s="7"/>
      <c r="C37" s="74"/>
      <c r="D37" s="66"/>
      <c r="E37" s="72" t="s">
        <v>175</v>
      </c>
      <c r="F37" s="1063" t="str">
        <f>_xlfn.IFNA(R37,"")</f>
        <v/>
      </c>
      <c r="G37" s="1063"/>
      <c r="H37" s="1063"/>
      <c r="I37" s="1063"/>
      <c r="J37" s="1063"/>
      <c r="K37" s="1063"/>
      <c r="L37" s="8"/>
      <c r="M37"/>
      <c r="N37"/>
      <c r="O37"/>
      <c r="R37" s="217" t="str">
        <f>IF(PRODUCT($Z39:$Z43)=1,AA39,"")</f>
        <v/>
      </c>
      <c r="S37" s="177"/>
      <c r="T37" s="177"/>
      <c r="U37" s="177"/>
      <c r="V37" s="177"/>
      <c r="W37" s="177"/>
      <c r="X37" s="177"/>
      <c r="Y37" s="177"/>
      <c r="Z37" s="177"/>
      <c r="AA37" s="177"/>
      <c r="AB37" s="177">
        <f>(F37=R37)*1</f>
        <v>1</v>
      </c>
    </row>
    <row r="38" spans="1:28" s="2" customFormat="1" ht="60">
      <c r="A38"/>
      <c r="B38" s="7"/>
      <c r="C38" s="74"/>
      <c r="D38" s="66"/>
      <c r="E38" s="308"/>
      <c r="F38" s="314" t="s">
        <v>302</v>
      </c>
      <c r="G38" s="315" t="s">
        <v>303</v>
      </c>
      <c r="H38" s="315" t="s">
        <v>304</v>
      </c>
      <c r="I38" s="315" t="s">
        <v>305</v>
      </c>
      <c r="J38" s="315" t="s">
        <v>435</v>
      </c>
      <c r="K38" s="315" t="s">
        <v>272</v>
      </c>
      <c r="L38" s="8"/>
      <c r="M38"/>
      <c r="P38"/>
      <c r="Q38"/>
      <c r="R38" s="296" t="s">
        <v>301</v>
      </c>
      <c r="S38" s="296" t="s">
        <v>302</v>
      </c>
      <c r="T38" s="316" t="s">
        <v>429</v>
      </c>
      <c r="U38" s="296" t="s">
        <v>430</v>
      </c>
      <c r="V38" s="296" t="s">
        <v>428</v>
      </c>
      <c r="W38" s="317" t="s">
        <v>272</v>
      </c>
      <c r="X38" s="296" t="s">
        <v>432</v>
      </c>
      <c r="Y38" s="217" t="s">
        <v>408</v>
      </c>
      <c r="Z38" s="217" t="s">
        <v>436</v>
      </c>
      <c r="AA38" s="296" t="s">
        <v>431</v>
      </c>
      <c r="AB38" s="296"/>
    </row>
    <row r="39" spans="1:28" s="101" customFormat="1" ht="18.75" hidden="1" customHeight="1">
      <c r="A39" s="11"/>
      <c r="B39" s="97"/>
      <c r="C39" s="98"/>
      <c r="D39" s="99"/>
      <c r="E39" s="440"/>
      <c r="F39" s="441"/>
      <c r="G39" s="441"/>
      <c r="H39" s="441"/>
      <c r="I39" s="441"/>
      <c r="J39" s="441"/>
      <c r="K39" s="441"/>
      <c r="L39" s="100"/>
      <c r="M39" s="11"/>
      <c r="Q39" s="11"/>
      <c r="R39" s="131">
        <f>IF(E39="地区代表者",COUNTA($D$1:$D39),0)</f>
        <v>0</v>
      </c>
      <c r="S39" s="131">
        <f t="shared" ref="S39:S40" si="16">IF(F39="実施済",1,0)</f>
        <v>0</v>
      </c>
      <c r="T39" s="260"/>
      <c r="U39" s="131">
        <f t="shared" ref="U39:U40" si="17">IF(AND(H39="実施済",I39="実施済"),S39*1,0)</f>
        <v>0</v>
      </c>
      <c r="V39" s="131">
        <f>IF(J39="実施済",$U39*1,0)</f>
        <v>0</v>
      </c>
      <c r="W39" s="260"/>
      <c r="X39" s="131" t="str">
        <f>IF(E39="","",IF(R39*S39&gt;0,3,SUM(S39,U39,V39)))</f>
        <v/>
      </c>
      <c r="Y39" s="131">
        <f>MIN($X$39:$X$43)+1</f>
        <v>1</v>
      </c>
      <c r="Z39" s="131">
        <f>IF(E39="",1,IF(R39&gt;0,IF(COUNTA($F39:$K39)=2,1,0),IF(COUNTA($F39:$K39)=6,1,0)))</f>
        <v>1</v>
      </c>
      <c r="AA39" s="131" t="str" cm="1">
        <f t="array" ref="AA39">_xlfn.IFS(Y39=4,"A",Y39=3,"B",Y39=2,"C",Y39=1,"D")</f>
        <v>D</v>
      </c>
      <c r="AB39" s="131" t="str" cm="1">
        <f t="array" ref="AB39">_xlfn.IFS(Z39=4,"A",Z39=3,"B",Z39=2,"C",Z39=1,"D")</f>
        <v>D</v>
      </c>
    </row>
    <row r="40" spans="1:28" s="101" customFormat="1" ht="18.75" customHeight="1">
      <c r="A40" s="11"/>
      <c r="B40" s="97"/>
      <c r="C40" s="98"/>
      <c r="D40" s="99"/>
      <c r="E40" s="442" t="s">
        <v>301</v>
      </c>
      <c r="F40" s="443"/>
      <c r="G40" s="846"/>
      <c r="H40" s="846"/>
      <c r="I40" s="846"/>
      <c r="J40" s="846"/>
      <c r="K40" s="443"/>
      <c r="L40" s="100"/>
      <c r="M40" s="11"/>
      <c r="Q40" s="11"/>
      <c r="R40" s="131">
        <f>IF(E40="地区代表者",COUNTA($D$1:$D40),0)</f>
        <v>3</v>
      </c>
      <c r="S40" s="131">
        <f t="shared" si="16"/>
        <v>0</v>
      </c>
      <c r="T40" s="260"/>
      <c r="U40" s="131">
        <f t="shared" si="17"/>
        <v>0</v>
      </c>
      <c r="V40" s="131">
        <f>IF(J40="実施済",$U40*1,0)</f>
        <v>0</v>
      </c>
      <c r="W40" s="260"/>
      <c r="X40" s="131">
        <f t="shared" ref="X40:X43" si="18">IF(E40="","",IF(R40*S40&gt;0,3,SUM(S40,U40,V40)))</f>
        <v>0</v>
      </c>
      <c r="Y40" s="131">
        <f>MIN($X$39:$X$43)+1</f>
        <v>1</v>
      </c>
      <c r="Z40" s="131">
        <f t="shared" ref="Z40:Z43" si="19">IF(E40="",1,IF(R40&gt;0,IF(COUNTA($F40:$K40)=2,1,0),IF(COUNTA($F40:$K40)=6,1,0)))</f>
        <v>0</v>
      </c>
      <c r="AA40" s="131" t="str" cm="1">
        <f t="array" ref="AA40">_xlfn.IFS(Y40=4,"A",Y40=3,"B",Y40=2,"C",Y40=1,"D")</f>
        <v>D</v>
      </c>
      <c r="AB40" s="131"/>
    </row>
    <row r="41" spans="1:28" s="101" customFormat="1" ht="18.75" customHeight="1">
      <c r="A41" s="11"/>
      <c r="B41" s="97"/>
      <c r="C41" s="98"/>
      <c r="D41" s="99"/>
      <c r="E41" s="442" t="s">
        <v>116</v>
      </c>
      <c r="F41" s="443"/>
      <c r="G41" s="443"/>
      <c r="H41" s="443"/>
      <c r="I41" s="443"/>
      <c r="J41" s="443"/>
      <c r="K41" s="443"/>
      <c r="L41" s="100"/>
      <c r="M41" s="11"/>
      <c r="P41" s="11"/>
      <c r="Q41" s="11"/>
      <c r="R41" s="131">
        <f>IF(E41="地区代表者",COUNTA($D$1:$D41),0)</f>
        <v>0</v>
      </c>
      <c r="S41" s="131">
        <f>IF(F41="実施済",1,0)</f>
        <v>0</v>
      </c>
      <c r="T41" s="260"/>
      <c r="U41" s="131">
        <f>IF(AND(H41="実施済",I41="実施済"),S41*1,0)</f>
        <v>0</v>
      </c>
      <c r="V41" s="131">
        <f>IF(J41="実施済",$U41*1,0)</f>
        <v>0</v>
      </c>
      <c r="W41" s="260"/>
      <c r="X41" s="131">
        <f t="shared" si="18"/>
        <v>0</v>
      </c>
      <c r="Y41" s="131">
        <f>MIN($X$39:$X$43)+1</f>
        <v>1</v>
      </c>
      <c r="Z41" s="131">
        <f t="shared" si="19"/>
        <v>0</v>
      </c>
      <c r="AA41" s="131" t="str" cm="1">
        <f t="array" ref="AA41">_xlfn.IFS(Y41=4,"A",Y41=3,"B",Y41=2,"C",Y41=1,"D")</f>
        <v>D</v>
      </c>
      <c r="AB41" s="131"/>
    </row>
    <row r="42" spans="1:28" s="2" customFormat="1" ht="9" customHeight="1">
      <c r="A42"/>
      <c r="B42" s="65"/>
      <c r="C42" s="4"/>
      <c r="D42" s="309"/>
      <c r="E42" s="310"/>
      <c r="F42" s="310"/>
      <c r="G42" s="310"/>
      <c r="H42" s="310"/>
      <c r="I42" s="310"/>
      <c r="J42" s="310"/>
      <c r="K42" s="310"/>
      <c r="L42" s="9"/>
      <c r="M42"/>
      <c r="P42"/>
      <c r="Q42"/>
      <c r="R42" s="217">
        <f>IF(E42="地区代表者",COUNTA($D$1:$D42),0)</f>
        <v>0</v>
      </c>
      <c r="S42" s="217">
        <f t="shared" ref="S42:S43" si="20">IF(F42="実施済",1,0)</f>
        <v>0</v>
      </c>
      <c r="T42" s="318"/>
      <c r="U42" s="217">
        <f t="shared" ref="U42:U43" si="21">IF(AND(H42="実施済",I42="実施済"),S42*1,0)</f>
        <v>0</v>
      </c>
      <c r="V42" s="217">
        <f t="shared" ref="V42:V43" si="22">IF(J42="実施済",$U42*1,0)</f>
        <v>0</v>
      </c>
      <c r="W42" s="318"/>
      <c r="X42" s="217" t="str">
        <f t="shared" si="18"/>
        <v/>
      </c>
      <c r="Y42" s="217">
        <f>MIN($X$39:$X$43)+1</f>
        <v>1</v>
      </c>
      <c r="Z42" s="217">
        <f t="shared" si="19"/>
        <v>1</v>
      </c>
      <c r="AA42" s="217" t="str" cm="1">
        <f t="array" ref="AA42">_xlfn.IFS(Y42=4,"A",Y42=3,"B",Y42=2,"C",Y42=1,"D")</f>
        <v>D</v>
      </c>
      <c r="AB42" s="217"/>
    </row>
    <row r="43" spans="1:28" s="2" customFormat="1" ht="6" customHeight="1">
      <c r="A43"/>
      <c r="B43"/>
      <c r="C43"/>
      <c r="D43" s="311"/>
      <c r="E43" s="312"/>
      <c r="F43" s="312"/>
      <c r="G43" s="312"/>
      <c r="H43" s="312"/>
      <c r="I43" s="312"/>
      <c r="J43" s="312"/>
      <c r="K43" s="312"/>
      <c r="L43"/>
      <c r="M43"/>
      <c r="P43"/>
      <c r="Q43"/>
      <c r="R43" s="217">
        <f>IF(E43="地区代表者",COUNTA($D$1:$D43),0)</f>
        <v>0</v>
      </c>
      <c r="S43" s="217">
        <f t="shared" si="20"/>
        <v>0</v>
      </c>
      <c r="T43" s="318"/>
      <c r="U43" s="217">
        <f t="shared" si="21"/>
        <v>0</v>
      </c>
      <c r="V43" s="217">
        <f t="shared" si="22"/>
        <v>0</v>
      </c>
      <c r="W43" s="318"/>
      <c r="X43" s="217" t="str">
        <f t="shared" si="18"/>
        <v/>
      </c>
      <c r="Y43" s="217">
        <f>MIN($X$39:$X$43)+1</f>
        <v>1</v>
      </c>
      <c r="Z43" s="217">
        <f t="shared" si="19"/>
        <v>1</v>
      </c>
      <c r="AA43" s="217" t="str" cm="1">
        <f t="array" ref="AA43">_xlfn.IFS(Y43=4,"A",Y43=3,"B",Y43=2,"C",Y43=1,"D")</f>
        <v>D</v>
      </c>
      <c r="AB43" s="217"/>
    </row>
    <row r="44" spans="1:28" ht="96" customHeight="1">
      <c r="C44" s="78"/>
      <c r="D44" s="79"/>
      <c r="E44" s="72" t="s">
        <v>238</v>
      </c>
      <c r="F44" s="1057"/>
      <c r="G44" s="1057"/>
      <c r="H44" s="1057"/>
      <c r="I44" s="1057"/>
      <c r="J44" s="1057"/>
      <c r="K44" s="1057"/>
      <c r="L44" s="80" t="s">
        <v>132</v>
      </c>
      <c r="M44" s="292"/>
    </row>
    <row r="45" spans="1:28" ht="96" customHeight="1">
      <c r="C45" s="75"/>
      <c r="D45" s="68"/>
      <c r="E45" s="72" t="s">
        <v>239</v>
      </c>
      <c r="F45" s="1057"/>
      <c r="G45" s="1057"/>
      <c r="H45" s="1057"/>
      <c r="I45" s="1057"/>
      <c r="J45" s="1057"/>
      <c r="K45" s="1057"/>
    </row>
    <row r="46" spans="1:28" ht="18.5" thickBot="1">
      <c r="A46" s="81"/>
      <c r="B46" s="81"/>
      <c r="C46" s="81"/>
      <c r="D46" s="81"/>
      <c r="E46" s="313"/>
      <c r="F46" s="81"/>
      <c r="G46" s="81"/>
      <c r="H46" s="81"/>
      <c r="I46" s="81"/>
      <c r="J46" s="81"/>
      <c r="K46" s="81"/>
      <c r="L46" s="81"/>
      <c r="M46" s="82"/>
    </row>
    <row r="48" spans="1:28" ht="9" customHeight="1">
      <c r="B48" s="10"/>
      <c r="C48" s="5"/>
      <c r="D48" s="5"/>
      <c r="E48" s="307"/>
      <c r="F48" s="5"/>
      <c r="G48" s="5"/>
      <c r="H48" s="5"/>
      <c r="I48" s="5"/>
      <c r="J48" s="5"/>
      <c r="K48" s="5"/>
      <c r="L48" s="6"/>
      <c r="M48"/>
      <c r="N48"/>
      <c r="O48"/>
      <c r="R48" t="str">
        <f>D49</f>
        <v>(選択してください)</v>
      </c>
    </row>
    <row r="49" spans="1:28">
      <c r="B49" s="7"/>
      <c r="C49" s="77" t="str">
        <f ca="1">IFERROR(OFFSET('4.2民生電力需要量'!$C$1,MATCH(D49,'4.2民生電力需要量'!$E:$E,0)-1,0),"")</f>
        <v/>
      </c>
      <c r="D49" s="96" t="s">
        <v>130</v>
      </c>
      <c r="E49" s="72" t="s">
        <v>131</v>
      </c>
      <c r="F49" s="1061" t="str">
        <f ca="1">IFERROR(OFFSET('4.2民生電力需要量'!$G$1,MATCH($D49,'4.2民生電力需要量'!$E:$E,0)-1,0),"")</f>
        <v/>
      </c>
      <c r="G49" s="1061"/>
      <c r="H49" s="1061"/>
      <c r="I49" s="1061"/>
      <c r="J49" s="1061"/>
      <c r="K49" s="1061"/>
      <c r="L49" s="8"/>
      <c r="M49"/>
      <c r="N49"/>
      <c r="O49"/>
      <c r="R49" s="177" t="str">
        <f ca="1">IFERROR(OFFSET('4.2民生電力需要量'!$G$1,MATCH($D49,'4.2民生電力需要量'!$E:$E,0)-1,0),"")</f>
        <v/>
      </c>
      <c r="S49" s="177"/>
      <c r="T49" s="177"/>
      <c r="U49" s="177"/>
      <c r="V49" s="177"/>
      <c r="W49" s="177"/>
      <c r="X49" s="177"/>
      <c r="Y49" s="177"/>
      <c r="Z49" s="177"/>
      <c r="AA49" s="177"/>
      <c r="AB49" s="177">
        <f ca="1">(F49=R49)*1</f>
        <v>1</v>
      </c>
    </row>
    <row r="50" spans="1:28">
      <c r="B50" s="7"/>
      <c r="C50" s="74"/>
      <c r="D50" s="66"/>
      <c r="E50" s="72" t="s">
        <v>221</v>
      </c>
      <c r="F50" s="1062" t="str">
        <f ca="1">IFERROR(OFFSET('4.2民生電力需要量'!$I$1,MATCH($D49,'4.2民生電力需要量'!$E:$E,0)-1,0),"")</f>
        <v/>
      </c>
      <c r="G50" s="1062"/>
      <c r="H50" s="1062"/>
      <c r="I50" s="1062"/>
      <c r="J50" s="1062"/>
      <c r="K50" s="1062"/>
      <c r="L50" s="8"/>
      <c r="M50"/>
      <c r="N50"/>
      <c r="O50"/>
      <c r="R50" s="177" t="str">
        <f ca="1">IFERROR(OFFSET('4.2民生電力需要量'!$I$1,MATCH($D49,'4.2民生電力需要量'!$E:$E,0)-1,0),"")</f>
        <v/>
      </c>
      <c r="S50" s="177"/>
      <c r="T50" s="177"/>
      <c r="U50" s="177"/>
      <c r="V50" s="177"/>
      <c r="W50" s="177"/>
      <c r="X50" s="177"/>
      <c r="Y50" s="177"/>
      <c r="Z50" s="177"/>
      <c r="AA50" s="177"/>
      <c r="AB50" s="177">
        <f ca="1">(F50=R50)*1</f>
        <v>1</v>
      </c>
    </row>
    <row r="51" spans="1:28">
      <c r="B51" s="7"/>
      <c r="C51" s="74"/>
      <c r="D51" s="66"/>
      <c r="E51" s="72" t="s">
        <v>175</v>
      </c>
      <c r="F51" s="1063" t="str">
        <f>_xlfn.IFNA(R51,"")</f>
        <v/>
      </c>
      <c r="G51" s="1063"/>
      <c r="H51" s="1063"/>
      <c r="I51" s="1063"/>
      <c r="J51" s="1063"/>
      <c r="K51" s="1063"/>
      <c r="L51" s="8"/>
      <c r="M51"/>
      <c r="N51"/>
      <c r="O51"/>
      <c r="R51" s="217" t="str">
        <f>IF(PRODUCT($Z53:$Z57)=1,AA53,"")</f>
        <v/>
      </c>
      <c r="S51" s="177"/>
      <c r="T51" s="177"/>
      <c r="U51" s="177"/>
      <c r="V51" s="177"/>
      <c r="W51" s="177"/>
      <c r="X51" s="177"/>
      <c r="Y51" s="177"/>
      <c r="Z51" s="177"/>
      <c r="AA51" s="177"/>
      <c r="AB51" s="177">
        <f>(F51=R51)*1</f>
        <v>1</v>
      </c>
    </row>
    <row r="52" spans="1:28" s="2" customFormat="1" ht="60">
      <c r="A52"/>
      <c r="B52" s="7"/>
      <c r="C52" s="74"/>
      <c r="D52" s="66"/>
      <c r="E52" s="308"/>
      <c r="F52" s="314" t="s">
        <v>302</v>
      </c>
      <c r="G52" s="315" t="s">
        <v>303</v>
      </c>
      <c r="H52" s="315" t="s">
        <v>304</v>
      </c>
      <c r="I52" s="315" t="s">
        <v>305</v>
      </c>
      <c r="J52" s="315" t="s">
        <v>435</v>
      </c>
      <c r="K52" s="315" t="s">
        <v>272</v>
      </c>
      <c r="L52" s="8"/>
      <c r="M52"/>
      <c r="P52"/>
      <c r="Q52"/>
      <c r="R52" s="296" t="s">
        <v>301</v>
      </c>
      <c r="S52" s="296" t="s">
        <v>302</v>
      </c>
      <c r="T52" s="316" t="s">
        <v>429</v>
      </c>
      <c r="U52" s="296" t="s">
        <v>430</v>
      </c>
      <c r="V52" s="296" t="s">
        <v>428</v>
      </c>
      <c r="W52" s="317" t="s">
        <v>272</v>
      </c>
      <c r="X52" s="296" t="s">
        <v>432</v>
      </c>
      <c r="Y52" s="217" t="s">
        <v>408</v>
      </c>
      <c r="Z52" s="217" t="s">
        <v>436</v>
      </c>
      <c r="AA52" s="296" t="s">
        <v>431</v>
      </c>
      <c r="AB52" s="296"/>
    </row>
    <row r="53" spans="1:28" s="101" customFormat="1" ht="18.75" hidden="1" customHeight="1">
      <c r="A53" s="11"/>
      <c r="B53" s="97"/>
      <c r="C53" s="98"/>
      <c r="D53" s="99"/>
      <c r="E53" s="440"/>
      <c r="F53" s="441"/>
      <c r="G53" s="441"/>
      <c r="H53" s="441"/>
      <c r="I53" s="441"/>
      <c r="J53" s="441"/>
      <c r="K53" s="441"/>
      <c r="L53" s="100"/>
      <c r="M53" s="11"/>
      <c r="Q53" s="11"/>
      <c r="R53" s="131">
        <f>IF(E53="地区代表者",COUNTA($D$1:$D53),0)</f>
        <v>0</v>
      </c>
      <c r="S53" s="131">
        <f t="shared" ref="S53:S54" si="23">IF(F53="実施済",1,0)</f>
        <v>0</v>
      </c>
      <c r="T53" s="260"/>
      <c r="U53" s="131">
        <f t="shared" ref="U53:U54" si="24">IF(AND(H53="実施済",I53="実施済"),S53*1,0)</f>
        <v>0</v>
      </c>
      <c r="V53" s="131">
        <f>IF(J53="実施済",$U53*1,0)</f>
        <v>0</v>
      </c>
      <c r="W53" s="260"/>
      <c r="X53" s="131" t="str">
        <f>IF(E53="","",IF(R53*S53&gt;0,3,SUM(S53,U53,V53)))</f>
        <v/>
      </c>
      <c r="Y53" s="131">
        <f>MIN($X$53:$X$57)+1</f>
        <v>1</v>
      </c>
      <c r="Z53" s="131">
        <f>IF(E53="",1,IF(R53&gt;0,IF(COUNTA($F53:$K53)=2,1,0),IF(COUNTA($F53:$K53)=6,1,0)))</f>
        <v>1</v>
      </c>
      <c r="AA53" s="131" t="str" cm="1">
        <f t="array" ref="AA53">_xlfn.IFS(Y53=4,"A",Y53=3,"B",Y53=2,"C",Y53=1,"D")</f>
        <v>D</v>
      </c>
      <c r="AB53" s="131" t="str" cm="1">
        <f t="array" ref="AB53">_xlfn.IFS(Z53=4,"A",Z53=3,"B",Z53=2,"C",Z53=1,"D")</f>
        <v>D</v>
      </c>
    </row>
    <row r="54" spans="1:28" s="101" customFormat="1" ht="18.75" customHeight="1">
      <c r="A54" s="11"/>
      <c r="B54" s="97"/>
      <c r="C54" s="98"/>
      <c r="D54" s="99"/>
      <c r="E54" s="442" t="s">
        <v>301</v>
      </c>
      <c r="F54" s="443"/>
      <c r="G54" s="846"/>
      <c r="H54" s="846"/>
      <c r="I54" s="846"/>
      <c r="J54" s="846"/>
      <c r="K54" s="443"/>
      <c r="L54" s="100"/>
      <c r="M54" s="11"/>
      <c r="Q54" s="11"/>
      <c r="R54" s="131">
        <f>IF(E54="地区代表者",COUNTA($D$1:$D54),0)</f>
        <v>4</v>
      </c>
      <c r="S54" s="131">
        <f t="shared" si="23"/>
        <v>0</v>
      </c>
      <c r="T54" s="260"/>
      <c r="U54" s="131">
        <f t="shared" si="24"/>
        <v>0</v>
      </c>
      <c r="V54" s="131">
        <f>IF(J54="実施済",$U54*1,0)</f>
        <v>0</v>
      </c>
      <c r="W54" s="260"/>
      <c r="X54" s="131">
        <f t="shared" ref="X54:X57" si="25">IF(E54="","",IF(R54*S54&gt;0,3,SUM(S54,U54,V54)))</f>
        <v>0</v>
      </c>
      <c r="Y54" s="131">
        <f>MIN($X$53:$X$57)+1</f>
        <v>1</v>
      </c>
      <c r="Z54" s="131">
        <f t="shared" ref="Z54:Z57" si="26">IF(E54="",1,IF(R54&gt;0,IF(COUNTA($F54:$K54)=2,1,0),IF(COUNTA($F54:$K54)=6,1,0)))</f>
        <v>0</v>
      </c>
      <c r="AA54" s="131" t="str" cm="1">
        <f t="array" ref="AA54">_xlfn.IFS(Y54=4,"A",Y54=3,"B",Y54=2,"C",Y54=1,"D")</f>
        <v>D</v>
      </c>
      <c r="AB54" s="131"/>
    </row>
    <row r="55" spans="1:28" s="101" customFormat="1" ht="18.75" customHeight="1">
      <c r="A55" s="11"/>
      <c r="B55" s="97"/>
      <c r="C55" s="98"/>
      <c r="D55" s="99"/>
      <c r="E55" s="442" t="s">
        <v>116</v>
      </c>
      <c r="F55" s="443"/>
      <c r="G55" s="443"/>
      <c r="H55" s="443"/>
      <c r="I55" s="443"/>
      <c r="J55" s="443"/>
      <c r="K55" s="443"/>
      <c r="L55" s="100"/>
      <c r="M55" s="11"/>
      <c r="P55" s="11"/>
      <c r="Q55" s="11"/>
      <c r="R55" s="131">
        <f>IF(E55="地区代表者",COUNTA($D$1:$D55),0)</f>
        <v>0</v>
      </c>
      <c r="S55" s="131">
        <f>IF(F55="実施済",1,0)</f>
        <v>0</v>
      </c>
      <c r="T55" s="260"/>
      <c r="U55" s="131">
        <f>IF(AND(H55="実施済",I55="実施済"),S55*1,0)</f>
        <v>0</v>
      </c>
      <c r="V55" s="131">
        <f>IF(J55="実施済",$U55*1,0)</f>
        <v>0</v>
      </c>
      <c r="W55" s="260"/>
      <c r="X55" s="131">
        <f t="shared" si="25"/>
        <v>0</v>
      </c>
      <c r="Y55" s="131">
        <f>MIN($X$53:$X$57)+1</f>
        <v>1</v>
      </c>
      <c r="Z55" s="131">
        <f t="shared" si="26"/>
        <v>0</v>
      </c>
      <c r="AA55" s="131" t="str" cm="1">
        <f t="array" ref="AA55">_xlfn.IFS(Y55=4,"A",Y55=3,"B",Y55=2,"C",Y55=1,"D")</f>
        <v>D</v>
      </c>
      <c r="AB55" s="131"/>
    </row>
    <row r="56" spans="1:28" s="2" customFormat="1" ht="9" customHeight="1">
      <c r="A56"/>
      <c r="B56" s="65"/>
      <c r="C56" s="4"/>
      <c r="D56" s="309"/>
      <c r="E56" s="310"/>
      <c r="F56" s="310"/>
      <c r="G56" s="310"/>
      <c r="H56" s="310"/>
      <c r="I56" s="310"/>
      <c r="J56" s="310"/>
      <c r="K56" s="310"/>
      <c r="L56" s="9"/>
      <c r="M56"/>
      <c r="P56"/>
      <c r="Q56"/>
      <c r="R56" s="217">
        <f>IF(E56="地区代表者",COUNTA($D$1:$D56),0)</f>
        <v>0</v>
      </c>
      <c r="S56" s="217">
        <f t="shared" ref="S56:S57" si="27">IF(F56="実施済",1,0)</f>
        <v>0</v>
      </c>
      <c r="T56" s="318"/>
      <c r="U56" s="217">
        <f t="shared" ref="U56:U57" si="28">IF(AND(H56="実施済",I56="実施済"),S56*1,0)</f>
        <v>0</v>
      </c>
      <c r="V56" s="217">
        <f t="shared" ref="V56:V57" si="29">IF(J56="実施済",$U56*1,0)</f>
        <v>0</v>
      </c>
      <c r="W56" s="318"/>
      <c r="X56" s="217" t="str">
        <f t="shared" si="25"/>
        <v/>
      </c>
      <c r="Y56" s="217">
        <f>MIN($X$53:$X$57)+1</f>
        <v>1</v>
      </c>
      <c r="Z56" s="217">
        <f t="shared" si="26"/>
        <v>1</v>
      </c>
      <c r="AA56" s="217" t="str" cm="1">
        <f t="array" ref="AA56">_xlfn.IFS(Y56=4,"A",Y56=3,"B",Y56=2,"C",Y56=1,"D")</f>
        <v>D</v>
      </c>
      <c r="AB56" s="217"/>
    </row>
    <row r="57" spans="1:28" s="2" customFormat="1" ht="6" customHeight="1">
      <c r="A57"/>
      <c r="B57"/>
      <c r="C57"/>
      <c r="D57" s="311"/>
      <c r="E57" s="312"/>
      <c r="F57" s="312"/>
      <c r="G57" s="312"/>
      <c r="H57" s="312"/>
      <c r="I57" s="312"/>
      <c r="J57" s="312"/>
      <c r="K57" s="312"/>
      <c r="L57"/>
      <c r="M57"/>
      <c r="P57"/>
      <c r="Q57"/>
      <c r="R57" s="217">
        <f>IF(E57="地区代表者",COUNTA($D$1:$D57),0)</f>
        <v>0</v>
      </c>
      <c r="S57" s="217">
        <f t="shared" si="27"/>
        <v>0</v>
      </c>
      <c r="T57" s="318"/>
      <c r="U57" s="217">
        <f t="shared" si="28"/>
        <v>0</v>
      </c>
      <c r="V57" s="217">
        <f t="shared" si="29"/>
        <v>0</v>
      </c>
      <c r="W57" s="318"/>
      <c r="X57" s="217" t="str">
        <f t="shared" si="25"/>
        <v/>
      </c>
      <c r="Y57" s="217">
        <f>MIN($X$53:$X$57)+1</f>
        <v>1</v>
      </c>
      <c r="Z57" s="217">
        <f t="shared" si="26"/>
        <v>1</v>
      </c>
      <c r="AA57" s="217" t="str" cm="1">
        <f t="array" ref="AA57">_xlfn.IFS(Y57=4,"A",Y57=3,"B",Y57=2,"C",Y57=1,"D")</f>
        <v>D</v>
      </c>
      <c r="AB57" s="217"/>
    </row>
    <row r="58" spans="1:28" ht="96" customHeight="1">
      <c r="C58" s="78"/>
      <c r="D58" s="79"/>
      <c r="E58" s="72" t="s">
        <v>238</v>
      </c>
      <c r="F58" s="1057"/>
      <c r="G58" s="1057"/>
      <c r="H58" s="1057"/>
      <c r="I58" s="1057"/>
      <c r="J58" s="1057"/>
      <c r="K58" s="1057"/>
      <c r="L58" s="80" t="s">
        <v>132</v>
      </c>
      <c r="M58" s="292"/>
    </row>
    <row r="59" spans="1:28" ht="96" customHeight="1">
      <c r="C59" s="75"/>
      <c r="D59" s="68"/>
      <c r="E59" s="72" t="s">
        <v>239</v>
      </c>
      <c r="F59" s="1057"/>
      <c r="G59" s="1057"/>
      <c r="H59" s="1057"/>
      <c r="I59" s="1057"/>
      <c r="J59" s="1057"/>
      <c r="K59" s="1057"/>
    </row>
    <row r="60" spans="1:28" ht="18.5" thickBot="1">
      <c r="A60" s="81"/>
      <c r="B60" s="81"/>
      <c r="C60" s="81"/>
      <c r="D60" s="81"/>
      <c r="E60" s="313"/>
      <c r="F60" s="81"/>
      <c r="G60" s="81"/>
      <c r="H60" s="81"/>
      <c r="I60" s="81"/>
      <c r="J60" s="81"/>
      <c r="K60" s="81"/>
      <c r="L60" s="81"/>
      <c r="M60" s="82"/>
    </row>
    <row r="62" spans="1:28" ht="9" customHeight="1">
      <c r="B62" s="10"/>
      <c r="C62" s="5"/>
      <c r="D62" s="5"/>
      <c r="E62" s="307"/>
      <c r="F62" s="5"/>
      <c r="G62" s="5"/>
      <c r="H62" s="5"/>
      <c r="I62" s="5"/>
      <c r="J62" s="5"/>
      <c r="K62" s="5"/>
      <c r="L62" s="6"/>
      <c r="M62"/>
      <c r="N62"/>
      <c r="O62"/>
      <c r="R62" t="str">
        <f>D63</f>
        <v>(選択してください)</v>
      </c>
    </row>
    <row r="63" spans="1:28">
      <c r="B63" s="7"/>
      <c r="C63" s="77" t="str">
        <f ca="1">IFERROR(OFFSET('4.2民生電力需要量'!$C$1,MATCH(D63,'4.2民生電力需要量'!$E:$E,0)-1,0),"")</f>
        <v/>
      </c>
      <c r="D63" s="96" t="s">
        <v>130</v>
      </c>
      <c r="E63" s="72" t="s">
        <v>131</v>
      </c>
      <c r="F63" s="1061" t="str">
        <f ca="1">IFERROR(OFFSET('4.2民生電力需要量'!$G$1,MATCH($D63,'4.2民生電力需要量'!$E:$E,0)-1,0),"")</f>
        <v/>
      </c>
      <c r="G63" s="1061"/>
      <c r="H63" s="1061"/>
      <c r="I63" s="1061"/>
      <c r="J63" s="1061"/>
      <c r="K63" s="1061"/>
      <c r="L63" s="8"/>
      <c r="M63"/>
      <c r="N63"/>
      <c r="O63"/>
      <c r="R63" s="177" t="str">
        <f ca="1">IFERROR(OFFSET('4.2民生電力需要量'!$G$1,MATCH($D63,'4.2民生電力需要量'!$E:$E,0)-1,0),"")</f>
        <v/>
      </c>
      <c r="S63" s="177"/>
      <c r="T63" s="177"/>
      <c r="U63" s="177"/>
      <c r="V63" s="177"/>
      <c r="W63" s="177"/>
      <c r="X63" s="177"/>
      <c r="Y63" s="177"/>
      <c r="Z63" s="177"/>
      <c r="AA63" s="177"/>
      <c r="AB63" s="177">
        <f ca="1">(F63=R63)*1</f>
        <v>1</v>
      </c>
    </row>
    <row r="64" spans="1:28">
      <c r="B64" s="7"/>
      <c r="C64" s="74"/>
      <c r="D64" s="66"/>
      <c r="E64" s="72" t="s">
        <v>221</v>
      </c>
      <c r="F64" s="1062" t="str">
        <f ca="1">IFERROR(OFFSET('4.2民生電力需要量'!$I$1,MATCH($D63,'4.2民生電力需要量'!$E:$E,0)-1,0),"")</f>
        <v/>
      </c>
      <c r="G64" s="1062"/>
      <c r="H64" s="1062"/>
      <c r="I64" s="1062"/>
      <c r="J64" s="1062"/>
      <c r="K64" s="1062"/>
      <c r="L64" s="8"/>
      <c r="M64"/>
      <c r="N64"/>
      <c r="O64"/>
      <c r="R64" s="177" t="str">
        <f ca="1">IFERROR(OFFSET('4.2民生電力需要量'!$I$1,MATCH($D63,'4.2民生電力需要量'!$E:$E,0)-1,0),"")</f>
        <v/>
      </c>
      <c r="S64" s="177"/>
      <c r="T64" s="177"/>
      <c r="U64" s="177"/>
      <c r="V64" s="177"/>
      <c r="W64" s="177"/>
      <c r="X64" s="177"/>
      <c r="Y64" s="177"/>
      <c r="Z64" s="177"/>
      <c r="AA64" s="177"/>
      <c r="AB64" s="177">
        <f ca="1">(F64=R64)*1</f>
        <v>1</v>
      </c>
    </row>
    <row r="65" spans="1:28">
      <c r="B65" s="7"/>
      <c r="C65" s="74"/>
      <c r="D65" s="66"/>
      <c r="E65" s="72" t="s">
        <v>175</v>
      </c>
      <c r="F65" s="1063" t="str">
        <f>_xlfn.IFNA(R65,"")</f>
        <v/>
      </c>
      <c r="G65" s="1063"/>
      <c r="H65" s="1063"/>
      <c r="I65" s="1063"/>
      <c r="J65" s="1063"/>
      <c r="K65" s="1063"/>
      <c r="L65" s="8"/>
      <c r="M65"/>
      <c r="N65"/>
      <c r="O65"/>
      <c r="R65" s="217" t="str">
        <f>IF(PRODUCT($Z67:$Z71)=1,AA67,"")</f>
        <v/>
      </c>
      <c r="S65" s="177"/>
      <c r="T65" s="177"/>
      <c r="U65" s="177"/>
      <c r="V65" s="177"/>
      <c r="W65" s="177"/>
      <c r="X65" s="177"/>
      <c r="Y65" s="177"/>
      <c r="Z65" s="177"/>
      <c r="AA65" s="177"/>
      <c r="AB65" s="177">
        <f>(F65=R65)*1</f>
        <v>1</v>
      </c>
    </row>
    <row r="66" spans="1:28" s="2" customFormat="1" ht="60">
      <c r="A66"/>
      <c r="B66" s="7"/>
      <c r="C66" s="74"/>
      <c r="D66" s="66"/>
      <c r="E66" s="308"/>
      <c r="F66" s="314" t="s">
        <v>302</v>
      </c>
      <c r="G66" s="315" t="s">
        <v>303</v>
      </c>
      <c r="H66" s="315" t="s">
        <v>304</v>
      </c>
      <c r="I66" s="315" t="s">
        <v>305</v>
      </c>
      <c r="J66" s="315" t="s">
        <v>435</v>
      </c>
      <c r="K66" s="315" t="s">
        <v>272</v>
      </c>
      <c r="L66" s="8"/>
      <c r="M66"/>
      <c r="P66"/>
      <c r="Q66"/>
      <c r="R66" s="296" t="s">
        <v>301</v>
      </c>
      <c r="S66" s="296" t="s">
        <v>302</v>
      </c>
      <c r="T66" s="316" t="s">
        <v>429</v>
      </c>
      <c r="U66" s="296" t="s">
        <v>430</v>
      </c>
      <c r="V66" s="296" t="s">
        <v>428</v>
      </c>
      <c r="W66" s="317" t="s">
        <v>272</v>
      </c>
      <c r="X66" s="296" t="s">
        <v>432</v>
      </c>
      <c r="Y66" s="217" t="s">
        <v>408</v>
      </c>
      <c r="Z66" s="217" t="s">
        <v>436</v>
      </c>
      <c r="AA66" s="296" t="s">
        <v>431</v>
      </c>
      <c r="AB66" s="296"/>
    </row>
    <row r="67" spans="1:28" s="101" customFormat="1" hidden="1">
      <c r="A67" s="11"/>
      <c r="B67" s="97"/>
      <c r="C67" s="98"/>
      <c r="D67" s="99"/>
      <c r="E67" s="440"/>
      <c r="F67" s="441"/>
      <c r="G67" s="441"/>
      <c r="H67" s="441"/>
      <c r="I67" s="441"/>
      <c r="J67" s="441"/>
      <c r="K67" s="441"/>
      <c r="L67" s="100"/>
      <c r="M67" s="11"/>
      <c r="Q67" s="11"/>
      <c r="R67" s="131">
        <f>IF(E67="地区代表者",COUNTA($D$1:$D67),0)</f>
        <v>0</v>
      </c>
      <c r="S67" s="131">
        <f t="shared" ref="S67:S68" si="30">IF(F67="実施済",1,0)</f>
        <v>0</v>
      </c>
      <c r="T67" s="260"/>
      <c r="U67" s="131">
        <f t="shared" ref="U67:U68" si="31">IF(AND(H67="実施済",I67="実施済"),S67*1,0)</f>
        <v>0</v>
      </c>
      <c r="V67" s="131">
        <f>IF(J67="実施済",$U67*1,0)</f>
        <v>0</v>
      </c>
      <c r="W67" s="260"/>
      <c r="X67" s="131" t="str">
        <f>IF(E67="","",IF(R67*S67&gt;0,3,SUM(S67,U67,V67)))</f>
        <v/>
      </c>
      <c r="Y67" s="131">
        <f>MIN($X$67:$X$71)+1</f>
        <v>1</v>
      </c>
      <c r="Z67" s="131">
        <f>IF(E67="",1,IF(R67&gt;0,IF(COUNTA($F67:$K67)=2,1,0),IF(COUNTA($F67:$K67)=6,1,0)))</f>
        <v>1</v>
      </c>
      <c r="AA67" s="131" t="str" cm="1">
        <f t="array" ref="AA67">_xlfn.IFS(Y67=4,"A",Y67=3,"B",Y67=2,"C",Y67=1,"D")</f>
        <v>D</v>
      </c>
      <c r="AB67" s="131" t="str" cm="1">
        <f t="array" ref="AB67">_xlfn.IFS(Z67=4,"A",Z67=3,"B",Z67=2,"C",Z67=1,"D")</f>
        <v>D</v>
      </c>
    </row>
    <row r="68" spans="1:28" s="101" customFormat="1" ht="18.75" customHeight="1">
      <c r="A68" s="11"/>
      <c r="B68" s="97"/>
      <c r="C68" s="98"/>
      <c r="D68" s="99"/>
      <c r="E68" s="442" t="s">
        <v>301</v>
      </c>
      <c r="F68" s="443"/>
      <c r="G68" s="846"/>
      <c r="H68" s="846"/>
      <c r="I68" s="846"/>
      <c r="J68" s="846"/>
      <c r="K68" s="443"/>
      <c r="L68" s="100"/>
      <c r="M68" s="11"/>
      <c r="Q68" s="11"/>
      <c r="R68" s="131">
        <f>IF(E68="地区代表者",COUNTA($D$1:$D68),0)</f>
        <v>5</v>
      </c>
      <c r="S68" s="131">
        <f t="shared" si="30"/>
        <v>0</v>
      </c>
      <c r="T68" s="260"/>
      <c r="U68" s="131">
        <f t="shared" si="31"/>
        <v>0</v>
      </c>
      <c r="V68" s="131">
        <f>IF(J68="実施済",$U68*1,0)</f>
        <v>0</v>
      </c>
      <c r="W68" s="260"/>
      <c r="X68" s="131">
        <f t="shared" ref="X68:X71" si="32">IF(E68="","",IF(R68*S68&gt;0,3,SUM(S68,U68,V68)))</f>
        <v>0</v>
      </c>
      <c r="Y68" s="131">
        <f>MIN($X$67:$X$71)+1</f>
        <v>1</v>
      </c>
      <c r="Z68" s="131">
        <f t="shared" ref="Z68:Z71" si="33">IF(E68="",1,IF(R68&gt;0,IF(COUNTA($F68:$K68)=2,1,0),IF(COUNTA($F68:$K68)=6,1,0)))</f>
        <v>0</v>
      </c>
      <c r="AA68" s="131" t="str" cm="1">
        <f t="array" ref="AA68">_xlfn.IFS(Y68=4,"A",Y68=3,"B",Y68=2,"C",Y68=1,"D")</f>
        <v>D</v>
      </c>
      <c r="AB68" s="131"/>
    </row>
    <row r="69" spans="1:28" s="101" customFormat="1" ht="18.75" customHeight="1">
      <c r="A69" s="11"/>
      <c r="B69" s="97"/>
      <c r="C69" s="98"/>
      <c r="D69" s="99"/>
      <c r="E69" s="442" t="s">
        <v>116</v>
      </c>
      <c r="F69" s="443"/>
      <c r="G69" s="443"/>
      <c r="H69" s="443"/>
      <c r="I69" s="443"/>
      <c r="J69" s="443"/>
      <c r="K69" s="443"/>
      <c r="L69" s="100"/>
      <c r="M69" s="11"/>
      <c r="P69" s="11"/>
      <c r="Q69" s="11"/>
      <c r="R69" s="131">
        <f>IF(E69="地区代表者",COUNTA($D$1:$D69),0)</f>
        <v>0</v>
      </c>
      <c r="S69" s="131">
        <f>IF(F69="実施済",1,0)</f>
        <v>0</v>
      </c>
      <c r="T69" s="260"/>
      <c r="U69" s="131">
        <f>IF(AND(H69="実施済",I69="実施済"),S69*1,0)</f>
        <v>0</v>
      </c>
      <c r="V69" s="131">
        <f>IF(J69="実施済",$U69*1,0)</f>
        <v>0</v>
      </c>
      <c r="W69" s="260"/>
      <c r="X69" s="131">
        <f t="shared" si="32"/>
        <v>0</v>
      </c>
      <c r="Y69" s="131">
        <f>MIN($X$67:$X$71)+1</f>
        <v>1</v>
      </c>
      <c r="Z69" s="131">
        <f t="shared" si="33"/>
        <v>0</v>
      </c>
      <c r="AA69" s="131" t="str" cm="1">
        <f t="array" ref="AA69">_xlfn.IFS(Y69=4,"A",Y69=3,"B",Y69=2,"C",Y69=1,"D")</f>
        <v>D</v>
      </c>
      <c r="AB69" s="131"/>
    </row>
    <row r="70" spans="1:28" s="2" customFormat="1" ht="9" customHeight="1">
      <c r="A70"/>
      <c r="B70" s="65"/>
      <c r="C70" s="4"/>
      <c r="D70" s="309"/>
      <c r="E70" s="310"/>
      <c r="F70" s="310"/>
      <c r="G70" s="310"/>
      <c r="H70" s="310"/>
      <c r="I70" s="310"/>
      <c r="J70" s="310"/>
      <c r="K70" s="310"/>
      <c r="L70" s="9"/>
      <c r="M70"/>
      <c r="P70"/>
      <c r="Q70"/>
      <c r="R70" s="217">
        <f>IF(E70="地区代表者",COUNTA($D$1:$D70),0)</f>
        <v>0</v>
      </c>
      <c r="S70" s="217">
        <f t="shared" ref="S70:S71" si="34">IF(F70="実施済",1,0)</f>
        <v>0</v>
      </c>
      <c r="T70" s="318"/>
      <c r="U70" s="217">
        <f t="shared" ref="U70:U71" si="35">IF(AND(H70="実施済",I70="実施済"),S70*1,0)</f>
        <v>0</v>
      </c>
      <c r="V70" s="217">
        <f t="shared" ref="V70:V71" si="36">IF(J70="実施済",$U70*1,0)</f>
        <v>0</v>
      </c>
      <c r="W70" s="318"/>
      <c r="X70" s="217" t="str">
        <f t="shared" si="32"/>
        <v/>
      </c>
      <c r="Y70" s="217">
        <f>MIN($X$67:$X$71)+1</f>
        <v>1</v>
      </c>
      <c r="Z70" s="217">
        <f t="shared" si="33"/>
        <v>1</v>
      </c>
      <c r="AA70" s="217" t="str" cm="1">
        <f t="array" ref="AA70">_xlfn.IFS(Y70=4,"A",Y70=3,"B",Y70=2,"C",Y70=1,"D")</f>
        <v>D</v>
      </c>
      <c r="AB70" s="217"/>
    </row>
    <row r="71" spans="1:28" s="2" customFormat="1" ht="6" customHeight="1">
      <c r="A71"/>
      <c r="B71"/>
      <c r="C71"/>
      <c r="D71" s="311"/>
      <c r="E71" s="312"/>
      <c r="F71" s="312"/>
      <c r="G71" s="312"/>
      <c r="H71" s="312"/>
      <c r="I71" s="312"/>
      <c r="J71" s="312"/>
      <c r="K71" s="312"/>
      <c r="L71"/>
      <c r="M71"/>
      <c r="P71"/>
      <c r="Q71"/>
      <c r="R71" s="217">
        <f>IF(E71="地区代表者",COUNTA($D$1:$D71),0)</f>
        <v>0</v>
      </c>
      <c r="S71" s="217">
        <f t="shared" si="34"/>
        <v>0</v>
      </c>
      <c r="T71" s="318"/>
      <c r="U71" s="217">
        <f t="shared" si="35"/>
        <v>0</v>
      </c>
      <c r="V71" s="217">
        <f t="shared" si="36"/>
        <v>0</v>
      </c>
      <c r="W71" s="318"/>
      <c r="X71" s="217" t="str">
        <f t="shared" si="32"/>
        <v/>
      </c>
      <c r="Y71" s="217">
        <f>MIN($X$67:$X$71)+1</f>
        <v>1</v>
      </c>
      <c r="Z71" s="217">
        <f t="shared" si="33"/>
        <v>1</v>
      </c>
      <c r="AA71" s="217" t="str" cm="1">
        <f t="array" ref="AA71">_xlfn.IFS(Y71=4,"A",Y71=3,"B",Y71=2,"C",Y71=1,"D")</f>
        <v>D</v>
      </c>
      <c r="AB71" s="217"/>
    </row>
    <row r="72" spans="1:28" ht="96" customHeight="1">
      <c r="C72" s="78"/>
      <c r="D72" s="79"/>
      <c r="E72" s="72" t="s">
        <v>238</v>
      </c>
      <c r="F72" s="1057"/>
      <c r="G72" s="1057"/>
      <c r="H72" s="1057"/>
      <c r="I72" s="1057"/>
      <c r="J72" s="1057"/>
      <c r="K72" s="1057"/>
      <c r="L72" s="80" t="s">
        <v>132</v>
      </c>
      <c r="M72" s="292"/>
    </row>
    <row r="73" spans="1:28" ht="96" customHeight="1">
      <c r="C73" s="75"/>
      <c r="D73" s="68"/>
      <c r="E73" s="72" t="s">
        <v>239</v>
      </c>
      <c r="F73" s="1057"/>
      <c r="G73" s="1057"/>
      <c r="H73" s="1057"/>
      <c r="I73" s="1057"/>
      <c r="J73" s="1057"/>
      <c r="K73" s="1057"/>
    </row>
    <row r="74" spans="1:28" ht="18.5" thickBot="1">
      <c r="A74" s="81"/>
      <c r="B74" s="81"/>
      <c r="C74" s="81"/>
      <c r="D74" s="81"/>
      <c r="E74" s="313"/>
      <c r="F74" s="81"/>
      <c r="G74" s="81"/>
      <c r="H74" s="81"/>
      <c r="I74" s="81"/>
      <c r="J74" s="81"/>
      <c r="K74" s="81"/>
      <c r="L74" s="81"/>
      <c r="M74" s="82"/>
    </row>
    <row r="76" spans="1:28" ht="9" customHeight="1">
      <c r="B76" s="10"/>
      <c r="C76" s="5"/>
      <c r="D76" s="5"/>
      <c r="E76" s="307"/>
      <c r="F76" s="5"/>
      <c r="G76" s="5"/>
      <c r="H76" s="5"/>
      <c r="I76" s="5"/>
      <c r="J76" s="5"/>
      <c r="K76" s="5"/>
      <c r="L76" s="6"/>
      <c r="M76"/>
      <c r="N76"/>
      <c r="O76"/>
      <c r="R76" t="str">
        <f>D77</f>
        <v>(選択してください)</v>
      </c>
    </row>
    <row r="77" spans="1:28">
      <c r="B77" s="7"/>
      <c r="C77" s="77" t="str">
        <f ca="1">IFERROR(OFFSET('4.2民生電力需要量'!$C$1,MATCH(D77,'4.2民生電力需要量'!$E:$E,0)-1,0),"")</f>
        <v/>
      </c>
      <c r="D77" s="96" t="s">
        <v>130</v>
      </c>
      <c r="E77" s="72" t="s">
        <v>131</v>
      </c>
      <c r="F77" s="1061" t="str">
        <f ca="1">IFERROR(OFFSET('4.2民生電力需要量'!$G$1,MATCH($D77,'4.2民生電力需要量'!$E:$E,0)-1,0),"")</f>
        <v/>
      </c>
      <c r="G77" s="1061"/>
      <c r="H77" s="1061"/>
      <c r="I77" s="1061"/>
      <c r="J77" s="1061"/>
      <c r="K77" s="1061"/>
      <c r="L77" s="8"/>
      <c r="M77"/>
      <c r="N77"/>
      <c r="O77"/>
      <c r="R77" s="177" t="str">
        <f ca="1">IFERROR(OFFSET('4.2民生電力需要量'!$G$1,MATCH($D77,'4.2民生電力需要量'!$E:$E,0)-1,0),"")</f>
        <v/>
      </c>
      <c r="S77" s="177"/>
      <c r="T77" s="177"/>
      <c r="U77" s="177"/>
      <c r="V77" s="177"/>
      <c r="W77" s="177"/>
      <c r="X77" s="177"/>
      <c r="Y77" s="177"/>
      <c r="Z77" s="177"/>
      <c r="AA77" s="177"/>
      <c r="AB77" s="177">
        <f ca="1">(F77=R77)*1</f>
        <v>1</v>
      </c>
    </row>
    <row r="78" spans="1:28">
      <c r="B78" s="7"/>
      <c r="C78" s="74"/>
      <c r="D78" s="66"/>
      <c r="E78" s="72" t="s">
        <v>221</v>
      </c>
      <c r="F78" s="1062" t="str">
        <f ca="1">IFERROR(OFFSET('4.2民生電力需要量'!$I$1,MATCH($D77,'4.2民生電力需要量'!$E:$E,0)-1,0),"")</f>
        <v/>
      </c>
      <c r="G78" s="1062"/>
      <c r="H78" s="1062"/>
      <c r="I78" s="1062"/>
      <c r="J78" s="1062"/>
      <c r="K78" s="1062"/>
      <c r="L78" s="8"/>
      <c r="M78"/>
      <c r="N78"/>
      <c r="O78"/>
      <c r="R78" s="177" t="str">
        <f ca="1">IFERROR(OFFSET('4.2民生電力需要量'!$I$1,MATCH($D77,'4.2民生電力需要量'!$E:$E,0)-1,0),"")</f>
        <v/>
      </c>
      <c r="S78" s="177"/>
      <c r="T78" s="177"/>
      <c r="U78" s="177"/>
      <c r="V78" s="177"/>
      <c r="W78" s="177"/>
      <c r="X78" s="177"/>
      <c r="Y78" s="177"/>
      <c r="Z78" s="177"/>
      <c r="AA78" s="177"/>
      <c r="AB78" s="177">
        <f ca="1">(F78=R78)*1</f>
        <v>1</v>
      </c>
    </row>
    <row r="79" spans="1:28">
      <c r="B79" s="7"/>
      <c r="C79" s="74"/>
      <c r="D79" s="66"/>
      <c r="E79" s="72" t="s">
        <v>175</v>
      </c>
      <c r="F79" s="1063" t="str">
        <f>_xlfn.IFNA(R79,"")</f>
        <v/>
      </c>
      <c r="G79" s="1063"/>
      <c r="H79" s="1063"/>
      <c r="I79" s="1063"/>
      <c r="J79" s="1063"/>
      <c r="K79" s="1063"/>
      <c r="L79" s="8"/>
      <c r="M79"/>
      <c r="N79"/>
      <c r="O79"/>
      <c r="R79" s="217" t="str">
        <f>IF(PRODUCT($Z81:$Z85)=1,AA81,"")</f>
        <v/>
      </c>
      <c r="S79" s="177"/>
      <c r="T79" s="177"/>
      <c r="U79" s="177"/>
      <c r="V79" s="177"/>
      <c r="W79" s="177"/>
      <c r="X79" s="177"/>
      <c r="Y79" s="177"/>
      <c r="Z79" s="177"/>
      <c r="AA79" s="177"/>
      <c r="AB79" s="177">
        <f>(F79=R79)*1</f>
        <v>1</v>
      </c>
    </row>
    <row r="80" spans="1:28" s="2" customFormat="1" ht="60">
      <c r="A80"/>
      <c r="B80" s="7"/>
      <c r="C80" s="74"/>
      <c r="D80" s="66"/>
      <c r="E80" s="308"/>
      <c r="F80" s="314" t="s">
        <v>302</v>
      </c>
      <c r="G80" s="315" t="s">
        <v>303</v>
      </c>
      <c r="H80" s="315" t="s">
        <v>304</v>
      </c>
      <c r="I80" s="315" t="s">
        <v>305</v>
      </c>
      <c r="J80" s="315" t="s">
        <v>435</v>
      </c>
      <c r="K80" s="315" t="s">
        <v>272</v>
      </c>
      <c r="L80" s="8"/>
      <c r="M80"/>
      <c r="P80"/>
      <c r="Q80"/>
      <c r="R80" s="296" t="s">
        <v>301</v>
      </c>
      <c r="S80" s="296" t="s">
        <v>302</v>
      </c>
      <c r="T80" s="316" t="s">
        <v>429</v>
      </c>
      <c r="U80" s="296" t="s">
        <v>430</v>
      </c>
      <c r="V80" s="296" t="s">
        <v>428</v>
      </c>
      <c r="W80" s="317" t="s">
        <v>272</v>
      </c>
      <c r="X80" s="296" t="s">
        <v>432</v>
      </c>
      <c r="Y80" s="217" t="s">
        <v>408</v>
      </c>
      <c r="Z80" s="217" t="s">
        <v>436</v>
      </c>
      <c r="AA80" s="296" t="s">
        <v>431</v>
      </c>
      <c r="AB80" s="296"/>
    </row>
    <row r="81" spans="1:28" s="101" customFormat="1" ht="18.75" hidden="1" customHeight="1">
      <c r="A81" s="11"/>
      <c r="B81" s="97"/>
      <c r="C81" s="98"/>
      <c r="D81" s="99"/>
      <c r="E81" s="440"/>
      <c r="F81" s="441"/>
      <c r="G81" s="441"/>
      <c r="H81" s="441"/>
      <c r="I81" s="441"/>
      <c r="J81" s="441"/>
      <c r="K81" s="441"/>
      <c r="L81" s="100"/>
      <c r="M81" s="11"/>
      <c r="Q81" s="11"/>
      <c r="R81" s="131">
        <f>IF(E81="地区代表者",COUNTA($D$1:$D81),0)</f>
        <v>0</v>
      </c>
      <c r="S81" s="131">
        <f t="shared" ref="S81:S82" si="37">IF(F81="実施済",1,0)</f>
        <v>0</v>
      </c>
      <c r="T81" s="260"/>
      <c r="U81" s="131">
        <f t="shared" ref="U81:U82" si="38">IF(AND(H81="実施済",I81="実施済"),S81*1,0)</f>
        <v>0</v>
      </c>
      <c r="V81" s="131">
        <f>IF(J81="実施済",$U81*1,0)</f>
        <v>0</v>
      </c>
      <c r="W81" s="260"/>
      <c r="X81" s="131" t="str">
        <f>IF(E81="","",IF(R81*S81&gt;0,3,SUM(S81,U81,V81)))</f>
        <v/>
      </c>
      <c r="Y81" s="131">
        <f>MIN($X$81:$X$85)+1</f>
        <v>1</v>
      </c>
      <c r="Z81" s="131">
        <f>IF(E81="",1,IF(R81&gt;0,IF(COUNTA($F81:$K81)=2,1,0),IF(COUNTA($F81:$K81)=6,1,0)))</f>
        <v>1</v>
      </c>
      <c r="AA81" s="131" t="str" cm="1">
        <f t="array" ref="AA81">_xlfn.IFS(Y81=4,"A",Y81=3,"B",Y81=2,"C",Y81=1,"D")</f>
        <v>D</v>
      </c>
      <c r="AB81" s="131" t="str" cm="1">
        <f t="array" ref="AB81">_xlfn.IFS(Z81=4,"A",Z81=3,"B",Z81=2,"C",Z81=1,"D")</f>
        <v>D</v>
      </c>
    </row>
    <row r="82" spans="1:28" s="101" customFormat="1" ht="18.75" customHeight="1">
      <c r="A82" s="11"/>
      <c r="B82" s="97"/>
      <c r="C82" s="98"/>
      <c r="D82" s="99"/>
      <c r="E82" s="442" t="s">
        <v>301</v>
      </c>
      <c r="F82" s="443"/>
      <c r="G82" s="846"/>
      <c r="H82" s="846"/>
      <c r="I82" s="846"/>
      <c r="J82" s="846"/>
      <c r="K82" s="443"/>
      <c r="L82" s="100"/>
      <c r="M82" s="11"/>
      <c r="Q82" s="11"/>
      <c r="R82" s="131">
        <f>IF(E82="地区代表者",COUNTA($D$1:$D82),0)</f>
        <v>6</v>
      </c>
      <c r="S82" s="131">
        <f t="shared" si="37"/>
        <v>0</v>
      </c>
      <c r="T82" s="260"/>
      <c r="U82" s="131">
        <f t="shared" si="38"/>
        <v>0</v>
      </c>
      <c r="V82" s="131">
        <f>IF(J82="実施済",$U82*1,0)</f>
        <v>0</v>
      </c>
      <c r="W82" s="260"/>
      <c r="X82" s="131">
        <f t="shared" ref="X82:X85" si="39">IF(E82="","",IF(R82*S82&gt;0,3,SUM(S82,U82,V82)))</f>
        <v>0</v>
      </c>
      <c r="Y82" s="131">
        <f>MIN($X$81:$X$85)+1</f>
        <v>1</v>
      </c>
      <c r="Z82" s="131">
        <f t="shared" ref="Z82:Z85" si="40">IF(E82="",1,IF(R82&gt;0,IF(COUNTA($F82:$K82)=2,1,0),IF(COUNTA($F82:$K82)=6,1,0)))</f>
        <v>0</v>
      </c>
      <c r="AA82" s="131" t="str" cm="1">
        <f t="array" ref="AA82">_xlfn.IFS(Y82=4,"A",Y82=3,"B",Y82=2,"C",Y82=1,"D")</f>
        <v>D</v>
      </c>
      <c r="AB82" s="131"/>
    </row>
    <row r="83" spans="1:28" s="101" customFormat="1" ht="18.75" customHeight="1">
      <c r="A83" s="11"/>
      <c r="B83" s="97"/>
      <c r="C83" s="98"/>
      <c r="D83" s="99"/>
      <c r="E83" s="442" t="s">
        <v>116</v>
      </c>
      <c r="F83" s="443"/>
      <c r="G83" s="443"/>
      <c r="H83" s="443"/>
      <c r="I83" s="443"/>
      <c r="J83" s="443"/>
      <c r="K83" s="443"/>
      <c r="L83" s="100"/>
      <c r="M83" s="11"/>
      <c r="P83" s="11"/>
      <c r="Q83" s="11"/>
      <c r="R83" s="131">
        <f>IF(E83="地区代表者",COUNTA($D$1:$D83),0)</f>
        <v>0</v>
      </c>
      <c r="S83" s="131">
        <f>IF(F83="実施済",1,0)</f>
        <v>0</v>
      </c>
      <c r="T83" s="260"/>
      <c r="U83" s="131">
        <f>IF(AND(H83="実施済",I83="実施済"),S83*1,0)</f>
        <v>0</v>
      </c>
      <c r="V83" s="131">
        <f>IF(J83="実施済",$U83*1,0)</f>
        <v>0</v>
      </c>
      <c r="W83" s="260"/>
      <c r="X83" s="131">
        <f t="shared" si="39"/>
        <v>0</v>
      </c>
      <c r="Y83" s="131">
        <f>MIN($X$81:$X$85)+1</f>
        <v>1</v>
      </c>
      <c r="Z83" s="131">
        <f t="shared" si="40"/>
        <v>0</v>
      </c>
      <c r="AA83" s="131" t="str" cm="1">
        <f t="array" ref="AA83">_xlfn.IFS(Y83=4,"A",Y83=3,"B",Y83=2,"C",Y83=1,"D")</f>
        <v>D</v>
      </c>
      <c r="AB83" s="131"/>
    </row>
    <row r="84" spans="1:28" s="2" customFormat="1" ht="9" customHeight="1">
      <c r="A84"/>
      <c r="B84" s="65"/>
      <c r="C84" s="4"/>
      <c r="D84" s="309"/>
      <c r="E84" s="310"/>
      <c r="F84" s="310"/>
      <c r="G84" s="310"/>
      <c r="H84" s="310"/>
      <c r="I84" s="310"/>
      <c r="J84" s="310"/>
      <c r="K84" s="310"/>
      <c r="L84" s="9"/>
      <c r="M84"/>
      <c r="P84"/>
      <c r="Q84"/>
      <c r="R84" s="217">
        <f>IF(E84="地区代表者",COUNTA($D$1:$D84),0)</f>
        <v>0</v>
      </c>
      <c r="S84" s="217">
        <f t="shared" ref="S84:S85" si="41">IF(F84="実施済",1,0)</f>
        <v>0</v>
      </c>
      <c r="T84" s="318"/>
      <c r="U84" s="217">
        <f t="shared" ref="U84:U85" si="42">IF(AND(H84="実施済",I84="実施済"),S84*1,0)</f>
        <v>0</v>
      </c>
      <c r="V84" s="217">
        <f t="shared" ref="V84:V85" si="43">IF(J84="実施済",$U84*1,0)</f>
        <v>0</v>
      </c>
      <c r="W84" s="318"/>
      <c r="X84" s="217" t="str">
        <f t="shared" si="39"/>
        <v/>
      </c>
      <c r="Y84" s="217">
        <f>MIN($X$81:$X$85)+1</f>
        <v>1</v>
      </c>
      <c r="Z84" s="217">
        <f t="shared" si="40"/>
        <v>1</v>
      </c>
      <c r="AA84" s="217" t="str" cm="1">
        <f t="array" ref="AA84">_xlfn.IFS(Y84=4,"A",Y84=3,"B",Y84=2,"C",Y84=1,"D")</f>
        <v>D</v>
      </c>
      <c r="AB84" s="217"/>
    </row>
    <row r="85" spans="1:28" s="2" customFormat="1" ht="6" customHeight="1">
      <c r="A85"/>
      <c r="B85"/>
      <c r="C85"/>
      <c r="D85" s="311"/>
      <c r="E85" s="312"/>
      <c r="F85" s="312"/>
      <c r="G85" s="312"/>
      <c r="H85" s="312"/>
      <c r="I85" s="312"/>
      <c r="J85" s="312"/>
      <c r="K85" s="312"/>
      <c r="L85"/>
      <c r="M85"/>
      <c r="P85"/>
      <c r="Q85"/>
      <c r="R85" s="217">
        <f>IF(E85="地区代表者",COUNTA($D$1:$D85),0)</f>
        <v>0</v>
      </c>
      <c r="S85" s="217">
        <f t="shared" si="41"/>
        <v>0</v>
      </c>
      <c r="T85" s="318"/>
      <c r="U85" s="217">
        <f t="shared" si="42"/>
        <v>0</v>
      </c>
      <c r="V85" s="217">
        <f t="shared" si="43"/>
        <v>0</v>
      </c>
      <c r="W85" s="318"/>
      <c r="X85" s="217" t="str">
        <f t="shared" si="39"/>
        <v/>
      </c>
      <c r="Y85" s="217">
        <f>MIN($X$81:$X$85)+1</f>
        <v>1</v>
      </c>
      <c r="Z85" s="217">
        <f t="shared" si="40"/>
        <v>1</v>
      </c>
      <c r="AA85" s="217" t="str" cm="1">
        <f t="array" ref="AA85">_xlfn.IFS(Y85=4,"A",Y85=3,"B",Y85=2,"C",Y85=1,"D")</f>
        <v>D</v>
      </c>
      <c r="AB85" s="217"/>
    </row>
    <row r="86" spans="1:28" ht="96" customHeight="1">
      <c r="C86" s="78"/>
      <c r="D86" s="79"/>
      <c r="E86" s="72" t="s">
        <v>238</v>
      </c>
      <c r="F86" s="1057"/>
      <c r="G86" s="1057"/>
      <c r="H86" s="1057"/>
      <c r="I86" s="1057"/>
      <c r="J86" s="1057"/>
      <c r="K86" s="1057"/>
      <c r="L86" s="80" t="s">
        <v>132</v>
      </c>
      <c r="M86" s="292"/>
    </row>
    <row r="87" spans="1:28" ht="96" customHeight="1">
      <c r="C87" s="75"/>
      <c r="D87" s="68"/>
      <c r="E87" s="72" t="s">
        <v>239</v>
      </c>
      <c r="F87" s="1057"/>
      <c r="G87" s="1057"/>
      <c r="H87" s="1057"/>
      <c r="I87" s="1057"/>
      <c r="J87" s="1057"/>
      <c r="K87" s="1057"/>
    </row>
    <row r="88" spans="1:28" ht="18.5" thickBot="1">
      <c r="A88" s="81"/>
      <c r="B88" s="81"/>
      <c r="C88" s="81"/>
      <c r="D88" s="81"/>
      <c r="E88" s="313"/>
      <c r="F88" s="81"/>
      <c r="G88" s="81"/>
      <c r="H88" s="81"/>
      <c r="I88" s="81"/>
      <c r="J88" s="81"/>
      <c r="K88" s="81"/>
      <c r="L88" s="81"/>
      <c r="M88" s="82"/>
    </row>
    <row r="90" spans="1:28" ht="9" customHeight="1">
      <c r="B90" s="10"/>
      <c r="C90" s="5"/>
      <c r="D90" s="5"/>
      <c r="E90" s="307"/>
      <c r="F90" s="5"/>
      <c r="G90" s="5"/>
      <c r="H90" s="5"/>
      <c r="I90" s="5"/>
      <c r="J90" s="5"/>
      <c r="K90" s="5"/>
      <c r="L90" s="6"/>
      <c r="M90"/>
      <c r="N90"/>
      <c r="O90"/>
      <c r="R90" t="str">
        <f>D91</f>
        <v>(選択してください)</v>
      </c>
    </row>
    <row r="91" spans="1:28">
      <c r="B91" s="7"/>
      <c r="C91" s="77" t="str">
        <f ca="1">IFERROR(OFFSET('4.2民生電力需要量'!$C$1,MATCH(D91,'4.2民生電力需要量'!$E:$E,0)-1,0),"")</f>
        <v/>
      </c>
      <c r="D91" s="96" t="s">
        <v>130</v>
      </c>
      <c r="E91" s="72" t="s">
        <v>131</v>
      </c>
      <c r="F91" s="1061" t="str">
        <f ca="1">IFERROR(OFFSET('4.2民生電力需要量'!$G$1,MATCH($D91,'4.2民生電力需要量'!$E:$E,0)-1,0),"")</f>
        <v/>
      </c>
      <c r="G91" s="1061"/>
      <c r="H91" s="1061"/>
      <c r="I91" s="1061"/>
      <c r="J91" s="1061"/>
      <c r="K91" s="1061"/>
      <c r="L91" s="8"/>
      <c r="M91"/>
      <c r="N91"/>
      <c r="O91"/>
      <c r="R91" s="177" t="str">
        <f ca="1">IFERROR(OFFSET('4.2民生電力需要量'!$G$1,MATCH($D91,'4.2民生電力需要量'!$E:$E,0)-1,0),"")</f>
        <v/>
      </c>
      <c r="S91" s="177"/>
      <c r="T91" s="177"/>
      <c r="U91" s="177"/>
      <c r="V91" s="177"/>
      <c r="W91" s="177"/>
      <c r="X91" s="177"/>
      <c r="Y91" s="177"/>
      <c r="Z91" s="177"/>
      <c r="AA91" s="177"/>
      <c r="AB91" s="177">
        <f ca="1">(F91=R91)*1</f>
        <v>1</v>
      </c>
    </row>
    <row r="92" spans="1:28">
      <c r="B92" s="7"/>
      <c r="C92" s="74"/>
      <c r="D92" s="66"/>
      <c r="E92" s="72" t="s">
        <v>221</v>
      </c>
      <c r="F92" s="1062" t="str">
        <f ca="1">IFERROR(OFFSET('4.2民生電力需要量'!$I$1,MATCH($D91,'4.2民生電力需要量'!$E:$E,0)-1,0),"")</f>
        <v/>
      </c>
      <c r="G92" s="1062"/>
      <c r="H92" s="1062"/>
      <c r="I92" s="1062"/>
      <c r="J92" s="1062"/>
      <c r="K92" s="1062"/>
      <c r="L92" s="8"/>
      <c r="M92"/>
      <c r="N92"/>
      <c r="O92"/>
      <c r="R92" s="177" t="str">
        <f ca="1">IFERROR(OFFSET('4.2民生電力需要量'!$I$1,MATCH($D91,'4.2民生電力需要量'!$E:$E,0)-1,0),"")</f>
        <v/>
      </c>
      <c r="S92" s="177"/>
      <c r="T92" s="177"/>
      <c r="U92" s="177"/>
      <c r="V92" s="177"/>
      <c r="W92" s="177"/>
      <c r="X92" s="177"/>
      <c r="Y92" s="177"/>
      <c r="Z92" s="177"/>
      <c r="AA92" s="177"/>
      <c r="AB92" s="177">
        <f ca="1">(F92=R92)*1</f>
        <v>1</v>
      </c>
    </row>
    <row r="93" spans="1:28">
      <c r="B93" s="7"/>
      <c r="C93" s="74"/>
      <c r="D93" s="66"/>
      <c r="E93" s="72" t="s">
        <v>175</v>
      </c>
      <c r="F93" s="1063" t="str">
        <f>_xlfn.IFNA(R93,"")</f>
        <v/>
      </c>
      <c r="G93" s="1063"/>
      <c r="H93" s="1063"/>
      <c r="I93" s="1063"/>
      <c r="J93" s="1063"/>
      <c r="K93" s="1063"/>
      <c r="L93" s="8"/>
      <c r="M93"/>
      <c r="N93"/>
      <c r="O93"/>
      <c r="R93" s="217" t="str">
        <f>IF(PRODUCT($Z95:$Z99)=1,AA95,"")</f>
        <v/>
      </c>
      <c r="S93" s="177"/>
      <c r="T93" s="177"/>
      <c r="U93" s="177"/>
      <c r="V93" s="177"/>
      <c r="W93" s="177"/>
      <c r="X93" s="177"/>
      <c r="Y93" s="177"/>
      <c r="Z93" s="177"/>
      <c r="AA93" s="177"/>
      <c r="AB93" s="177">
        <f>(F93=R93)*1</f>
        <v>1</v>
      </c>
    </row>
    <row r="94" spans="1:28" s="2" customFormat="1" ht="60">
      <c r="A94"/>
      <c r="B94" s="7"/>
      <c r="C94" s="74"/>
      <c r="D94" s="66"/>
      <c r="E94" s="308"/>
      <c r="F94" s="314" t="s">
        <v>302</v>
      </c>
      <c r="G94" s="315" t="s">
        <v>303</v>
      </c>
      <c r="H94" s="315" t="s">
        <v>304</v>
      </c>
      <c r="I94" s="315" t="s">
        <v>305</v>
      </c>
      <c r="J94" s="315" t="s">
        <v>435</v>
      </c>
      <c r="K94" s="315" t="s">
        <v>272</v>
      </c>
      <c r="L94" s="8"/>
      <c r="M94"/>
      <c r="P94"/>
      <c r="Q94"/>
      <c r="R94" s="296" t="s">
        <v>301</v>
      </c>
      <c r="S94" s="296" t="s">
        <v>302</v>
      </c>
      <c r="T94" s="316" t="s">
        <v>429</v>
      </c>
      <c r="U94" s="296" t="s">
        <v>430</v>
      </c>
      <c r="V94" s="296" t="s">
        <v>428</v>
      </c>
      <c r="W94" s="317" t="s">
        <v>272</v>
      </c>
      <c r="X94" s="296" t="s">
        <v>432</v>
      </c>
      <c r="Y94" s="217" t="s">
        <v>408</v>
      </c>
      <c r="Z94" s="217" t="s">
        <v>436</v>
      </c>
      <c r="AA94" s="296" t="s">
        <v>431</v>
      </c>
      <c r="AB94" s="296"/>
    </row>
    <row r="95" spans="1:28" s="101" customFormat="1" ht="18.75" hidden="1" customHeight="1">
      <c r="A95" s="11"/>
      <c r="B95" s="97"/>
      <c r="C95" s="98"/>
      <c r="D95" s="99"/>
      <c r="E95" s="440"/>
      <c r="F95" s="441"/>
      <c r="G95" s="441"/>
      <c r="H95" s="441"/>
      <c r="I95" s="441"/>
      <c r="J95" s="441"/>
      <c r="K95" s="441"/>
      <c r="L95" s="100"/>
      <c r="M95" s="11"/>
      <c r="Q95" s="11"/>
      <c r="R95" s="131">
        <f>IF(E95="地区代表者",COUNTA($D$1:$D95),0)</f>
        <v>0</v>
      </c>
      <c r="S95" s="131">
        <f t="shared" ref="S95:S96" si="44">IF(F95="実施済",1,0)</f>
        <v>0</v>
      </c>
      <c r="T95" s="260"/>
      <c r="U95" s="131">
        <f t="shared" ref="U95:U96" si="45">IF(AND(H95="実施済",I95="実施済"),S95*1,0)</f>
        <v>0</v>
      </c>
      <c r="V95" s="131">
        <f>IF(J95="実施済",$U95*1,0)</f>
        <v>0</v>
      </c>
      <c r="W95" s="260"/>
      <c r="X95" s="131" t="str">
        <f>IF(E95="","",IF(R95*S95&gt;0,3,SUM(S95,U95,V95)))</f>
        <v/>
      </c>
      <c r="Y95" s="131">
        <f>MIN($X$95:$X$99)+1</f>
        <v>1</v>
      </c>
      <c r="Z95" s="131">
        <f>IF(E95="",1,IF(R95&gt;0,IF(COUNTA($F95:$K95)=2,1,0),IF(COUNTA($F95:$K95)=6,1,0)))</f>
        <v>1</v>
      </c>
      <c r="AA95" s="131" t="str" cm="1">
        <f t="array" ref="AA95">_xlfn.IFS(Y95=4,"A",Y95=3,"B",Y95=2,"C",Y95=1,"D")</f>
        <v>D</v>
      </c>
      <c r="AB95" s="131" t="str" cm="1">
        <f t="array" ref="AB95">_xlfn.IFS(Z95=4,"A",Z95=3,"B",Z95=2,"C",Z95=1,"D")</f>
        <v>D</v>
      </c>
    </row>
    <row r="96" spans="1:28" s="101" customFormat="1" ht="18.75" customHeight="1">
      <c r="A96" s="11"/>
      <c r="B96" s="97"/>
      <c r="C96" s="98"/>
      <c r="D96" s="99"/>
      <c r="E96" s="442" t="s">
        <v>301</v>
      </c>
      <c r="F96" s="443"/>
      <c r="G96" s="846"/>
      <c r="H96" s="846"/>
      <c r="I96" s="846"/>
      <c r="J96" s="846"/>
      <c r="K96" s="443"/>
      <c r="L96" s="100"/>
      <c r="M96" s="11"/>
      <c r="Q96" s="11"/>
      <c r="R96" s="131">
        <f>IF(E96="地区代表者",COUNTA($D$1:$D96),0)</f>
        <v>7</v>
      </c>
      <c r="S96" s="131">
        <f t="shared" si="44"/>
        <v>0</v>
      </c>
      <c r="T96" s="260"/>
      <c r="U96" s="131">
        <f t="shared" si="45"/>
        <v>0</v>
      </c>
      <c r="V96" s="131">
        <f>IF(J96="実施済",$U96*1,0)</f>
        <v>0</v>
      </c>
      <c r="W96" s="260"/>
      <c r="X96" s="131">
        <f t="shared" ref="X96:X99" si="46">IF(E96="","",IF(R96*S96&gt;0,3,SUM(S96,U96,V96)))</f>
        <v>0</v>
      </c>
      <c r="Y96" s="131">
        <f>MIN($X$95:$X$99)+1</f>
        <v>1</v>
      </c>
      <c r="Z96" s="131">
        <f t="shared" ref="Z96:Z99" si="47">IF(E96="",1,IF(R96&gt;0,IF(COUNTA($F96:$K96)=2,1,0),IF(COUNTA($F96:$K96)=6,1,0)))</f>
        <v>0</v>
      </c>
      <c r="AA96" s="131" t="str" cm="1">
        <f t="array" ref="AA96">_xlfn.IFS(Y96=4,"A",Y96=3,"B",Y96=2,"C",Y96=1,"D")</f>
        <v>D</v>
      </c>
      <c r="AB96" s="131"/>
    </row>
    <row r="97" spans="1:28" s="101" customFormat="1" ht="18.75" customHeight="1">
      <c r="A97" s="11"/>
      <c r="B97" s="97"/>
      <c r="C97" s="98"/>
      <c r="D97" s="99"/>
      <c r="E97" s="442" t="s">
        <v>116</v>
      </c>
      <c r="F97" s="443"/>
      <c r="G97" s="443"/>
      <c r="H97" s="443"/>
      <c r="I97" s="443"/>
      <c r="J97" s="443"/>
      <c r="K97" s="443"/>
      <c r="L97" s="100"/>
      <c r="M97" s="11"/>
      <c r="P97" s="11"/>
      <c r="Q97" s="11"/>
      <c r="R97" s="131">
        <f>IF(E97="地区代表者",COUNTA($D$1:$D97),0)</f>
        <v>0</v>
      </c>
      <c r="S97" s="131">
        <f>IF(F97="実施済",1,0)</f>
        <v>0</v>
      </c>
      <c r="T97" s="260"/>
      <c r="U97" s="131">
        <f>IF(AND(H97="実施済",I97="実施済"),S97*1,0)</f>
        <v>0</v>
      </c>
      <c r="V97" s="131">
        <f>IF(J97="実施済",$U97*1,0)</f>
        <v>0</v>
      </c>
      <c r="W97" s="260"/>
      <c r="X97" s="131">
        <f t="shared" si="46"/>
        <v>0</v>
      </c>
      <c r="Y97" s="131">
        <f>MIN($X$95:$X$99)+1</f>
        <v>1</v>
      </c>
      <c r="Z97" s="131">
        <f t="shared" si="47"/>
        <v>0</v>
      </c>
      <c r="AA97" s="131" t="str" cm="1">
        <f t="array" ref="AA97">_xlfn.IFS(Y97=4,"A",Y97=3,"B",Y97=2,"C",Y97=1,"D")</f>
        <v>D</v>
      </c>
      <c r="AB97" s="131"/>
    </row>
    <row r="98" spans="1:28" s="2" customFormat="1" ht="9" customHeight="1">
      <c r="A98"/>
      <c r="B98" s="65"/>
      <c r="C98" s="4"/>
      <c r="D98" s="309"/>
      <c r="E98" s="310"/>
      <c r="F98" s="310"/>
      <c r="G98" s="310"/>
      <c r="H98" s="310"/>
      <c r="I98" s="310"/>
      <c r="J98" s="310"/>
      <c r="K98" s="310"/>
      <c r="L98" s="9"/>
      <c r="M98"/>
      <c r="P98"/>
      <c r="Q98"/>
      <c r="R98" s="217">
        <f>IF(E98="地区代表者",COUNTA($D$1:$D98),0)</f>
        <v>0</v>
      </c>
      <c r="S98" s="217">
        <f t="shared" ref="S98:S99" si="48">IF(F98="実施済",1,0)</f>
        <v>0</v>
      </c>
      <c r="T98" s="318"/>
      <c r="U98" s="217">
        <f t="shared" ref="U98:U99" si="49">IF(AND(H98="実施済",I98="実施済"),S98*1,0)</f>
        <v>0</v>
      </c>
      <c r="V98" s="217">
        <f t="shared" ref="V98:V99" si="50">IF(J98="実施済",$U98*1,0)</f>
        <v>0</v>
      </c>
      <c r="W98" s="318"/>
      <c r="X98" s="217" t="str">
        <f t="shared" si="46"/>
        <v/>
      </c>
      <c r="Y98" s="217">
        <f>MIN($X$95:$X$99)+1</f>
        <v>1</v>
      </c>
      <c r="Z98" s="217">
        <f t="shared" si="47"/>
        <v>1</v>
      </c>
      <c r="AA98" s="217" t="str" cm="1">
        <f t="array" ref="AA98">_xlfn.IFS(Y98=4,"A",Y98=3,"B",Y98=2,"C",Y98=1,"D")</f>
        <v>D</v>
      </c>
      <c r="AB98" s="217"/>
    </row>
    <row r="99" spans="1:28" s="2" customFormat="1" ht="6" customHeight="1">
      <c r="A99"/>
      <c r="B99"/>
      <c r="C99"/>
      <c r="D99" s="311"/>
      <c r="E99" s="312"/>
      <c r="F99" s="312"/>
      <c r="G99" s="312"/>
      <c r="H99" s="312"/>
      <c r="I99" s="312"/>
      <c r="J99" s="312"/>
      <c r="K99" s="312"/>
      <c r="L99"/>
      <c r="M99"/>
      <c r="P99"/>
      <c r="Q99"/>
      <c r="R99" s="217">
        <f>IF(E99="地区代表者",COUNTA($D$1:$D99),0)</f>
        <v>0</v>
      </c>
      <c r="S99" s="217">
        <f t="shared" si="48"/>
        <v>0</v>
      </c>
      <c r="T99" s="318"/>
      <c r="U99" s="217">
        <f t="shared" si="49"/>
        <v>0</v>
      </c>
      <c r="V99" s="217">
        <f t="shared" si="50"/>
        <v>0</v>
      </c>
      <c r="W99" s="318"/>
      <c r="X99" s="217" t="str">
        <f t="shared" si="46"/>
        <v/>
      </c>
      <c r="Y99" s="217">
        <f>MIN($X$95:$X$99)+1</f>
        <v>1</v>
      </c>
      <c r="Z99" s="217">
        <f t="shared" si="47"/>
        <v>1</v>
      </c>
      <c r="AA99" s="217" t="str" cm="1">
        <f t="array" ref="AA99">_xlfn.IFS(Y99=4,"A",Y99=3,"B",Y99=2,"C",Y99=1,"D")</f>
        <v>D</v>
      </c>
      <c r="AB99" s="217"/>
    </row>
    <row r="100" spans="1:28" ht="96" customHeight="1">
      <c r="C100" s="78"/>
      <c r="D100" s="79"/>
      <c r="E100" s="72" t="s">
        <v>238</v>
      </c>
      <c r="F100" s="1057"/>
      <c r="G100" s="1057"/>
      <c r="H100" s="1057"/>
      <c r="I100" s="1057"/>
      <c r="J100" s="1057"/>
      <c r="K100" s="1057"/>
      <c r="L100" s="80" t="s">
        <v>132</v>
      </c>
      <c r="M100" s="292"/>
    </row>
    <row r="101" spans="1:28" ht="96" customHeight="1">
      <c r="C101" s="75"/>
      <c r="D101" s="68"/>
      <c r="E101" s="72" t="s">
        <v>239</v>
      </c>
      <c r="F101" s="1058"/>
      <c r="G101" s="1059"/>
      <c r="H101" s="1059"/>
      <c r="I101" s="1059"/>
      <c r="J101" s="1059"/>
      <c r="K101" s="1060"/>
    </row>
    <row r="102" spans="1:28" ht="18.5" thickBot="1">
      <c r="A102" s="81"/>
      <c r="B102" s="81"/>
      <c r="C102" s="81"/>
      <c r="D102" s="81"/>
      <c r="E102" s="313"/>
      <c r="F102" s="81"/>
      <c r="G102" s="81"/>
      <c r="H102" s="81"/>
      <c r="I102" s="81"/>
      <c r="J102" s="81"/>
      <c r="K102" s="81"/>
      <c r="L102" s="81"/>
      <c r="M102" s="82"/>
    </row>
    <row r="104" spans="1:28" ht="9" customHeight="1">
      <c r="B104" s="10"/>
      <c r="C104" s="5"/>
      <c r="D104" s="5"/>
      <c r="E104" s="307"/>
      <c r="F104" s="5"/>
      <c r="G104" s="5"/>
      <c r="H104" s="5"/>
      <c r="I104" s="5"/>
      <c r="J104" s="5"/>
      <c r="K104" s="5"/>
      <c r="L104" s="6"/>
      <c r="M104"/>
      <c r="N104"/>
      <c r="O104"/>
      <c r="R104" t="str">
        <f>D105</f>
        <v>(選択してください)</v>
      </c>
    </row>
    <row r="105" spans="1:28">
      <c r="B105" s="7"/>
      <c r="C105" s="77" t="str">
        <f ca="1">IFERROR(OFFSET('4.2民生電力需要量'!$C$1,MATCH(D105,'4.2民生電力需要量'!$E:$E,0)-1,0),"")</f>
        <v/>
      </c>
      <c r="D105" s="96" t="s">
        <v>130</v>
      </c>
      <c r="E105" s="72" t="s">
        <v>131</v>
      </c>
      <c r="F105" s="1061" t="str">
        <f ca="1">IFERROR(OFFSET('4.2民生電力需要量'!$G$1,MATCH($D105,'4.2民生電力需要量'!$E:$E,0)-1,0),"")</f>
        <v/>
      </c>
      <c r="G105" s="1061"/>
      <c r="H105" s="1061"/>
      <c r="I105" s="1061"/>
      <c r="J105" s="1061"/>
      <c r="K105" s="1061"/>
      <c r="L105" s="8"/>
      <c r="M105"/>
      <c r="N105"/>
      <c r="O105"/>
      <c r="R105" s="177" t="str">
        <f ca="1">IFERROR(OFFSET('4.2民生電力需要量'!$G$1,MATCH($D105,'4.2民生電力需要量'!$E:$E,0)-1,0),"")</f>
        <v/>
      </c>
      <c r="S105" s="177"/>
      <c r="T105" s="177"/>
      <c r="U105" s="177"/>
      <c r="V105" s="177"/>
      <c r="W105" s="177"/>
      <c r="X105" s="177"/>
      <c r="Y105" s="177"/>
      <c r="Z105" s="177"/>
      <c r="AA105" s="177"/>
      <c r="AB105" s="177">
        <f ca="1">(F105=R105)*1</f>
        <v>1</v>
      </c>
    </row>
    <row r="106" spans="1:28">
      <c r="B106" s="7"/>
      <c r="C106" s="74"/>
      <c r="D106" s="66"/>
      <c r="E106" s="72" t="s">
        <v>221</v>
      </c>
      <c r="F106" s="1062" t="str">
        <f ca="1">IFERROR(OFFSET('4.2民生電力需要量'!$I$1,MATCH($D105,'4.2民生電力需要量'!$E:$E,0)-1,0),"")</f>
        <v/>
      </c>
      <c r="G106" s="1062"/>
      <c r="H106" s="1062"/>
      <c r="I106" s="1062"/>
      <c r="J106" s="1062"/>
      <c r="K106" s="1062"/>
      <c r="L106" s="8"/>
      <c r="M106"/>
      <c r="N106"/>
      <c r="O106"/>
      <c r="R106" s="177" t="str">
        <f ca="1">IFERROR(OFFSET('4.2民生電力需要量'!$I$1,MATCH($D105,'4.2民生電力需要量'!$E:$E,0)-1,0),"")</f>
        <v/>
      </c>
      <c r="S106" s="177"/>
      <c r="T106" s="177"/>
      <c r="U106" s="177"/>
      <c r="V106" s="177"/>
      <c r="W106" s="177"/>
      <c r="X106" s="177"/>
      <c r="Y106" s="177"/>
      <c r="Z106" s="177"/>
      <c r="AA106" s="177"/>
      <c r="AB106" s="177">
        <f ca="1">(F106=R106)*1</f>
        <v>1</v>
      </c>
    </row>
    <row r="107" spans="1:28">
      <c r="B107" s="7"/>
      <c r="C107" s="74"/>
      <c r="D107" s="66"/>
      <c r="E107" s="72" t="s">
        <v>175</v>
      </c>
      <c r="F107" s="1063" t="str">
        <f>_xlfn.IFNA(R107,"")</f>
        <v/>
      </c>
      <c r="G107" s="1063"/>
      <c r="H107" s="1063"/>
      <c r="I107" s="1063"/>
      <c r="J107" s="1063"/>
      <c r="K107" s="1063"/>
      <c r="L107" s="8"/>
      <c r="M107"/>
      <c r="N107"/>
      <c r="O107"/>
      <c r="R107" s="217" t="str">
        <f>IF(PRODUCT($Z109:$Z113)=1,AA109,"")</f>
        <v/>
      </c>
      <c r="S107" s="177"/>
      <c r="T107" s="177"/>
      <c r="U107" s="177"/>
      <c r="V107" s="177"/>
      <c r="W107" s="177"/>
      <c r="X107" s="177"/>
      <c r="Y107" s="177"/>
      <c r="Z107" s="177"/>
      <c r="AA107" s="177"/>
      <c r="AB107" s="177">
        <f>(F107=R107)*1</f>
        <v>1</v>
      </c>
    </row>
    <row r="108" spans="1:28" s="2" customFormat="1" ht="60">
      <c r="A108"/>
      <c r="B108" s="7"/>
      <c r="C108" s="74"/>
      <c r="D108" s="66"/>
      <c r="E108" s="308"/>
      <c r="F108" s="314" t="s">
        <v>302</v>
      </c>
      <c r="G108" s="315" t="s">
        <v>303</v>
      </c>
      <c r="H108" s="315" t="s">
        <v>304</v>
      </c>
      <c r="I108" s="315" t="s">
        <v>305</v>
      </c>
      <c r="J108" s="315" t="s">
        <v>435</v>
      </c>
      <c r="K108" s="315" t="s">
        <v>272</v>
      </c>
      <c r="L108" s="8"/>
      <c r="M108"/>
      <c r="P108"/>
      <c r="Q108"/>
      <c r="R108" s="296" t="s">
        <v>301</v>
      </c>
      <c r="S108" s="296" t="s">
        <v>302</v>
      </c>
      <c r="T108" s="316" t="s">
        <v>429</v>
      </c>
      <c r="U108" s="296" t="s">
        <v>430</v>
      </c>
      <c r="V108" s="296" t="s">
        <v>428</v>
      </c>
      <c r="W108" s="317" t="s">
        <v>272</v>
      </c>
      <c r="X108" s="296" t="s">
        <v>432</v>
      </c>
      <c r="Y108" s="217" t="s">
        <v>408</v>
      </c>
      <c r="Z108" s="217" t="s">
        <v>436</v>
      </c>
      <c r="AA108" s="296" t="s">
        <v>431</v>
      </c>
      <c r="AB108" s="296"/>
    </row>
    <row r="109" spans="1:28" s="101" customFormat="1" ht="18.75" hidden="1" customHeight="1">
      <c r="A109" s="11"/>
      <c r="B109" s="97"/>
      <c r="C109" s="98"/>
      <c r="D109" s="99"/>
      <c r="E109" s="440"/>
      <c r="F109" s="441"/>
      <c r="G109" s="441"/>
      <c r="H109" s="441"/>
      <c r="I109" s="441"/>
      <c r="J109" s="441"/>
      <c r="K109" s="441"/>
      <c r="L109" s="100"/>
      <c r="M109" s="11"/>
      <c r="Q109" s="11"/>
      <c r="R109" s="131">
        <f>IF(E109="地区代表者",COUNTA($D$1:$D109),0)</f>
        <v>0</v>
      </c>
      <c r="S109" s="131">
        <f t="shared" ref="S109:S110" si="51">IF(F109="実施済",1,0)</f>
        <v>0</v>
      </c>
      <c r="T109" s="260"/>
      <c r="U109" s="131">
        <f t="shared" ref="U109:U110" si="52">IF(AND(H109="実施済",I109="実施済"),S109*1,0)</f>
        <v>0</v>
      </c>
      <c r="V109" s="131">
        <f>IF(J109="実施済",$U109*1,0)</f>
        <v>0</v>
      </c>
      <c r="W109" s="260"/>
      <c r="X109" s="131" t="str">
        <f>IF(E109="","",IF(R109*S109&gt;0,3,SUM(S109,U109,V109)))</f>
        <v/>
      </c>
      <c r="Y109" s="131">
        <f>MIN($X$109:$X$113)+1</f>
        <v>1</v>
      </c>
      <c r="Z109" s="131">
        <f>IF(E109="",1,IF(R109&gt;0,IF(COUNTA($F109:$K109)=2,1,0),IF(COUNTA($F109:$K109)=6,1,0)))</f>
        <v>1</v>
      </c>
      <c r="AA109" s="131" t="str" cm="1">
        <f t="array" ref="AA109">_xlfn.IFS(Y109=4,"A",Y109=3,"B",Y109=2,"C",Y109=1,"D")</f>
        <v>D</v>
      </c>
      <c r="AB109" s="131" t="str" cm="1">
        <f t="array" ref="AB109">_xlfn.IFS(Z109=4,"A",Z109=3,"B",Z109=2,"C",Z109=1,"D")</f>
        <v>D</v>
      </c>
    </row>
    <row r="110" spans="1:28" s="101" customFormat="1" ht="18.75" customHeight="1">
      <c r="A110" s="11"/>
      <c r="B110" s="97"/>
      <c r="C110" s="98"/>
      <c r="D110" s="99"/>
      <c r="E110" s="442" t="s">
        <v>301</v>
      </c>
      <c r="F110" s="443"/>
      <c r="G110" s="846"/>
      <c r="H110" s="846"/>
      <c r="I110" s="846"/>
      <c r="J110" s="846"/>
      <c r="K110" s="443"/>
      <c r="L110" s="100"/>
      <c r="M110" s="11"/>
      <c r="Q110" s="11"/>
      <c r="R110" s="131">
        <f>IF(E110="地区代表者",COUNTA($D$1:$D110),0)</f>
        <v>8</v>
      </c>
      <c r="S110" s="131">
        <f t="shared" si="51"/>
        <v>0</v>
      </c>
      <c r="T110" s="260"/>
      <c r="U110" s="131">
        <f t="shared" si="52"/>
        <v>0</v>
      </c>
      <c r="V110" s="131">
        <f>IF(J110="実施済",$U110*1,0)</f>
        <v>0</v>
      </c>
      <c r="W110" s="260"/>
      <c r="X110" s="131">
        <f t="shared" ref="X110:X113" si="53">IF(E110="","",IF(R110*S110&gt;0,3,SUM(S110,U110,V110)))</f>
        <v>0</v>
      </c>
      <c r="Y110" s="131">
        <f>MIN($X$109:$X$113)+1</f>
        <v>1</v>
      </c>
      <c r="Z110" s="131">
        <f t="shared" ref="Z110:Z113" si="54">IF(E110="",1,IF(R110&gt;0,IF(COUNTA($F110:$K110)=2,1,0),IF(COUNTA($F110:$K110)=6,1,0)))</f>
        <v>0</v>
      </c>
      <c r="AA110" s="131" t="str" cm="1">
        <f t="array" ref="AA110">_xlfn.IFS(Y110=4,"A",Y110=3,"B",Y110=2,"C",Y110=1,"D")</f>
        <v>D</v>
      </c>
      <c r="AB110" s="131"/>
    </row>
    <row r="111" spans="1:28" s="101" customFormat="1" ht="18.75" customHeight="1">
      <c r="A111" s="11"/>
      <c r="B111" s="97"/>
      <c r="C111" s="98"/>
      <c r="D111" s="99"/>
      <c r="E111" s="442" t="s">
        <v>116</v>
      </c>
      <c r="F111" s="443"/>
      <c r="G111" s="443"/>
      <c r="H111" s="443"/>
      <c r="I111" s="443"/>
      <c r="J111" s="443"/>
      <c r="K111" s="443"/>
      <c r="L111" s="100"/>
      <c r="M111" s="11"/>
      <c r="P111" s="11"/>
      <c r="Q111" s="11"/>
      <c r="R111" s="131">
        <f>IF(E111="地区代表者",COUNTA($D$1:$D111),0)</f>
        <v>0</v>
      </c>
      <c r="S111" s="131">
        <f>IF(F111="実施済",1,0)</f>
        <v>0</v>
      </c>
      <c r="T111" s="260"/>
      <c r="U111" s="131">
        <f>IF(AND(H111="実施済",I111="実施済"),S111*1,0)</f>
        <v>0</v>
      </c>
      <c r="V111" s="131">
        <f>IF(J111="実施済",$U111*1,0)</f>
        <v>0</v>
      </c>
      <c r="W111" s="260"/>
      <c r="X111" s="131">
        <f t="shared" si="53"/>
        <v>0</v>
      </c>
      <c r="Y111" s="131">
        <f>MIN($X$109:$X$113)+1</f>
        <v>1</v>
      </c>
      <c r="Z111" s="131">
        <f t="shared" si="54"/>
        <v>0</v>
      </c>
      <c r="AA111" s="131" t="str" cm="1">
        <f t="array" ref="AA111">_xlfn.IFS(Y111=4,"A",Y111=3,"B",Y111=2,"C",Y111=1,"D")</f>
        <v>D</v>
      </c>
      <c r="AB111" s="131"/>
    </row>
    <row r="112" spans="1:28" s="2" customFormat="1" ht="9" customHeight="1">
      <c r="A112"/>
      <c r="B112" s="65"/>
      <c r="C112" s="4"/>
      <c r="D112" s="309"/>
      <c r="E112" s="310"/>
      <c r="F112" s="310"/>
      <c r="G112" s="310"/>
      <c r="H112" s="310"/>
      <c r="I112" s="310"/>
      <c r="J112" s="310"/>
      <c r="K112" s="310"/>
      <c r="L112" s="9"/>
      <c r="M112"/>
      <c r="P112"/>
      <c r="Q112"/>
      <c r="R112" s="217">
        <f>IF(E112="地区代表者",COUNTA($D$1:$D112),0)</f>
        <v>0</v>
      </c>
      <c r="S112" s="217">
        <f t="shared" ref="S112:S113" si="55">IF(F112="実施済",1,0)</f>
        <v>0</v>
      </c>
      <c r="T112" s="318"/>
      <c r="U112" s="217">
        <f t="shared" ref="U112:U113" si="56">IF(AND(H112="実施済",I112="実施済"),S112*1,0)</f>
        <v>0</v>
      </c>
      <c r="V112" s="217">
        <f t="shared" ref="V112:V113" si="57">IF(J112="実施済",$U112*1,0)</f>
        <v>0</v>
      </c>
      <c r="W112" s="318"/>
      <c r="X112" s="217" t="str">
        <f t="shared" si="53"/>
        <v/>
      </c>
      <c r="Y112" s="217">
        <f>MIN($X$109:$X$113)+1</f>
        <v>1</v>
      </c>
      <c r="Z112" s="217">
        <f t="shared" si="54"/>
        <v>1</v>
      </c>
      <c r="AA112" s="217" t="str" cm="1">
        <f t="array" ref="AA112">_xlfn.IFS(Y112=4,"A",Y112=3,"B",Y112=2,"C",Y112=1,"D")</f>
        <v>D</v>
      </c>
      <c r="AB112" s="217"/>
    </row>
    <row r="113" spans="1:28" s="2" customFormat="1" ht="6" customHeight="1">
      <c r="A113"/>
      <c r="B113"/>
      <c r="C113"/>
      <c r="D113" s="311"/>
      <c r="E113" s="312"/>
      <c r="F113" s="312"/>
      <c r="G113" s="312"/>
      <c r="H113" s="312"/>
      <c r="I113" s="312"/>
      <c r="J113" s="312"/>
      <c r="K113" s="312"/>
      <c r="L113"/>
      <c r="M113"/>
      <c r="P113"/>
      <c r="Q113"/>
      <c r="R113" s="217">
        <f>IF(E113="地区代表者",COUNTA($D$1:$D113),0)</f>
        <v>0</v>
      </c>
      <c r="S113" s="217">
        <f t="shared" si="55"/>
        <v>0</v>
      </c>
      <c r="T113" s="318"/>
      <c r="U113" s="217">
        <f t="shared" si="56"/>
        <v>0</v>
      </c>
      <c r="V113" s="217">
        <f t="shared" si="57"/>
        <v>0</v>
      </c>
      <c r="W113" s="318"/>
      <c r="X113" s="217" t="str">
        <f t="shared" si="53"/>
        <v/>
      </c>
      <c r="Y113" s="217">
        <f>MIN($X$109:$X$113)+1</f>
        <v>1</v>
      </c>
      <c r="Z113" s="217">
        <f t="shared" si="54"/>
        <v>1</v>
      </c>
      <c r="AA113" s="217" t="str" cm="1">
        <f t="array" ref="AA113">_xlfn.IFS(Y113=4,"A",Y113=3,"B",Y113=2,"C",Y113=1,"D")</f>
        <v>D</v>
      </c>
      <c r="AB113" s="217"/>
    </row>
    <row r="114" spans="1:28" ht="96" customHeight="1">
      <c r="C114" s="78"/>
      <c r="D114" s="79"/>
      <c r="E114" s="72" t="s">
        <v>238</v>
      </c>
      <c r="F114" s="1057"/>
      <c r="G114" s="1057"/>
      <c r="H114" s="1057"/>
      <c r="I114" s="1057"/>
      <c r="J114" s="1057"/>
      <c r="K114" s="1057"/>
      <c r="L114" s="80" t="s">
        <v>132</v>
      </c>
      <c r="M114" s="292"/>
    </row>
    <row r="115" spans="1:28" ht="96" customHeight="1">
      <c r="C115" s="75"/>
      <c r="D115" s="68"/>
      <c r="E115" s="72" t="s">
        <v>239</v>
      </c>
      <c r="F115" s="1058"/>
      <c r="G115" s="1059"/>
      <c r="H115" s="1059"/>
      <c r="I115" s="1059"/>
      <c r="J115" s="1059"/>
      <c r="K115" s="1060"/>
    </row>
    <row r="116" spans="1:28" ht="18.5" thickBot="1">
      <c r="A116" s="81"/>
      <c r="B116" s="81"/>
      <c r="C116" s="81"/>
      <c r="D116" s="81"/>
      <c r="E116" s="313"/>
      <c r="F116" s="81"/>
      <c r="G116" s="81"/>
      <c r="H116" s="81"/>
      <c r="I116" s="81"/>
      <c r="J116" s="81"/>
      <c r="K116" s="81"/>
      <c r="L116" s="81"/>
      <c r="M116" s="82"/>
    </row>
    <row r="118" spans="1:28" ht="9" customHeight="1">
      <c r="B118" s="10"/>
      <c r="C118" s="5"/>
      <c r="D118" s="5"/>
      <c r="E118" s="307"/>
      <c r="F118" s="5"/>
      <c r="G118" s="5"/>
      <c r="H118" s="5"/>
      <c r="I118" s="5"/>
      <c r="J118" s="5"/>
      <c r="K118" s="5"/>
      <c r="L118" s="6"/>
      <c r="M118"/>
      <c r="N118"/>
      <c r="O118"/>
      <c r="R118" t="str">
        <f>D119</f>
        <v>(選択してください)</v>
      </c>
    </row>
    <row r="119" spans="1:28">
      <c r="B119" s="7"/>
      <c r="C119" s="77" t="str">
        <f ca="1">IFERROR(OFFSET('4.2民生電力需要量'!$C$1,MATCH(D119,'4.2民生電力需要量'!$E:$E,0)-1,0),"")</f>
        <v/>
      </c>
      <c r="D119" s="96" t="s">
        <v>130</v>
      </c>
      <c r="E119" s="72" t="s">
        <v>131</v>
      </c>
      <c r="F119" s="1061" t="str">
        <f ca="1">IFERROR(OFFSET('4.2民生電力需要量'!$G$1,MATCH($D119,'4.2民生電力需要量'!$E:$E,0)-1,0),"")</f>
        <v/>
      </c>
      <c r="G119" s="1061"/>
      <c r="H119" s="1061"/>
      <c r="I119" s="1061"/>
      <c r="J119" s="1061"/>
      <c r="K119" s="1061"/>
      <c r="L119" s="8"/>
      <c r="M119"/>
      <c r="N119"/>
      <c r="O119"/>
      <c r="R119" s="177" t="str">
        <f ca="1">IFERROR(OFFSET('4.2民生電力需要量'!$G$1,MATCH($D119,'4.2民生電力需要量'!$E:$E,0)-1,0),"")</f>
        <v/>
      </c>
      <c r="S119" s="177"/>
      <c r="T119" s="177"/>
      <c r="U119" s="177"/>
      <c r="V119" s="177"/>
      <c r="W119" s="177"/>
      <c r="X119" s="177"/>
      <c r="Y119" s="177"/>
      <c r="Z119" s="177"/>
      <c r="AA119" s="177"/>
      <c r="AB119" s="177">
        <f ca="1">(F119=R119)*1</f>
        <v>1</v>
      </c>
    </row>
    <row r="120" spans="1:28">
      <c r="B120" s="7"/>
      <c r="C120" s="74"/>
      <c r="D120" s="66"/>
      <c r="E120" s="72" t="s">
        <v>221</v>
      </c>
      <c r="F120" s="1062" t="str">
        <f ca="1">IFERROR(OFFSET('4.2民生電力需要量'!$I$1,MATCH($D119,'4.2民生電力需要量'!$E:$E,0)-1,0),"")</f>
        <v/>
      </c>
      <c r="G120" s="1062"/>
      <c r="H120" s="1062"/>
      <c r="I120" s="1062"/>
      <c r="J120" s="1062"/>
      <c r="K120" s="1062"/>
      <c r="L120" s="8"/>
      <c r="M120"/>
      <c r="N120"/>
      <c r="O120"/>
      <c r="R120" s="177" t="str">
        <f ca="1">IFERROR(OFFSET('4.2民生電力需要量'!$I$1,MATCH($D119,'4.2民生電力需要量'!$E:$E,0)-1,0),"")</f>
        <v/>
      </c>
      <c r="S120" s="177"/>
      <c r="T120" s="177"/>
      <c r="U120" s="177"/>
      <c r="V120" s="177"/>
      <c r="W120" s="177"/>
      <c r="X120" s="177"/>
      <c r="Y120" s="177"/>
      <c r="Z120" s="177"/>
      <c r="AA120" s="177"/>
      <c r="AB120" s="177">
        <f ca="1">(F120=R120)*1</f>
        <v>1</v>
      </c>
    </row>
    <row r="121" spans="1:28">
      <c r="B121" s="7"/>
      <c r="C121" s="74"/>
      <c r="D121" s="66"/>
      <c r="E121" s="72" t="s">
        <v>175</v>
      </c>
      <c r="F121" s="1063" t="str">
        <f>_xlfn.IFNA(R121,"")</f>
        <v/>
      </c>
      <c r="G121" s="1063"/>
      <c r="H121" s="1063"/>
      <c r="I121" s="1063"/>
      <c r="J121" s="1063"/>
      <c r="K121" s="1063"/>
      <c r="L121" s="8"/>
      <c r="M121"/>
      <c r="N121"/>
      <c r="O121"/>
      <c r="R121" s="217" t="str">
        <f>IF(PRODUCT($Z123:$Z127)=1,AA123,"")</f>
        <v/>
      </c>
      <c r="S121" s="177"/>
      <c r="T121" s="177"/>
      <c r="U121" s="177"/>
      <c r="V121" s="177"/>
      <c r="W121" s="177"/>
      <c r="X121" s="177"/>
      <c r="Y121" s="177"/>
      <c r="Z121" s="177"/>
      <c r="AA121" s="177"/>
      <c r="AB121" s="177">
        <f>(F121=R121)*1</f>
        <v>1</v>
      </c>
    </row>
    <row r="122" spans="1:28" s="2" customFormat="1" ht="60">
      <c r="A122"/>
      <c r="B122" s="7"/>
      <c r="C122" s="74"/>
      <c r="D122" s="66"/>
      <c r="E122" s="308"/>
      <c r="F122" s="314" t="s">
        <v>302</v>
      </c>
      <c r="G122" s="315" t="s">
        <v>303</v>
      </c>
      <c r="H122" s="315" t="s">
        <v>304</v>
      </c>
      <c r="I122" s="315" t="s">
        <v>305</v>
      </c>
      <c r="J122" s="315" t="s">
        <v>435</v>
      </c>
      <c r="K122" s="315" t="s">
        <v>272</v>
      </c>
      <c r="L122" s="8"/>
      <c r="M122"/>
      <c r="P122"/>
      <c r="Q122"/>
      <c r="R122" s="296" t="s">
        <v>301</v>
      </c>
      <c r="S122" s="296" t="s">
        <v>302</v>
      </c>
      <c r="T122" s="316" t="s">
        <v>429</v>
      </c>
      <c r="U122" s="296" t="s">
        <v>430</v>
      </c>
      <c r="V122" s="296" t="s">
        <v>428</v>
      </c>
      <c r="W122" s="317" t="s">
        <v>272</v>
      </c>
      <c r="X122" s="296" t="s">
        <v>432</v>
      </c>
      <c r="Y122" s="217" t="s">
        <v>408</v>
      </c>
      <c r="Z122" s="217" t="s">
        <v>436</v>
      </c>
      <c r="AA122" s="296" t="s">
        <v>431</v>
      </c>
      <c r="AB122" s="296"/>
    </row>
    <row r="123" spans="1:28" s="101" customFormat="1" ht="18.75" hidden="1" customHeight="1">
      <c r="A123" s="11"/>
      <c r="B123" s="97"/>
      <c r="C123" s="98"/>
      <c r="D123" s="99"/>
      <c r="E123" s="440"/>
      <c r="F123" s="441"/>
      <c r="G123" s="441"/>
      <c r="H123" s="441"/>
      <c r="I123" s="441"/>
      <c r="J123" s="441"/>
      <c r="K123" s="441"/>
      <c r="L123" s="100"/>
      <c r="M123" s="11"/>
      <c r="Q123" s="11"/>
      <c r="R123" s="131">
        <f>IF(E123="地区代表者",COUNTA($D$1:$D123),0)</f>
        <v>0</v>
      </c>
      <c r="S123" s="131">
        <f t="shared" ref="S123:S124" si="58">IF(F123="実施済",1,0)</f>
        <v>0</v>
      </c>
      <c r="T123" s="260"/>
      <c r="U123" s="131">
        <f t="shared" ref="U123:U124" si="59">IF(AND(H123="実施済",I123="実施済"),S123*1,0)</f>
        <v>0</v>
      </c>
      <c r="V123" s="131">
        <f>IF(J123="実施済",$U123*1,0)</f>
        <v>0</v>
      </c>
      <c r="W123" s="260"/>
      <c r="X123" s="131" t="str">
        <f>IF(E123="","",IF(R123*S123&gt;0,3,SUM(S123,U123,V123)))</f>
        <v/>
      </c>
      <c r="Y123" s="131">
        <f>MIN($X$123:$X$127)+1</f>
        <v>1</v>
      </c>
      <c r="Z123" s="131">
        <f>IF(E123="",1,IF(R123&gt;0,IF(COUNTA($F123:$K123)=2,1,0),IF(COUNTA($F123:$K123)=6,1,0)))</f>
        <v>1</v>
      </c>
      <c r="AA123" s="131" t="str" cm="1">
        <f t="array" ref="AA123">_xlfn.IFS(Y123=4,"A",Y123=3,"B",Y123=2,"C",Y123=1,"D")</f>
        <v>D</v>
      </c>
      <c r="AB123" s="131" t="str" cm="1">
        <f t="array" ref="AB123">_xlfn.IFS(Z123=4,"A",Z123=3,"B",Z123=2,"C",Z123=1,"D")</f>
        <v>D</v>
      </c>
    </row>
    <row r="124" spans="1:28" s="101" customFormat="1" ht="18.75" customHeight="1">
      <c r="A124" s="11"/>
      <c r="B124" s="97"/>
      <c r="C124" s="98"/>
      <c r="D124" s="99"/>
      <c r="E124" s="442" t="s">
        <v>301</v>
      </c>
      <c r="F124" s="443"/>
      <c r="G124" s="846"/>
      <c r="H124" s="846"/>
      <c r="I124" s="846"/>
      <c r="J124" s="846"/>
      <c r="K124" s="443"/>
      <c r="L124" s="100"/>
      <c r="M124" s="11"/>
      <c r="Q124" s="11"/>
      <c r="R124" s="131">
        <f>IF(E124="地区代表者",COUNTA($D$1:$D124),0)</f>
        <v>9</v>
      </c>
      <c r="S124" s="131">
        <f t="shared" si="58"/>
        <v>0</v>
      </c>
      <c r="T124" s="260"/>
      <c r="U124" s="131">
        <f t="shared" si="59"/>
        <v>0</v>
      </c>
      <c r="V124" s="131">
        <f>IF(J124="実施済",$U124*1,0)</f>
        <v>0</v>
      </c>
      <c r="W124" s="260"/>
      <c r="X124" s="131">
        <f t="shared" ref="X124:X127" si="60">IF(E124="","",IF(R124*S124&gt;0,3,SUM(S124,U124,V124)))</f>
        <v>0</v>
      </c>
      <c r="Y124" s="131">
        <f>MIN($X$123:$X$127)+1</f>
        <v>1</v>
      </c>
      <c r="Z124" s="131">
        <f t="shared" ref="Z124:Z127" si="61">IF(E124="",1,IF(R124&gt;0,IF(COUNTA($F124:$K124)=2,1,0),IF(COUNTA($F124:$K124)=6,1,0)))</f>
        <v>0</v>
      </c>
      <c r="AA124" s="131" t="str" cm="1">
        <f t="array" ref="AA124">_xlfn.IFS(Y124=4,"A",Y124=3,"B",Y124=2,"C",Y124=1,"D")</f>
        <v>D</v>
      </c>
      <c r="AB124" s="131"/>
    </row>
    <row r="125" spans="1:28" s="101" customFormat="1" ht="18.75" customHeight="1">
      <c r="A125" s="11"/>
      <c r="B125" s="97"/>
      <c r="C125" s="98"/>
      <c r="D125" s="99"/>
      <c r="E125" s="442" t="s">
        <v>116</v>
      </c>
      <c r="F125" s="443"/>
      <c r="G125" s="443"/>
      <c r="H125" s="443"/>
      <c r="I125" s="443"/>
      <c r="J125" s="443"/>
      <c r="K125" s="443"/>
      <c r="L125" s="100"/>
      <c r="M125" s="11"/>
      <c r="P125" s="11"/>
      <c r="Q125" s="11"/>
      <c r="R125" s="131">
        <f>IF(E125="地区代表者",COUNTA($D$1:$D125),0)</f>
        <v>0</v>
      </c>
      <c r="S125" s="131">
        <f>IF(F125="実施済",1,0)</f>
        <v>0</v>
      </c>
      <c r="T125" s="260"/>
      <c r="U125" s="131">
        <f>IF(AND(H125="実施済",I125="実施済"),S125*1,0)</f>
        <v>0</v>
      </c>
      <c r="V125" s="131">
        <f>IF(J125="実施済",$U125*1,0)</f>
        <v>0</v>
      </c>
      <c r="W125" s="260"/>
      <c r="X125" s="131">
        <f t="shared" si="60"/>
        <v>0</v>
      </c>
      <c r="Y125" s="131">
        <f>MIN($X$123:$X$127)+1</f>
        <v>1</v>
      </c>
      <c r="Z125" s="131">
        <f t="shared" si="61"/>
        <v>0</v>
      </c>
      <c r="AA125" s="131" t="str" cm="1">
        <f t="array" ref="AA125">_xlfn.IFS(Y125=4,"A",Y125=3,"B",Y125=2,"C",Y125=1,"D")</f>
        <v>D</v>
      </c>
      <c r="AB125" s="131"/>
    </row>
    <row r="126" spans="1:28" s="2" customFormat="1" ht="9" customHeight="1">
      <c r="A126"/>
      <c r="B126" s="65"/>
      <c r="C126" s="4"/>
      <c r="D126" s="309"/>
      <c r="E126" s="310"/>
      <c r="F126" s="310"/>
      <c r="G126" s="310"/>
      <c r="H126" s="310"/>
      <c r="I126" s="310"/>
      <c r="J126" s="310"/>
      <c r="K126" s="310"/>
      <c r="L126" s="9"/>
      <c r="M126"/>
      <c r="P126"/>
      <c r="Q126"/>
      <c r="R126" s="217">
        <f>IF(E126="地区代表者",COUNTA($D$1:$D126),0)</f>
        <v>0</v>
      </c>
      <c r="S126" s="217">
        <f t="shared" ref="S126:S127" si="62">IF(F126="実施済",1,0)</f>
        <v>0</v>
      </c>
      <c r="T126" s="318"/>
      <c r="U126" s="217">
        <f t="shared" ref="U126:U127" si="63">IF(AND(H126="実施済",I126="実施済"),S126*1,0)</f>
        <v>0</v>
      </c>
      <c r="V126" s="217">
        <f t="shared" ref="V126:V127" si="64">IF(J126="実施済",$U126*1,0)</f>
        <v>0</v>
      </c>
      <c r="W126" s="318"/>
      <c r="X126" s="217" t="str">
        <f t="shared" si="60"/>
        <v/>
      </c>
      <c r="Y126" s="217">
        <f>MIN($X$123:$X$127)+1</f>
        <v>1</v>
      </c>
      <c r="Z126" s="217">
        <f t="shared" si="61"/>
        <v>1</v>
      </c>
      <c r="AA126" s="217" t="str" cm="1">
        <f t="array" ref="AA126">_xlfn.IFS(Y126=4,"A",Y126=3,"B",Y126=2,"C",Y126=1,"D")</f>
        <v>D</v>
      </c>
      <c r="AB126" s="217"/>
    </row>
    <row r="127" spans="1:28" s="2" customFormat="1" ht="6" customHeight="1">
      <c r="A127"/>
      <c r="B127"/>
      <c r="C127"/>
      <c r="D127" s="311"/>
      <c r="E127" s="312"/>
      <c r="F127" s="312"/>
      <c r="G127" s="312"/>
      <c r="H127" s="312"/>
      <c r="I127" s="312"/>
      <c r="J127" s="312"/>
      <c r="K127" s="312"/>
      <c r="L127"/>
      <c r="M127"/>
      <c r="P127"/>
      <c r="Q127"/>
      <c r="R127" s="217">
        <f>IF(E127="地区代表者",COUNTA($D$1:$D127),0)</f>
        <v>0</v>
      </c>
      <c r="S127" s="217">
        <f t="shared" si="62"/>
        <v>0</v>
      </c>
      <c r="T127" s="318"/>
      <c r="U127" s="217">
        <f t="shared" si="63"/>
        <v>0</v>
      </c>
      <c r="V127" s="217">
        <f t="shared" si="64"/>
        <v>0</v>
      </c>
      <c r="W127" s="318"/>
      <c r="X127" s="217" t="str">
        <f t="shared" si="60"/>
        <v/>
      </c>
      <c r="Y127" s="217">
        <f>MIN($X$123:$X$127)+1</f>
        <v>1</v>
      </c>
      <c r="Z127" s="217">
        <f t="shared" si="61"/>
        <v>1</v>
      </c>
      <c r="AA127" s="217" t="str" cm="1">
        <f t="array" ref="AA127">_xlfn.IFS(Y127=4,"A",Y127=3,"B",Y127=2,"C",Y127=1,"D")</f>
        <v>D</v>
      </c>
      <c r="AB127" s="217"/>
    </row>
    <row r="128" spans="1:28" ht="96" customHeight="1">
      <c r="C128" s="78"/>
      <c r="D128" s="79"/>
      <c r="E128" s="72" t="s">
        <v>238</v>
      </c>
      <c r="F128" s="1057"/>
      <c r="G128" s="1057"/>
      <c r="H128" s="1057"/>
      <c r="I128" s="1057"/>
      <c r="J128" s="1057"/>
      <c r="K128" s="1057"/>
      <c r="L128" s="80" t="s">
        <v>132</v>
      </c>
      <c r="M128" s="292"/>
    </row>
    <row r="129" spans="1:28" ht="96" customHeight="1">
      <c r="C129" s="75"/>
      <c r="D129" s="68"/>
      <c r="E129" s="72" t="s">
        <v>239</v>
      </c>
      <c r="F129" s="1058"/>
      <c r="G129" s="1059"/>
      <c r="H129" s="1059"/>
      <c r="I129" s="1059"/>
      <c r="J129" s="1059"/>
      <c r="K129" s="1060"/>
    </row>
    <row r="130" spans="1:28" ht="18.5" thickBot="1">
      <c r="A130" s="81"/>
      <c r="B130" s="81"/>
      <c r="C130" s="81"/>
      <c r="D130" s="81"/>
      <c r="E130" s="313"/>
      <c r="F130" s="81"/>
      <c r="G130" s="81"/>
      <c r="H130" s="81"/>
      <c r="I130" s="81"/>
      <c r="J130" s="81"/>
      <c r="K130" s="81"/>
      <c r="L130" s="81"/>
      <c r="M130" s="82"/>
    </row>
    <row r="132" spans="1:28" ht="9" customHeight="1">
      <c r="B132" s="10"/>
      <c r="C132" s="5"/>
      <c r="D132" s="5"/>
      <c r="E132" s="307"/>
      <c r="F132" s="5"/>
      <c r="G132" s="5"/>
      <c r="H132" s="5"/>
      <c r="I132" s="5"/>
      <c r="J132" s="5"/>
      <c r="K132" s="5"/>
      <c r="L132" s="6"/>
      <c r="M132"/>
      <c r="N132"/>
      <c r="O132"/>
      <c r="R132" t="str">
        <f>D133</f>
        <v>(選択してください)</v>
      </c>
    </row>
    <row r="133" spans="1:28">
      <c r="B133" s="7"/>
      <c r="C133" s="77" t="str">
        <f ca="1">IFERROR(OFFSET('4.2民生電力需要量'!$C$1,MATCH(D133,'4.2民生電力需要量'!$E:$E,0)-1,0),"")</f>
        <v/>
      </c>
      <c r="D133" s="96" t="s">
        <v>130</v>
      </c>
      <c r="E133" s="72" t="s">
        <v>131</v>
      </c>
      <c r="F133" s="1061" t="str">
        <f ca="1">IFERROR(OFFSET('4.2民生電力需要量'!$G$1,MATCH($D133,'4.2民生電力需要量'!$E:$E,0)-1,0),"")</f>
        <v/>
      </c>
      <c r="G133" s="1061"/>
      <c r="H133" s="1061"/>
      <c r="I133" s="1061"/>
      <c r="J133" s="1061"/>
      <c r="K133" s="1061"/>
      <c r="L133" s="8"/>
      <c r="M133"/>
      <c r="N133"/>
      <c r="O133"/>
      <c r="R133" s="177" t="str">
        <f ca="1">IFERROR(OFFSET('4.2民生電力需要量'!$G$1,MATCH($D133,'4.2民生電力需要量'!$E:$E,0)-1,0),"")</f>
        <v/>
      </c>
      <c r="S133" s="177"/>
      <c r="T133" s="177"/>
      <c r="U133" s="177"/>
      <c r="V133" s="177"/>
      <c r="W133" s="177"/>
      <c r="X133" s="177"/>
      <c r="Y133" s="177"/>
      <c r="Z133" s="177"/>
      <c r="AA133" s="177"/>
      <c r="AB133" s="177">
        <f ca="1">(F133=R133)*1</f>
        <v>1</v>
      </c>
    </row>
    <row r="134" spans="1:28">
      <c r="B134" s="7"/>
      <c r="C134" s="74"/>
      <c r="D134" s="66"/>
      <c r="E134" s="72" t="s">
        <v>221</v>
      </c>
      <c r="F134" s="1062" t="str">
        <f ca="1">IFERROR(OFFSET('4.2民生電力需要量'!$I$1,MATCH($D133,'4.2民生電力需要量'!$E:$E,0)-1,0),"")</f>
        <v/>
      </c>
      <c r="G134" s="1062"/>
      <c r="H134" s="1062"/>
      <c r="I134" s="1062"/>
      <c r="J134" s="1062"/>
      <c r="K134" s="1062"/>
      <c r="L134" s="8"/>
      <c r="M134"/>
      <c r="N134"/>
      <c r="O134"/>
      <c r="R134" s="177" t="str">
        <f ca="1">IFERROR(OFFSET('4.2民生電力需要量'!$I$1,MATCH($D133,'4.2民生電力需要量'!$E:$E,0)-1,0),"")</f>
        <v/>
      </c>
      <c r="S134" s="177"/>
      <c r="T134" s="177"/>
      <c r="U134" s="177"/>
      <c r="V134" s="177"/>
      <c r="W134" s="177"/>
      <c r="X134" s="177"/>
      <c r="Y134" s="177"/>
      <c r="Z134" s="177"/>
      <c r="AA134" s="177"/>
      <c r="AB134" s="177">
        <f ca="1">(F134=R134)*1</f>
        <v>1</v>
      </c>
    </row>
    <row r="135" spans="1:28">
      <c r="B135" s="7"/>
      <c r="C135" s="74"/>
      <c r="D135" s="66"/>
      <c r="E135" s="72" t="s">
        <v>175</v>
      </c>
      <c r="F135" s="1063" t="str">
        <f>_xlfn.IFNA(R135,"")</f>
        <v/>
      </c>
      <c r="G135" s="1063"/>
      <c r="H135" s="1063"/>
      <c r="I135" s="1063"/>
      <c r="J135" s="1063"/>
      <c r="K135" s="1063"/>
      <c r="L135" s="8"/>
      <c r="M135"/>
      <c r="N135"/>
      <c r="O135"/>
      <c r="R135" s="217" t="str">
        <f>IF(PRODUCT($Z137:$Z141)=1,AA137,"")</f>
        <v/>
      </c>
      <c r="S135" s="177"/>
      <c r="T135" s="177"/>
      <c r="U135" s="177"/>
      <c r="V135" s="177"/>
      <c r="W135" s="177"/>
      <c r="X135" s="177"/>
      <c r="Y135" s="177"/>
      <c r="Z135" s="177"/>
      <c r="AA135" s="177"/>
      <c r="AB135" s="177">
        <f>(F135=R135)*1</f>
        <v>1</v>
      </c>
    </row>
    <row r="136" spans="1:28" s="2" customFormat="1" ht="60">
      <c r="A136"/>
      <c r="B136" s="7"/>
      <c r="C136" s="74"/>
      <c r="D136" s="66"/>
      <c r="E136" s="308"/>
      <c r="F136" s="314" t="s">
        <v>302</v>
      </c>
      <c r="G136" s="315" t="s">
        <v>303</v>
      </c>
      <c r="H136" s="315" t="s">
        <v>304</v>
      </c>
      <c r="I136" s="315" t="s">
        <v>305</v>
      </c>
      <c r="J136" s="315" t="s">
        <v>435</v>
      </c>
      <c r="K136" s="315" t="s">
        <v>272</v>
      </c>
      <c r="L136" s="8"/>
      <c r="M136"/>
      <c r="P136"/>
      <c r="Q136"/>
      <c r="R136" s="296" t="s">
        <v>301</v>
      </c>
      <c r="S136" s="296" t="s">
        <v>302</v>
      </c>
      <c r="T136" s="316" t="s">
        <v>429</v>
      </c>
      <c r="U136" s="296" t="s">
        <v>430</v>
      </c>
      <c r="V136" s="296" t="s">
        <v>428</v>
      </c>
      <c r="W136" s="317" t="s">
        <v>272</v>
      </c>
      <c r="X136" s="296" t="s">
        <v>432</v>
      </c>
      <c r="Y136" s="217" t="s">
        <v>408</v>
      </c>
      <c r="Z136" s="217" t="s">
        <v>436</v>
      </c>
      <c r="AA136" s="296" t="s">
        <v>431</v>
      </c>
      <c r="AB136" s="296"/>
    </row>
    <row r="137" spans="1:28" s="101" customFormat="1" ht="18.75" hidden="1" customHeight="1">
      <c r="A137" s="11"/>
      <c r="B137" s="97"/>
      <c r="C137" s="98"/>
      <c r="D137" s="99"/>
      <c r="E137" s="440"/>
      <c r="F137" s="441"/>
      <c r="G137" s="441"/>
      <c r="H137" s="441"/>
      <c r="I137" s="441"/>
      <c r="J137" s="441"/>
      <c r="K137" s="441"/>
      <c r="L137" s="100"/>
      <c r="M137" s="11"/>
      <c r="Q137" s="11"/>
      <c r="R137" s="131">
        <f>IF(E137="地区代表者",COUNTA($D$1:$D137),0)</f>
        <v>0</v>
      </c>
      <c r="S137" s="131">
        <f t="shared" ref="S137:S138" si="65">IF(F137="実施済",1,0)</f>
        <v>0</v>
      </c>
      <c r="T137" s="260"/>
      <c r="U137" s="131">
        <f t="shared" ref="U137:U138" si="66">IF(AND(H137="実施済",I137="実施済"),S137*1,0)</f>
        <v>0</v>
      </c>
      <c r="V137" s="131">
        <f>IF(J137="実施済",$U137*1,0)</f>
        <v>0</v>
      </c>
      <c r="W137" s="260"/>
      <c r="X137" s="131" t="str">
        <f>IF(E137="","",IF(R137*S137&gt;0,3,SUM(S137,U137,V137)))</f>
        <v/>
      </c>
      <c r="Y137" s="131">
        <f>MIN($X$137:$X$141)+1</f>
        <v>1</v>
      </c>
      <c r="Z137" s="131">
        <f>IF(E137="",1,IF(R137&gt;0,IF(COUNTA($F137:$K137)=2,1,0),IF(COUNTA($F137:$K137)=6,1,0)))</f>
        <v>1</v>
      </c>
      <c r="AA137" s="131" t="str" cm="1">
        <f t="array" ref="AA137">_xlfn.IFS(Y137=4,"A",Y137=3,"B",Y137=2,"C",Y137=1,"D")</f>
        <v>D</v>
      </c>
      <c r="AB137" s="131" t="str" cm="1">
        <f t="array" ref="AB137">_xlfn.IFS(Z137=4,"A",Z137=3,"B",Z137=2,"C",Z137=1,"D")</f>
        <v>D</v>
      </c>
    </row>
    <row r="138" spans="1:28" s="101" customFormat="1" ht="18.75" customHeight="1">
      <c r="A138" s="11"/>
      <c r="B138" s="97"/>
      <c r="C138" s="98"/>
      <c r="D138" s="99"/>
      <c r="E138" s="442" t="s">
        <v>301</v>
      </c>
      <c r="F138" s="443"/>
      <c r="G138" s="846"/>
      <c r="H138" s="846"/>
      <c r="I138" s="846"/>
      <c r="J138" s="846"/>
      <c r="K138" s="443"/>
      <c r="L138" s="100"/>
      <c r="M138" s="11"/>
      <c r="Q138" s="11"/>
      <c r="R138" s="131">
        <f>IF(E138="地区代表者",COUNTA($D$1:$D138),0)</f>
        <v>10</v>
      </c>
      <c r="S138" s="131">
        <f t="shared" si="65"/>
        <v>0</v>
      </c>
      <c r="T138" s="260"/>
      <c r="U138" s="131">
        <f t="shared" si="66"/>
        <v>0</v>
      </c>
      <c r="V138" s="131">
        <f>IF(J138="実施済",$U138*1,0)</f>
        <v>0</v>
      </c>
      <c r="W138" s="260"/>
      <c r="X138" s="131">
        <f t="shared" ref="X138:X141" si="67">IF(E138="","",IF(R138*S138&gt;0,3,SUM(S138,U138,V138)))</f>
        <v>0</v>
      </c>
      <c r="Y138" s="131">
        <f>MIN($X$137:$X$141)+1</f>
        <v>1</v>
      </c>
      <c r="Z138" s="131">
        <f t="shared" ref="Z138:Z141" si="68">IF(E138="",1,IF(R138&gt;0,IF(COUNTA($F138:$K138)=2,1,0),IF(COUNTA($F138:$K138)=6,1,0)))</f>
        <v>0</v>
      </c>
      <c r="AA138" s="131" t="str" cm="1">
        <f t="array" ref="AA138">_xlfn.IFS(Y138=4,"A",Y138=3,"B",Y138=2,"C",Y138=1,"D")</f>
        <v>D</v>
      </c>
      <c r="AB138" s="131"/>
    </row>
    <row r="139" spans="1:28" s="101" customFormat="1" ht="18.75" customHeight="1">
      <c r="A139" s="11"/>
      <c r="B139" s="97"/>
      <c r="C139" s="98"/>
      <c r="D139" s="99"/>
      <c r="E139" s="442" t="s">
        <v>116</v>
      </c>
      <c r="F139" s="443"/>
      <c r="G139" s="443"/>
      <c r="H139" s="443"/>
      <c r="I139" s="443"/>
      <c r="J139" s="443"/>
      <c r="K139" s="443"/>
      <c r="L139" s="100"/>
      <c r="M139" s="11"/>
      <c r="P139" s="11"/>
      <c r="Q139" s="11"/>
      <c r="R139" s="131">
        <f>IF(E139="地区代表者",COUNTA($D$1:$D139),0)</f>
        <v>0</v>
      </c>
      <c r="S139" s="131">
        <f>IF(F139="実施済",1,0)</f>
        <v>0</v>
      </c>
      <c r="T139" s="260"/>
      <c r="U139" s="131">
        <f>IF(AND(H139="実施済",I139="実施済"),S139*1,0)</f>
        <v>0</v>
      </c>
      <c r="V139" s="131">
        <f>IF(J139="実施済",$U139*1,0)</f>
        <v>0</v>
      </c>
      <c r="W139" s="260"/>
      <c r="X139" s="131">
        <f t="shared" si="67"/>
        <v>0</v>
      </c>
      <c r="Y139" s="131">
        <f>MIN($X$137:$X$141)+1</f>
        <v>1</v>
      </c>
      <c r="Z139" s="131">
        <f t="shared" si="68"/>
        <v>0</v>
      </c>
      <c r="AA139" s="131" t="str" cm="1">
        <f t="array" ref="AA139">_xlfn.IFS(Y139=4,"A",Y139=3,"B",Y139=2,"C",Y139=1,"D")</f>
        <v>D</v>
      </c>
      <c r="AB139" s="131"/>
    </row>
    <row r="140" spans="1:28" s="2" customFormat="1" ht="9" customHeight="1">
      <c r="A140"/>
      <c r="B140" s="65"/>
      <c r="C140" s="4"/>
      <c r="D140" s="309"/>
      <c r="E140" s="310"/>
      <c r="F140" s="310"/>
      <c r="G140" s="310"/>
      <c r="H140" s="310"/>
      <c r="I140" s="310"/>
      <c r="J140" s="310"/>
      <c r="K140" s="310"/>
      <c r="L140" s="9"/>
      <c r="M140"/>
      <c r="P140"/>
      <c r="Q140"/>
      <c r="R140" s="217">
        <f>IF(E140="地区代表者",COUNTA($D$1:$D140),0)</f>
        <v>0</v>
      </c>
      <c r="S140" s="217">
        <f t="shared" ref="S140:S141" si="69">IF(F140="実施済",1,0)</f>
        <v>0</v>
      </c>
      <c r="T140" s="318"/>
      <c r="U140" s="217">
        <f t="shared" ref="U140:U141" si="70">IF(AND(H140="実施済",I140="実施済"),S140*1,0)</f>
        <v>0</v>
      </c>
      <c r="V140" s="217">
        <f t="shared" ref="V140:V141" si="71">IF(J140="実施済",$U140*1,0)</f>
        <v>0</v>
      </c>
      <c r="W140" s="318"/>
      <c r="X140" s="217" t="str">
        <f t="shared" si="67"/>
        <v/>
      </c>
      <c r="Y140" s="217">
        <f>MIN($X$137:$X$141)+1</f>
        <v>1</v>
      </c>
      <c r="Z140" s="217">
        <f t="shared" si="68"/>
        <v>1</v>
      </c>
      <c r="AA140" s="217" t="str" cm="1">
        <f t="array" ref="AA140">_xlfn.IFS(Y140=4,"A",Y140=3,"B",Y140=2,"C",Y140=1,"D")</f>
        <v>D</v>
      </c>
      <c r="AB140" s="217"/>
    </row>
    <row r="141" spans="1:28" s="2" customFormat="1" ht="6" customHeight="1">
      <c r="A141"/>
      <c r="B141"/>
      <c r="C141"/>
      <c r="D141" s="311"/>
      <c r="E141" s="312"/>
      <c r="F141" s="312"/>
      <c r="G141" s="312"/>
      <c r="H141" s="312"/>
      <c r="I141" s="312"/>
      <c r="J141" s="312"/>
      <c r="K141" s="312"/>
      <c r="L141"/>
      <c r="M141"/>
      <c r="P141"/>
      <c r="Q141"/>
      <c r="R141" s="217">
        <f>IF(E141="地区代表者",COUNTA($D$1:$D141),0)</f>
        <v>0</v>
      </c>
      <c r="S141" s="217">
        <f t="shared" si="69"/>
        <v>0</v>
      </c>
      <c r="T141" s="318"/>
      <c r="U141" s="217">
        <f t="shared" si="70"/>
        <v>0</v>
      </c>
      <c r="V141" s="217">
        <f t="shared" si="71"/>
        <v>0</v>
      </c>
      <c r="W141" s="318"/>
      <c r="X141" s="217" t="str">
        <f t="shared" si="67"/>
        <v/>
      </c>
      <c r="Y141" s="217">
        <f>MIN($X$137:$X$141)+1</f>
        <v>1</v>
      </c>
      <c r="Z141" s="217">
        <f t="shared" si="68"/>
        <v>1</v>
      </c>
      <c r="AA141" s="217" t="str" cm="1">
        <f t="array" ref="AA141">_xlfn.IFS(Y141=4,"A",Y141=3,"B",Y141=2,"C",Y141=1,"D")</f>
        <v>D</v>
      </c>
      <c r="AB141" s="217"/>
    </row>
    <row r="142" spans="1:28" ht="96" customHeight="1">
      <c r="C142" s="78"/>
      <c r="D142" s="79"/>
      <c r="E142" s="72" t="s">
        <v>238</v>
      </c>
      <c r="F142" s="1057"/>
      <c r="G142" s="1057"/>
      <c r="H142" s="1057"/>
      <c r="I142" s="1057"/>
      <c r="J142" s="1057"/>
      <c r="K142" s="1057"/>
      <c r="L142" s="80" t="s">
        <v>132</v>
      </c>
      <c r="M142" s="292"/>
    </row>
    <row r="143" spans="1:28" ht="96" customHeight="1">
      <c r="C143" s="75"/>
      <c r="D143" s="68"/>
      <c r="E143" s="72" t="s">
        <v>239</v>
      </c>
      <c r="F143" s="1058"/>
      <c r="G143" s="1059"/>
      <c r="H143" s="1059"/>
      <c r="I143" s="1059"/>
      <c r="J143" s="1059"/>
      <c r="K143" s="1060"/>
    </row>
    <row r="144" spans="1:28" ht="18.5" thickBot="1">
      <c r="A144" s="81"/>
      <c r="B144" s="81"/>
      <c r="C144" s="81"/>
      <c r="D144" s="81"/>
      <c r="E144" s="313"/>
      <c r="F144" s="81"/>
      <c r="G144" s="81"/>
      <c r="H144" s="81"/>
      <c r="I144" s="81"/>
      <c r="J144" s="81"/>
      <c r="K144" s="81"/>
      <c r="L144" s="81"/>
      <c r="M144" s="82"/>
    </row>
    <row r="146" spans="1:28" ht="9" customHeight="1">
      <c r="B146" s="10"/>
      <c r="C146" s="5"/>
      <c r="D146" s="5"/>
      <c r="E146" s="307"/>
      <c r="F146" s="5"/>
      <c r="G146" s="5"/>
      <c r="H146" s="5"/>
      <c r="I146" s="5"/>
      <c r="J146" s="5"/>
      <c r="K146" s="5"/>
      <c r="L146" s="6"/>
      <c r="M146"/>
      <c r="N146"/>
      <c r="O146"/>
      <c r="R146" t="str">
        <f>D147</f>
        <v>(選択してください)</v>
      </c>
    </row>
    <row r="147" spans="1:28">
      <c r="B147" s="7"/>
      <c r="C147" s="77" t="str">
        <f ca="1">IFERROR(OFFSET('4.2民生電力需要量'!$C$1,MATCH(D147,'4.2民生電力需要量'!$E:$E,0)-1,0),"")</f>
        <v/>
      </c>
      <c r="D147" s="96" t="s">
        <v>130</v>
      </c>
      <c r="E147" s="72" t="s">
        <v>131</v>
      </c>
      <c r="F147" s="1061" t="str">
        <f ca="1">IFERROR(OFFSET('4.2民生電力需要量'!$G$1,MATCH($D147,'4.2民生電力需要量'!$E:$E,0)-1,0),"")</f>
        <v/>
      </c>
      <c r="G147" s="1061"/>
      <c r="H147" s="1061"/>
      <c r="I147" s="1061"/>
      <c r="J147" s="1061"/>
      <c r="K147" s="1061"/>
      <c r="L147" s="8"/>
      <c r="M147"/>
      <c r="N147"/>
      <c r="O147"/>
      <c r="R147" s="177" t="str">
        <f ca="1">IFERROR(OFFSET('4.2民生電力需要量'!$G$1,MATCH($D147,'4.2民生電力需要量'!$E:$E,0)-1,0),"")</f>
        <v/>
      </c>
      <c r="S147" s="177"/>
      <c r="T147" s="177"/>
      <c r="U147" s="177"/>
      <c r="V147" s="177"/>
      <c r="W147" s="177"/>
      <c r="X147" s="177"/>
      <c r="Y147" s="177"/>
      <c r="Z147" s="177"/>
      <c r="AA147" s="177"/>
      <c r="AB147" s="177">
        <f ca="1">(F147=R147)*1</f>
        <v>1</v>
      </c>
    </row>
    <row r="148" spans="1:28">
      <c r="B148" s="7"/>
      <c r="C148" s="74"/>
      <c r="D148" s="66"/>
      <c r="E148" s="72" t="s">
        <v>221</v>
      </c>
      <c r="F148" s="1062" t="str">
        <f ca="1">IFERROR(OFFSET('4.2民生電力需要量'!$I$1,MATCH($D147,'4.2民生電力需要量'!$E:$E,0)-1,0),"")</f>
        <v/>
      </c>
      <c r="G148" s="1062"/>
      <c r="H148" s="1062"/>
      <c r="I148" s="1062"/>
      <c r="J148" s="1062"/>
      <c r="K148" s="1062"/>
      <c r="L148" s="8"/>
      <c r="M148"/>
      <c r="N148"/>
      <c r="O148"/>
      <c r="R148" s="177" t="str">
        <f ca="1">IFERROR(OFFSET('4.2民生電力需要量'!$I$1,MATCH($D147,'4.2民生電力需要量'!$E:$E,0)-1,0),"")</f>
        <v/>
      </c>
      <c r="S148" s="177"/>
      <c r="T148" s="177"/>
      <c r="U148" s="177"/>
      <c r="V148" s="177"/>
      <c r="W148" s="177"/>
      <c r="X148" s="177"/>
      <c r="Y148" s="177"/>
      <c r="Z148" s="177"/>
      <c r="AA148" s="177"/>
      <c r="AB148" s="177">
        <f ca="1">(F148=R148)*1</f>
        <v>1</v>
      </c>
    </row>
    <row r="149" spans="1:28">
      <c r="B149" s="7"/>
      <c r="C149" s="74"/>
      <c r="D149" s="66"/>
      <c r="E149" s="72" t="s">
        <v>175</v>
      </c>
      <c r="F149" s="1063" t="str">
        <f>_xlfn.IFNA(R149,"")</f>
        <v/>
      </c>
      <c r="G149" s="1063"/>
      <c r="H149" s="1063"/>
      <c r="I149" s="1063"/>
      <c r="J149" s="1063"/>
      <c r="K149" s="1063"/>
      <c r="L149" s="8"/>
      <c r="M149"/>
      <c r="N149"/>
      <c r="O149"/>
      <c r="R149" s="217" t="str">
        <f>IF(PRODUCT($Z151:$Z155)=1,AA151,"")</f>
        <v/>
      </c>
      <c r="S149" s="177"/>
      <c r="T149" s="177"/>
      <c r="U149" s="177"/>
      <c r="V149" s="177"/>
      <c r="W149" s="177"/>
      <c r="X149" s="177"/>
      <c r="Y149" s="177"/>
      <c r="Z149" s="177"/>
      <c r="AA149" s="177"/>
      <c r="AB149" s="177">
        <f>(F149=R149)*1</f>
        <v>1</v>
      </c>
    </row>
    <row r="150" spans="1:28" s="2" customFormat="1" ht="60">
      <c r="A150"/>
      <c r="B150" s="7"/>
      <c r="C150" s="74"/>
      <c r="D150" s="66"/>
      <c r="E150" s="308"/>
      <c r="F150" s="314" t="s">
        <v>302</v>
      </c>
      <c r="G150" s="315" t="s">
        <v>303</v>
      </c>
      <c r="H150" s="315" t="s">
        <v>304</v>
      </c>
      <c r="I150" s="315" t="s">
        <v>305</v>
      </c>
      <c r="J150" s="315" t="s">
        <v>435</v>
      </c>
      <c r="K150" s="315" t="s">
        <v>272</v>
      </c>
      <c r="L150" s="8"/>
      <c r="M150"/>
      <c r="P150"/>
      <c r="Q150"/>
      <c r="R150" s="296" t="s">
        <v>301</v>
      </c>
      <c r="S150" s="296" t="s">
        <v>302</v>
      </c>
      <c r="T150" s="316" t="s">
        <v>429</v>
      </c>
      <c r="U150" s="296" t="s">
        <v>430</v>
      </c>
      <c r="V150" s="296" t="s">
        <v>428</v>
      </c>
      <c r="W150" s="317" t="s">
        <v>272</v>
      </c>
      <c r="X150" s="296" t="s">
        <v>432</v>
      </c>
      <c r="Y150" s="217" t="s">
        <v>408</v>
      </c>
      <c r="Z150" s="217" t="s">
        <v>436</v>
      </c>
      <c r="AA150" s="296" t="s">
        <v>431</v>
      </c>
      <c r="AB150" s="296"/>
    </row>
    <row r="151" spans="1:28" s="101" customFormat="1" ht="18.75" hidden="1" customHeight="1">
      <c r="A151" s="11"/>
      <c r="B151" s="97"/>
      <c r="C151" s="98"/>
      <c r="D151" s="99"/>
      <c r="E151" s="440"/>
      <c r="F151" s="441"/>
      <c r="G151" s="441"/>
      <c r="H151" s="441"/>
      <c r="I151" s="441"/>
      <c r="J151" s="441"/>
      <c r="K151" s="441"/>
      <c r="L151" s="100"/>
      <c r="M151" s="11"/>
      <c r="Q151" s="11"/>
      <c r="R151" s="131">
        <f>IF(E151="地区代表者",COUNTA($D$1:$D151),0)</f>
        <v>0</v>
      </c>
      <c r="S151" s="131">
        <f t="shared" ref="S151:S152" si="72">IF(F151="実施済",1,0)</f>
        <v>0</v>
      </c>
      <c r="T151" s="260"/>
      <c r="U151" s="131">
        <f t="shared" ref="U151:U152" si="73">IF(AND(H151="実施済",I151="実施済"),S151*1,0)</f>
        <v>0</v>
      </c>
      <c r="V151" s="131">
        <f>IF(J151="実施済",$U151*1,0)</f>
        <v>0</v>
      </c>
      <c r="W151" s="260"/>
      <c r="X151" s="131" t="str">
        <f>IF(E151="","",IF(R151*S151&gt;0,3,SUM(S151,U151,V151)))</f>
        <v/>
      </c>
      <c r="Y151" s="131">
        <f>MIN($X$151:$X$155)+1</f>
        <v>1</v>
      </c>
      <c r="Z151" s="131">
        <f>IF(E151="",1,IF(R151&gt;0,IF(COUNTA($F151:$K151)=2,1,0),IF(COUNTA($F151:$K151)=6,1,0)))</f>
        <v>1</v>
      </c>
      <c r="AA151" s="131" t="str" cm="1">
        <f t="array" ref="AA151">_xlfn.IFS(Y151=4,"A",Y151=3,"B",Y151=2,"C",Y151=1,"D")</f>
        <v>D</v>
      </c>
      <c r="AB151" s="131" t="str" cm="1">
        <f t="array" ref="AB151">_xlfn.IFS(Z151=4,"A",Z151=3,"B",Z151=2,"C",Z151=1,"D")</f>
        <v>D</v>
      </c>
    </row>
    <row r="152" spans="1:28" s="101" customFormat="1" ht="18.75" customHeight="1">
      <c r="A152" s="11"/>
      <c r="B152" s="97"/>
      <c r="C152" s="98"/>
      <c r="D152" s="99"/>
      <c r="E152" s="442" t="s">
        <v>301</v>
      </c>
      <c r="F152" s="443"/>
      <c r="G152" s="846"/>
      <c r="H152" s="846"/>
      <c r="I152" s="846"/>
      <c r="J152" s="846"/>
      <c r="K152" s="443"/>
      <c r="L152" s="100"/>
      <c r="M152" s="11"/>
      <c r="Q152" s="11"/>
      <c r="R152" s="131">
        <f>IF(E152="地区代表者",COUNTA($D$1:$D152),0)</f>
        <v>11</v>
      </c>
      <c r="S152" s="131">
        <f t="shared" si="72"/>
        <v>0</v>
      </c>
      <c r="T152" s="260"/>
      <c r="U152" s="131">
        <f t="shared" si="73"/>
        <v>0</v>
      </c>
      <c r="V152" s="131">
        <f>IF(J152="実施済",$U152*1,0)</f>
        <v>0</v>
      </c>
      <c r="W152" s="260"/>
      <c r="X152" s="131">
        <f t="shared" ref="X152:X155" si="74">IF(E152="","",IF(R152*S152&gt;0,3,SUM(S152,U152,V152)))</f>
        <v>0</v>
      </c>
      <c r="Y152" s="131">
        <f>MIN($X$151:$X$155)+1</f>
        <v>1</v>
      </c>
      <c r="Z152" s="131">
        <f t="shared" ref="Z152:Z155" si="75">IF(E152="",1,IF(R152&gt;0,IF(COUNTA($F152:$K152)=2,1,0),IF(COUNTA($F152:$K152)=6,1,0)))</f>
        <v>0</v>
      </c>
      <c r="AA152" s="131" t="str" cm="1">
        <f t="array" ref="AA152">_xlfn.IFS(Y152=4,"A",Y152=3,"B",Y152=2,"C",Y152=1,"D")</f>
        <v>D</v>
      </c>
      <c r="AB152" s="131"/>
    </row>
    <row r="153" spans="1:28" s="101" customFormat="1" ht="18.75" customHeight="1">
      <c r="A153" s="11"/>
      <c r="B153" s="97"/>
      <c r="C153" s="98"/>
      <c r="D153" s="99"/>
      <c r="E153" s="442" t="s">
        <v>116</v>
      </c>
      <c r="F153" s="443"/>
      <c r="G153" s="443"/>
      <c r="H153" s="443"/>
      <c r="I153" s="443"/>
      <c r="J153" s="443"/>
      <c r="K153" s="443"/>
      <c r="L153" s="100"/>
      <c r="M153" s="11"/>
      <c r="P153" s="11"/>
      <c r="Q153" s="11"/>
      <c r="R153" s="131">
        <f>IF(E153="地区代表者",COUNTA($D$1:$D153),0)</f>
        <v>0</v>
      </c>
      <c r="S153" s="131">
        <f>IF(F153="実施済",1,0)</f>
        <v>0</v>
      </c>
      <c r="T153" s="260"/>
      <c r="U153" s="131">
        <f>IF(AND(H153="実施済",I153="実施済"),S153*1,0)</f>
        <v>0</v>
      </c>
      <c r="V153" s="131">
        <f>IF(J153="実施済",$U153*1,0)</f>
        <v>0</v>
      </c>
      <c r="W153" s="260"/>
      <c r="X153" s="131">
        <f t="shared" si="74"/>
        <v>0</v>
      </c>
      <c r="Y153" s="131">
        <f>MIN($X$151:$X$155)+1</f>
        <v>1</v>
      </c>
      <c r="Z153" s="131">
        <f t="shared" si="75"/>
        <v>0</v>
      </c>
      <c r="AA153" s="131" t="str" cm="1">
        <f t="array" ref="AA153">_xlfn.IFS(Y153=4,"A",Y153=3,"B",Y153=2,"C",Y153=1,"D")</f>
        <v>D</v>
      </c>
      <c r="AB153" s="131"/>
    </row>
    <row r="154" spans="1:28" s="2" customFormat="1" ht="9" customHeight="1">
      <c r="A154"/>
      <c r="B154" s="65"/>
      <c r="C154" s="4"/>
      <c r="D154" s="309"/>
      <c r="E154" s="310"/>
      <c r="F154" s="310"/>
      <c r="G154" s="310"/>
      <c r="H154" s="310"/>
      <c r="I154" s="310"/>
      <c r="J154" s="310"/>
      <c r="K154" s="310"/>
      <c r="L154" s="9"/>
      <c r="M154"/>
      <c r="P154"/>
      <c r="Q154"/>
      <c r="R154" s="217">
        <f>IF(E154="地区代表者",COUNTA($D$1:$D154),0)</f>
        <v>0</v>
      </c>
      <c r="S154" s="217">
        <f t="shared" ref="S154:S155" si="76">IF(F154="実施済",1,0)</f>
        <v>0</v>
      </c>
      <c r="T154" s="318"/>
      <c r="U154" s="217">
        <f t="shared" ref="U154:U155" si="77">IF(AND(H154="実施済",I154="実施済"),S154*1,0)</f>
        <v>0</v>
      </c>
      <c r="V154" s="217">
        <f t="shared" ref="V154:V155" si="78">IF(J154="実施済",$U154*1,0)</f>
        <v>0</v>
      </c>
      <c r="W154" s="318"/>
      <c r="X154" s="217" t="str">
        <f t="shared" si="74"/>
        <v/>
      </c>
      <c r="Y154" s="217">
        <f>MIN($X$151:$X$155)+1</f>
        <v>1</v>
      </c>
      <c r="Z154" s="217">
        <f t="shared" si="75"/>
        <v>1</v>
      </c>
      <c r="AA154" s="217" t="str" cm="1">
        <f t="array" ref="AA154">_xlfn.IFS(Y154=4,"A",Y154=3,"B",Y154=2,"C",Y154=1,"D")</f>
        <v>D</v>
      </c>
      <c r="AB154" s="217"/>
    </row>
    <row r="155" spans="1:28" s="2" customFormat="1" ht="6" customHeight="1">
      <c r="A155"/>
      <c r="B155"/>
      <c r="C155"/>
      <c r="D155" s="311"/>
      <c r="E155" s="312"/>
      <c r="F155" s="312"/>
      <c r="G155" s="312"/>
      <c r="H155" s="312"/>
      <c r="I155" s="312"/>
      <c r="J155" s="312"/>
      <c r="K155" s="312"/>
      <c r="L155"/>
      <c r="M155"/>
      <c r="P155"/>
      <c r="Q155"/>
      <c r="R155" s="217">
        <f>IF(E155="地区代表者",COUNTA($D$1:$D155),0)</f>
        <v>0</v>
      </c>
      <c r="S155" s="217">
        <f t="shared" si="76"/>
        <v>0</v>
      </c>
      <c r="T155" s="318"/>
      <c r="U155" s="217">
        <f t="shared" si="77"/>
        <v>0</v>
      </c>
      <c r="V155" s="217">
        <f t="shared" si="78"/>
        <v>0</v>
      </c>
      <c r="W155" s="318"/>
      <c r="X155" s="217" t="str">
        <f t="shared" si="74"/>
        <v/>
      </c>
      <c r="Y155" s="217">
        <f>MIN($X$151:$X$155)+1</f>
        <v>1</v>
      </c>
      <c r="Z155" s="217">
        <f t="shared" si="75"/>
        <v>1</v>
      </c>
      <c r="AA155" s="217" t="str" cm="1">
        <f t="array" ref="AA155">_xlfn.IFS(Y155=4,"A",Y155=3,"B",Y155=2,"C",Y155=1,"D")</f>
        <v>D</v>
      </c>
      <c r="AB155" s="217"/>
    </row>
    <row r="156" spans="1:28" ht="96" customHeight="1">
      <c r="C156" s="78"/>
      <c r="D156" s="79"/>
      <c r="E156" s="72" t="s">
        <v>238</v>
      </c>
      <c r="F156" s="1057"/>
      <c r="G156" s="1057"/>
      <c r="H156" s="1057"/>
      <c r="I156" s="1057"/>
      <c r="J156" s="1057"/>
      <c r="K156" s="1057"/>
      <c r="L156" s="80" t="s">
        <v>132</v>
      </c>
      <c r="M156" s="292"/>
    </row>
    <row r="157" spans="1:28" ht="96" customHeight="1">
      <c r="C157" s="75"/>
      <c r="D157" s="68"/>
      <c r="E157" s="72" t="s">
        <v>239</v>
      </c>
      <c r="F157" s="1058"/>
      <c r="G157" s="1059"/>
      <c r="H157" s="1059"/>
      <c r="I157" s="1059"/>
      <c r="J157" s="1059"/>
      <c r="K157" s="1060"/>
    </row>
    <row r="158" spans="1:28" ht="18.5" thickBot="1">
      <c r="A158" s="81"/>
      <c r="B158" s="81"/>
      <c r="C158" s="81"/>
      <c r="D158" s="81"/>
      <c r="E158" s="313"/>
      <c r="F158" s="81"/>
      <c r="G158" s="81"/>
      <c r="H158" s="81"/>
      <c r="I158" s="81"/>
      <c r="J158" s="81"/>
      <c r="K158" s="81"/>
      <c r="L158" s="81"/>
      <c r="M158" s="82"/>
    </row>
    <row r="160" spans="1:28" ht="9" customHeight="1">
      <c r="B160" s="10"/>
      <c r="C160" s="5"/>
      <c r="D160" s="5"/>
      <c r="E160" s="307"/>
      <c r="F160" s="5"/>
      <c r="G160" s="5"/>
      <c r="H160" s="5"/>
      <c r="I160" s="5"/>
      <c r="J160" s="5"/>
      <c r="K160" s="5"/>
      <c r="L160" s="6"/>
      <c r="M160"/>
      <c r="N160"/>
      <c r="O160"/>
      <c r="R160" t="str">
        <f>D161</f>
        <v>(選択してください)</v>
      </c>
    </row>
    <row r="161" spans="1:28">
      <c r="B161" s="7"/>
      <c r="C161" s="77" t="str">
        <f ca="1">IFERROR(OFFSET('4.2民生電力需要量'!$C$1,MATCH(D161,'4.2民生電力需要量'!$E:$E,0)-1,0),"")</f>
        <v/>
      </c>
      <c r="D161" s="96" t="s">
        <v>130</v>
      </c>
      <c r="E161" s="72" t="s">
        <v>131</v>
      </c>
      <c r="F161" s="1061" t="str">
        <f ca="1">IFERROR(OFFSET('4.2民生電力需要量'!$G$1,MATCH($D161,'4.2民生電力需要量'!$E:$E,0)-1,0),"")</f>
        <v/>
      </c>
      <c r="G161" s="1061"/>
      <c r="H161" s="1061"/>
      <c r="I161" s="1061"/>
      <c r="J161" s="1061"/>
      <c r="K161" s="1061"/>
      <c r="L161" s="8"/>
      <c r="M161"/>
      <c r="N161"/>
      <c r="O161"/>
      <c r="R161" s="177" t="str">
        <f ca="1">IFERROR(OFFSET('4.2民生電力需要量'!$G$1,MATCH($D161,'4.2民生電力需要量'!$E:$E,0)-1,0),"")</f>
        <v/>
      </c>
      <c r="S161" s="177"/>
      <c r="T161" s="177"/>
      <c r="U161" s="177"/>
      <c r="V161" s="177"/>
      <c r="W161" s="177"/>
      <c r="X161" s="177"/>
      <c r="Y161" s="177"/>
      <c r="Z161" s="177"/>
      <c r="AA161" s="177"/>
      <c r="AB161" s="177">
        <f ca="1">(F161=R161)*1</f>
        <v>1</v>
      </c>
    </row>
    <row r="162" spans="1:28">
      <c r="B162" s="7"/>
      <c r="C162" s="74"/>
      <c r="D162" s="66"/>
      <c r="E162" s="72" t="s">
        <v>221</v>
      </c>
      <c r="F162" s="1062" t="str">
        <f ca="1">IFERROR(OFFSET('4.2民生電力需要量'!$I$1,MATCH($D161,'4.2民生電力需要量'!$E:$E,0)-1,0),"")</f>
        <v/>
      </c>
      <c r="G162" s="1062"/>
      <c r="H162" s="1062"/>
      <c r="I162" s="1062"/>
      <c r="J162" s="1062"/>
      <c r="K162" s="1062"/>
      <c r="L162" s="8"/>
      <c r="M162"/>
      <c r="N162"/>
      <c r="O162"/>
      <c r="R162" s="177" t="str">
        <f ca="1">IFERROR(OFFSET('4.2民生電力需要量'!$I$1,MATCH($D161,'4.2民生電力需要量'!$E:$E,0)-1,0),"")</f>
        <v/>
      </c>
      <c r="S162" s="177"/>
      <c r="T162" s="177"/>
      <c r="U162" s="177"/>
      <c r="V162" s="177"/>
      <c r="W162" s="177"/>
      <c r="X162" s="177"/>
      <c r="Y162" s="177"/>
      <c r="Z162" s="177"/>
      <c r="AA162" s="177"/>
      <c r="AB162" s="177">
        <f ca="1">(F162=R162)*1</f>
        <v>1</v>
      </c>
    </row>
    <row r="163" spans="1:28">
      <c r="B163" s="7"/>
      <c r="C163" s="74"/>
      <c r="D163" s="66"/>
      <c r="E163" s="72" t="s">
        <v>175</v>
      </c>
      <c r="F163" s="1063" t="str">
        <f>_xlfn.IFNA(R163,"")</f>
        <v/>
      </c>
      <c r="G163" s="1063"/>
      <c r="H163" s="1063"/>
      <c r="I163" s="1063"/>
      <c r="J163" s="1063"/>
      <c r="K163" s="1063"/>
      <c r="L163" s="8"/>
      <c r="M163"/>
      <c r="N163"/>
      <c r="O163"/>
      <c r="R163" s="217" t="str">
        <f>IF(PRODUCT($Z165:$Z169)=1,AA165,"")</f>
        <v/>
      </c>
      <c r="S163" s="177"/>
      <c r="T163" s="177"/>
      <c r="U163" s="177"/>
      <c r="V163" s="177"/>
      <c r="W163" s="177"/>
      <c r="X163" s="177"/>
      <c r="Y163" s="177"/>
      <c r="Z163" s="177"/>
      <c r="AA163" s="177"/>
      <c r="AB163" s="177">
        <f>(F163=R163)*1</f>
        <v>1</v>
      </c>
    </row>
    <row r="164" spans="1:28" s="2" customFormat="1" ht="60">
      <c r="A164"/>
      <c r="B164" s="7"/>
      <c r="C164" s="74"/>
      <c r="D164" s="66"/>
      <c r="E164" s="308"/>
      <c r="F164" s="314" t="s">
        <v>302</v>
      </c>
      <c r="G164" s="315" t="s">
        <v>303</v>
      </c>
      <c r="H164" s="315" t="s">
        <v>304</v>
      </c>
      <c r="I164" s="315" t="s">
        <v>305</v>
      </c>
      <c r="J164" s="315" t="s">
        <v>435</v>
      </c>
      <c r="K164" s="315" t="s">
        <v>272</v>
      </c>
      <c r="L164" s="8"/>
      <c r="M164"/>
      <c r="P164"/>
      <c r="Q164"/>
      <c r="R164" s="296" t="s">
        <v>301</v>
      </c>
      <c r="S164" s="296" t="s">
        <v>302</v>
      </c>
      <c r="T164" s="316" t="s">
        <v>429</v>
      </c>
      <c r="U164" s="296" t="s">
        <v>430</v>
      </c>
      <c r="V164" s="296" t="s">
        <v>428</v>
      </c>
      <c r="W164" s="317" t="s">
        <v>272</v>
      </c>
      <c r="X164" s="296" t="s">
        <v>432</v>
      </c>
      <c r="Y164" s="217" t="s">
        <v>408</v>
      </c>
      <c r="Z164" s="217" t="s">
        <v>436</v>
      </c>
      <c r="AA164" s="296" t="s">
        <v>431</v>
      </c>
      <c r="AB164" s="296"/>
    </row>
    <row r="165" spans="1:28" s="101" customFormat="1" ht="18.75" hidden="1" customHeight="1">
      <c r="A165" s="11"/>
      <c r="B165" s="97"/>
      <c r="C165" s="98"/>
      <c r="D165" s="99"/>
      <c r="E165" s="440"/>
      <c r="F165" s="441"/>
      <c r="G165" s="441"/>
      <c r="H165" s="441"/>
      <c r="I165" s="441"/>
      <c r="J165" s="441"/>
      <c r="K165" s="441"/>
      <c r="L165" s="100"/>
      <c r="M165" s="11"/>
      <c r="Q165" s="11"/>
      <c r="R165" s="131">
        <f>IF(E165="地区代表者",COUNTA($D$1:$D165),0)</f>
        <v>0</v>
      </c>
      <c r="S165" s="131">
        <f t="shared" ref="S165:S166" si="79">IF(F165="実施済",1,0)</f>
        <v>0</v>
      </c>
      <c r="T165" s="260"/>
      <c r="U165" s="131">
        <f t="shared" ref="U165:U166" si="80">IF(AND(H165="実施済",I165="実施済"),S165*1,0)</f>
        <v>0</v>
      </c>
      <c r="V165" s="131">
        <f>IF(J165="実施済",$U165*1,0)</f>
        <v>0</v>
      </c>
      <c r="W165" s="260"/>
      <c r="X165" s="131" t="str">
        <f>IF(E165="","",IF(R165*S165&gt;0,3,SUM(S165,U165,V165)))</f>
        <v/>
      </c>
      <c r="Y165" s="131">
        <f>MIN($X$165:$X$169)+1</f>
        <v>1</v>
      </c>
      <c r="Z165" s="131">
        <f>IF(E165="",1,IF(R165&gt;0,IF(COUNTA($F165:$K165)=2,1,0),IF(COUNTA($F165:$K165)=6,1,0)))</f>
        <v>1</v>
      </c>
      <c r="AA165" s="131" t="str" cm="1">
        <f t="array" ref="AA165">_xlfn.IFS(Y165=4,"A",Y165=3,"B",Y165=2,"C",Y165=1,"D")</f>
        <v>D</v>
      </c>
      <c r="AB165" s="131" t="str" cm="1">
        <f t="array" ref="AB165">_xlfn.IFS(Z165=4,"A",Z165=3,"B",Z165=2,"C",Z165=1,"D")</f>
        <v>D</v>
      </c>
    </row>
    <row r="166" spans="1:28" s="101" customFormat="1" ht="18.75" customHeight="1">
      <c r="A166" s="11"/>
      <c r="B166" s="97"/>
      <c r="C166" s="98"/>
      <c r="D166" s="99"/>
      <c r="E166" s="442" t="s">
        <v>301</v>
      </c>
      <c r="F166" s="443"/>
      <c r="G166" s="846"/>
      <c r="H166" s="846"/>
      <c r="I166" s="846"/>
      <c r="J166" s="846"/>
      <c r="K166" s="443"/>
      <c r="L166" s="100"/>
      <c r="M166" s="11"/>
      <c r="Q166" s="11"/>
      <c r="R166" s="131">
        <f>IF(E166="地区代表者",COUNTA($D$1:$D166),0)</f>
        <v>12</v>
      </c>
      <c r="S166" s="131">
        <f t="shared" si="79"/>
        <v>0</v>
      </c>
      <c r="T166" s="260"/>
      <c r="U166" s="131">
        <f t="shared" si="80"/>
        <v>0</v>
      </c>
      <c r="V166" s="131">
        <f>IF(J166="実施済",$U166*1,0)</f>
        <v>0</v>
      </c>
      <c r="W166" s="260"/>
      <c r="X166" s="131">
        <f t="shared" ref="X166:X169" si="81">IF(E166="","",IF(R166*S166&gt;0,3,SUM(S166,U166,V166)))</f>
        <v>0</v>
      </c>
      <c r="Y166" s="131">
        <f>MIN($X$165:$X$169)+1</f>
        <v>1</v>
      </c>
      <c r="Z166" s="131">
        <f t="shared" ref="Z166:Z169" si="82">IF(E166="",1,IF(R166&gt;0,IF(COUNTA($F166:$K166)=2,1,0),IF(COUNTA($F166:$K166)=6,1,0)))</f>
        <v>0</v>
      </c>
      <c r="AA166" s="131" t="str" cm="1">
        <f t="array" ref="AA166">_xlfn.IFS(Y166=4,"A",Y166=3,"B",Y166=2,"C",Y166=1,"D")</f>
        <v>D</v>
      </c>
      <c r="AB166" s="131"/>
    </row>
    <row r="167" spans="1:28" s="101" customFormat="1" ht="18.75" customHeight="1">
      <c r="A167" s="11"/>
      <c r="B167" s="97"/>
      <c r="C167" s="98"/>
      <c r="D167" s="99"/>
      <c r="E167" s="442" t="s">
        <v>116</v>
      </c>
      <c r="F167" s="443"/>
      <c r="G167" s="443"/>
      <c r="H167" s="443"/>
      <c r="I167" s="443"/>
      <c r="J167" s="443"/>
      <c r="K167" s="443"/>
      <c r="L167" s="100"/>
      <c r="M167" s="11"/>
      <c r="P167" s="11"/>
      <c r="Q167" s="11"/>
      <c r="R167" s="131">
        <f>IF(E167="地区代表者",COUNTA($D$1:$D167),0)</f>
        <v>0</v>
      </c>
      <c r="S167" s="131">
        <f>IF(F167="実施済",1,0)</f>
        <v>0</v>
      </c>
      <c r="T167" s="260"/>
      <c r="U167" s="131">
        <f>IF(AND(H167="実施済",I167="実施済"),S167*1,0)</f>
        <v>0</v>
      </c>
      <c r="V167" s="131">
        <f>IF(J167="実施済",$U167*1,0)</f>
        <v>0</v>
      </c>
      <c r="W167" s="260"/>
      <c r="X167" s="131">
        <f t="shared" si="81"/>
        <v>0</v>
      </c>
      <c r="Y167" s="131">
        <f>MIN($X$165:$X$169)+1</f>
        <v>1</v>
      </c>
      <c r="Z167" s="131">
        <f t="shared" si="82"/>
        <v>0</v>
      </c>
      <c r="AA167" s="131" t="str" cm="1">
        <f t="array" ref="AA167">_xlfn.IFS(Y167=4,"A",Y167=3,"B",Y167=2,"C",Y167=1,"D")</f>
        <v>D</v>
      </c>
      <c r="AB167" s="131"/>
    </row>
    <row r="168" spans="1:28" s="2" customFormat="1" ht="9" customHeight="1">
      <c r="A168"/>
      <c r="B168" s="65"/>
      <c r="C168" s="4"/>
      <c r="D168" s="309"/>
      <c r="E168" s="310"/>
      <c r="F168" s="310"/>
      <c r="G168" s="310"/>
      <c r="H168" s="310"/>
      <c r="I168" s="310"/>
      <c r="J168" s="310"/>
      <c r="K168" s="310"/>
      <c r="L168" s="9"/>
      <c r="M168"/>
      <c r="P168"/>
      <c r="Q168"/>
      <c r="R168" s="217">
        <f>IF(E168="地区代表者",COUNTA($D$1:$D168),0)</f>
        <v>0</v>
      </c>
      <c r="S168" s="217">
        <f t="shared" ref="S168:S169" si="83">IF(F168="実施済",1,0)</f>
        <v>0</v>
      </c>
      <c r="T168" s="318"/>
      <c r="U168" s="217">
        <f t="shared" ref="U168:U169" si="84">IF(AND(H168="実施済",I168="実施済"),S168*1,0)</f>
        <v>0</v>
      </c>
      <c r="V168" s="217">
        <f t="shared" ref="V168:V169" si="85">IF(J168="実施済",$U168*1,0)</f>
        <v>0</v>
      </c>
      <c r="W168" s="318"/>
      <c r="X168" s="217" t="str">
        <f t="shared" si="81"/>
        <v/>
      </c>
      <c r="Y168" s="217">
        <f>MIN($X$165:$X$169)+1</f>
        <v>1</v>
      </c>
      <c r="Z168" s="217">
        <f t="shared" si="82"/>
        <v>1</v>
      </c>
      <c r="AA168" s="217" t="str" cm="1">
        <f t="array" ref="AA168">_xlfn.IFS(Y168=4,"A",Y168=3,"B",Y168=2,"C",Y168=1,"D")</f>
        <v>D</v>
      </c>
      <c r="AB168" s="217"/>
    </row>
    <row r="169" spans="1:28" s="2" customFormat="1" ht="6" customHeight="1">
      <c r="A169"/>
      <c r="B169"/>
      <c r="C169"/>
      <c r="D169" s="311"/>
      <c r="E169" s="312"/>
      <c r="F169" s="312"/>
      <c r="G169" s="312"/>
      <c r="H169" s="312"/>
      <c r="I169" s="312"/>
      <c r="J169" s="312"/>
      <c r="K169" s="312"/>
      <c r="L169"/>
      <c r="M169"/>
      <c r="P169"/>
      <c r="Q169"/>
      <c r="R169" s="217">
        <f>IF(E169="地区代表者",COUNTA($D$1:$D169),0)</f>
        <v>0</v>
      </c>
      <c r="S169" s="217">
        <f t="shared" si="83"/>
        <v>0</v>
      </c>
      <c r="T169" s="318"/>
      <c r="U169" s="217">
        <f t="shared" si="84"/>
        <v>0</v>
      </c>
      <c r="V169" s="217">
        <f t="shared" si="85"/>
        <v>0</v>
      </c>
      <c r="W169" s="318"/>
      <c r="X169" s="217" t="str">
        <f t="shared" si="81"/>
        <v/>
      </c>
      <c r="Y169" s="217">
        <f>MIN($X$165:$X$169)+1</f>
        <v>1</v>
      </c>
      <c r="Z169" s="217">
        <f t="shared" si="82"/>
        <v>1</v>
      </c>
      <c r="AA169" s="217" t="str" cm="1">
        <f t="array" ref="AA169">_xlfn.IFS(Y169=4,"A",Y169=3,"B",Y169=2,"C",Y169=1,"D")</f>
        <v>D</v>
      </c>
      <c r="AB169" s="217"/>
    </row>
    <row r="170" spans="1:28" ht="96" customHeight="1">
      <c r="C170" s="78"/>
      <c r="D170" s="79"/>
      <c r="E170" s="72" t="s">
        <v>238</v>
      </c>
      <c r="F170" s="1057"/>
      <c r="G170" s="1057"/>
      <c r="H170" s="1057"/>
      <c r="I170" s="1057"/>
      <c r="J170" s="1057"/>
      <c r="K170" s="1057"/>
      <c r="L170" s="80" t="s">
        <v>132</v>
      </c>
      <c r="M170" s="292"/>
    </row>
    <row r="171" spans="1:28" ht="96" customHeight="1">
      <c r="C171" s="75"/>
      <c r="D171" s="68"/>
      <c r="E171" s="72" t="s">
        <v>239</v>
      </c>
      <c r="F171" s="1058"/>
      <c r="G171" s="1059"/>
      <c r="H171" s="1059"/>
      <c r="I171" s="1059"/>
      <c r="J171" s="1059"/>
      <c r="K171" s="1060"/>
    </row>
    <row r="172" spans="1:28" ht="18.5" thickBot="1">
      <c r="A172" s="81"/>
      <c r="B172" s="81"/>
      <c r="C172" s="81"/>
      <c r="D172" s="81"/>
      <c r="E172" s="313"/>
      <c r="F172" s="81"/>
      <c r="G172" s="81"/>
      <c r="H172" s="81"/>
      <c r="I172" s="81"/>
      <c r="J172" s="81"/>
      <c r="K172" s="81"/>
      <c r="L172" s="81"/>
      <c r="M172" s="82"/>
    </row>
    <row r="174" spans="1:28" ht="9" customHeight="1">
      <c r="B174" s="10"/>
      <c r="C174" s="5"/>
      <c r="D174" s="5"/>
      <c r="E174" s="307"/>
      <c r="F174" s="5"/>
      <c r="G174" s="5"/>
      <c r="H174" s="5"/>
      <c r="I174" s="5"/>
      <c r="J174" s="5"/>
      <c r="K174" s="5"/>
      <c r="L174" s="6"/>
      <c r="M174"/>
      <c r="N174"/>
      <c r="O174"/>
      <c r="R174" t="str">
        <f>D175</f>
        <v>(選択してください)</v>
      </c>
    </row>
    <row r="175" spans="1:28">
      <c r="B175" s="7"/>
      <c r="C175" s="77" t="str">
        <f ca="1">IFERROR(OFFSET('4.2民生電力需要量'!$C$1,MATCH(D175,'4.2民生電力需要量'!$E:$E,0)-1,0),"")</f>
        <v/>
      </c>
      <c r="D175" s="96" t="s">
        <v>130</v>
      </c>
      <c r="E175" s="72" t="s">
        <v>131</v>
      </c>
      <c r="F175" s="1061" t="str">
        <f ca="1">IFERROR(OFFSET('4.2民生電力需要量'!$G$1,MATCH($D175,'4.2民生電力需要量'!$E:$E,0)-1,0),"")</f>
        <v/>
      </c>
      <c r="G175" s="1061"/>
      <c r="H175" s="1061"/>
      <c r="I175" s="1061"/>
      <c r="J175" s="1061"/>
      <c r="K175" s="1061"/>
      <c r="L175" s="8"/>
      <c r="M175"/>
      <c r="N175"/>
      <c r="O175"/>
      <c r="R175" s="177" t="str">
        <f ca="1">IFERROR(OFFSET('4.2民生電力需要量'!$G$1,MATCH($D175,'4.2民生電力需要量'!$E:$E,0)-1,0),"")</f>
        <v/>
      </c>
      <c r="S175" s="177"/>
      <c r="T175" s="177"/>
      <c r="U175" s="177"/>
      <c r="V175" s="177"/>
      <c r="W175" s="177"/>
      <c r="X175" s="177"/>
      <c r="Y175" s="177"/>
      <c r="Z175" s="177"/>
      <c r="AA175" s="177"/>
      <c r="AB175" s="177">
        <f ca="1">(F175=R175)*1</f>
        <v>1</v>
      </c>
    </row>
    <row r="176" spans="1:28">
      <c r="B176" s="7"/>
      <c r="C176" s="74"/>
      <c r="D176" s="66"/>
      <c r="E176" s="72" t="s">
        <v>221</v>
      </c>
      <c r="F176" s="1062" t="str">
        <f ca="1">IFERROR(OFFSET('4.2民生電力需要量'!$I$1,MATCH($D175,'4.2民生電力需要量'!$E:$E,0)-1,0),"")</f>
        <v/>
      </c>
      <c r="G176" s="1062"/>
      <c r="H176" s="1062"/>
      <c r="I176" s="1062"/>
      <c r="J176" s="1062"/>
      <c r="K176" s="1062"/>
      <c r="L176" s="8"/>
      <c r="M176"/>
      <c r="N176"/>
      <c r="O176"/>
      <c r="R176" s="177" t="str">
        <f ca="1">IFERROR(OFFSET('4.2民生電力需要量'!$I$1,MATCH($D175,'4.2民生電力需要量'!$E:$E,0)-1,0),"")</f>
        <v/>
      </c>
      <c r="S176" s="177"/>
      <c r="T176" s="177"/>
      <c r="U176" s="177"/>
      <c r="V176" s="177"/>
      <c r="W176" s="177"/>
      <c r="X176" s="177"/>
      <c r="Y176" s="177"/>
      <c r="Z176" s="177"/>
      <c r="AA176" s="177"/>
      <c r="AB176" s="177">
        <f ca="1">(F176=R176)*1</f>
        <v>1</v>
      </c>
    </row>
    <row r="177" spans="1:28">
      <c r="B177" s="7"/>
      <c r="C177" s="74"/>
      <c r="D177" s="66"/>
      <c r="E177" s="72" t="s">
        <v>175</v>
      </c>
      <c r="F177" s="1063" t="str">
        <f>_xlfn.IFNA(R177,"")</f>
        <v/>
      </c>
      <c r="G177" s="1063"/>
      <c r="H177" s="1063"/>
      <c r="I177" s="1063"/>
      <c r="J177" s="1063"/>
      <c r="K177" s="1063"/>
      <c r="L177" s="8"/>
      <c r="M177"/>
      <c r="N177"/>
      <c r="O177"/>
      <c r="R177" s="217" t="str">
        <f>IF(PRODUCT($Z179:$Z183)=1,AA179,"")</f>
        <v/>
      </c>
      <c r="S177" s="177"/>
      <c r="T177" s="177"/>
      <c r="U177" s="177"/>
      <c r="V177" s="177"/>
      <c r="W177" s="177"/>
      <c r="X177" s="177"/>
      <c r="Y177" s="177"/>
      <c r="Z177" s="177"/>
      <c r="AA177" s="177"/>
      <c r="AB177" s="177">
        <f>(F177=R177)*1</f>
        <v>1</v>
      </c>
    </row>
    <row r="178" spans="1:28" s="2" customFormat="1" ht="60">
      <c r="A178"/>
      <c r="B178" s="7"/>
      <c r="C178" s="74"/>
      <c r="D178" s="66"/>
      <c r="E178" s="308"/>
      <c r="F178" s="314" t="s">
        <v>302</v>
      </c>
      <c r="G178" s="315" t="s">
        <v>303</v>
      </c>
      <c r="H178" s="315" t="s">
        <v>304</v>
      </c>
      <c r="I178" s="315" t="s">
        <v>305</v>
      </c>
      <c r="J178" s="315" t="s">
        <v>435</v>
      </c>
      <c r="K178" s="315" t="s">
        <v>272</v>
      </c>
      <c r="L178" s="8"/>
      <c r="M178"/>
      <c r="P178"/>
      <c r="Q178"/>
      <c r="R178" s="296" t="s">
        <v>301</v>
      </c>
      <c r="S178" s="296" t="s">
        <v>302</v>
      </c>
      <c r="T178" s="316" t="s">
        <v>429</v>
      </c>
      <c r="U178" s="296" t="s">
        <v>430</v>
      </c>
      <c r="V178" s="296" t="s">
        <v>428</v>
      </c>
      <c r="W178" s="317" t="s">
        <v>272</v>
      </c>
      <c r="X178" s="296" t="s">
        <v>432</v>
      </c>
      <c r="Y178" s="217" t="s">
        <v>408</v>
      </c>
      <c r="Z178" s="217" t="s">
        <v>436</v>
      </c>
      <c r="AA178" s="296" t="s">
        <v>431</v>
      </c>
      <c r="AB178" s="296"/>
    </row>
    <row r="179" spans="1:28" s="101" customFormat="1" ht="18.75" hidden="1" customHeight="1">
      <c r="A179" s="11"/>
      <c r="B179" s="97"/>
      <c r="C179" s="98"/>
      <c r="D179" s="99"/>
      <c r="E179" s="440"/>
      <c r="F179" s="441"/>
      <c r="G179" s="441"/>
      <c r="H179" s="441"/>
      <c r="I179" s="441"/>
      <c r="J179" s="441"/>
      <c r="K179" s="441"/>
      <c r="L179" s="100"/>
      <c r="M179" s="11"/>
      <c r="Q179" s="11"/>
      <c r="R179" s="131">
        <f>IF(E179="地区代表者",COUNTA($D$1:$D179),0)</f>
        <v>0</v>
      </c>
      <c r="S179" s="131">
        <f t="shared" ref="S179:S180" si="86">IF(F179="実施済",1,0)</f>
        <v>0</v>
      </c>
      <c r="T179" s="260"/>
      <c r="U179" s="131">
        <f t="shared" ref="U179:U180" si="87">IF(AND(H179="実施済",I179="実施済"),S179*1,0)</f>
        <v>0</v>
      </c>
      <c r="V179" s="131">
        <f>IF(J179="実施済",$U179*1,0)</f>
        <v>0</v>
      </c>
      <c r="W179" s="260"/>
      <c r="X179" s="131" t="str">
        <f>IF(E179="","",IF(R179*S179&gt;0,3,SUM(S179,U179,V179)))</f>
        <v/>
      </c>
      <c r="Y179" s="131">
        <f>MIN($X$179:$X$183)+1</f>
        <v>1</v>
      </c>
      <c r="Z179" s="131">
        <f>IF(E179="",1,IF(R179&gt;0,IF(COUNTA($F179:$K179)=2,1,0),IF(COUNTA($F179:$K179)=6,1,0)))</f>
        <v>1</v>
      </c>
      <c r="AA179" s="131" t="str" cm="1">
        <f t="array" ref="AA179">_xlfn.IFS(Y179=4,"A",Y179=3,"B",Y179=2,"C",Y179=1,"D")</f>
        <v>D</v>
      </c>
      <c r="AB179" s="131" t="str" cm="1">
        <f t="array" ref="AB179">_xlfn.IFS(Z179=4,"A",Z179=3,"B",Z179=2,"C",Z179=1,"D")</f>
        <v>D</v>
      </c>
    </row>
    <row r="180" spans="1:28" s="101" customFormat="1" ht="18.75" customHeight="1">
      <c r="A180" s="11"/>
      <c r="B180" s="97"/>
      <c r="C180" s="98"/>
      <c r="D180" s="99"/>
      <c r="E180" s="442" t="s">
        <v>301</v>
      </c>
      <c r="F180" s="443"/>
      <c r="G180" s="846"/>
      <c r="H180" s="846"/>
      <c r="I180" s="846"/>
      <c r="J180" s="846"/>
      <c r="K180" s="443"/>
      <c r="L180" s="100"/>
      <c r="M180" s="11"/>
      <c r="Q180" s="11"/>
      <c r="R180" s="131">
        <f>IF(E180="地区代表者",COUNTA($D$1:$D180),0)</f>
        <v>13</v>
      </c>
      <c r="S180" s="131">
        <f t="shared" si="86"/>
        <v>0</v>
      </c>
      <c r="T180" s="260"/>
      <c r="U180" s="131">
        <f t="shared" si="87"/>
        <v>0</v>
      </c>
      <c r="V180" s="131">
        <f>IF(J180="実施済",$U180*1,0)</f>
        <v>0</v>
      </c>
      <c r="W180" s="260"/>
      <c r="X180" s="131">
        <f t="shared" ref="X180:X183" si="88">IF(E180="","",IF(R180*S180&gt;0,3,SUM(S180,U180,V180)))</f>
        <v>0</v>
      </c>
      <c r="Y180" s="131">
        <f>MIN($X$179:$X$183)+1</f>
        <v>1</v>
      </c>
      <c r="Z180" s="131">
        <f t="shared" ref="Z180:Z183" si="89">IF(E180="",1,IF(R180&gt;0,IF(COUNTA($F180:$K180)=2,1,0),IF(COUNTA($F180:$K180)=6,1,0)))</f>
        <v>0</v>
      </c>
      <c r="AA180" s="131" t="str" cm="1">
        <f t="array" ref="AA180">_xlfn.IFS(Y180=4,"A",Y180=3,"B",Y180=2,"C",Y180=1,"D")</f>
        <v>D</v>
      </c>
      <c r="AB180" s="131"/>
    </row>
    <row r="181" spans="1:28" s="101" customFormat="1" ht="18.75" customHeight="1">
      <c r="A181" s="11"/>
      <c r="B181" s="97"/>
      <c r="C181" s="98"/>
      <c r="D181" s="99"/>
      <c r="E181" s="442" t="s">
        <v>116</v>
      </c>
      <c r="F181" s="443"/>
      <c r="G181" s="443"/>
      <c r="H181" s="443"/>
      <c r="I181" s="443"/>
      <c r="J181" s="443"/>
      <c r="K181" s="443"/>
      <c r="L181" s="100"/>
      <c r="M181" s="11"/>
      <c r="P181" s="11"/>
      <c r="Q181" s="11"/>
      <c r="R181" s="131">
        <f>IF(E181="地区代表者",COUNTA($D$1:$D181),0)</f>
        <v>0</v>
      </c>
      <c r="S181" s="131">
        <f>IF(F181="実施済",1,0)</f>
        <v>0</v>
      </c>
      <c r="T181" s="260"/>
      <c r="U181" s="131">
        <f>IF(AND(H181="実施済",I181="実施済"),S181*1,0)</f>
        <v>0</v>
      </c>
      <c r="V181" s="131">
        <f>IF(J181="実施済",$U181*1,0)</f>
        <v>0</v>
      </c>
      <c r="W181" s="260"/>
      <c r="X181" s="131">
        <f t="shared" si="88"/>
        <v>0</v>
      </c>
      <c r="Y181" s="131">
        <f>MIN($X$179:$X$183)+1</f>
        <v>1</v>
      </c>
      <c r="Z181" s="131">
        <f t="shared" si="89"/>
        <v>0</v>
      </c>
      <c r="AA181" s="131" t="str" cm="1">
        <f t="array" ref="AA181">_xlfn.IFS(Y181=4,"A",Y181=3,"B",Y181=2,"C",Y181=1,"D")</f>
        <v>D</v>
      </c>
      <c r="AB181" s="131"/>
    </row>
    <row r="182" spans="1:28" s="2" customFormat="1" ht="9" customHeight="1">
      <c r="A182"/>
      <c r="B182" s="65"/>
      <c r="C182" s="4"/>
      <c r="D182" s="309"/>
      <c r="E182" s="310"/>
      <c r="F182" s="310"/>
      <c r="G182" s="310"/>
      <c r="H182" s="310"/>
      <c r="I182" s="310"/>
      <c r="J182" s="310"/>
      <c r="K182" s="310"/>
      <c r="L182" s="9"/>
      <c r="M182"/>
      <c r="P182"/>
      <c r="Q182"/>
      <c r="R182" s="217">
        <f>IF(E182="地区代表者",COUNTA($D$1:$D182),0)</f>
        <v>0</v>
      </c>
      <c r="S182" s="217">
        <f t="shared" ref="S182:S183" si="90">IF(F182="実施済",1,0)</f>
        <v>0</v>
      </c>
      <c r="T182" s="318"/>
      <c r="U182" s="217">
        <f t="shared" ref="U182:U183" si="91">IF(AND(H182="実施済",I182="実施済"),S182*1,0)</f>
        <v>0</v>
      </c>
      <c r="V182" s="217">
        <f t="shared" ref="V182:V183" si="92">IF(J182="実施済",$U182*1,0)</f>
        <v>0</v>
      </c>
      <c r="W182" s="318"/>
      <c r="X182" s="217" t="str">
        <f t="shared" si="88"/>
        <v/>
      </c>
      <c r="Y182" s="217">
        <f>MIN($X$179:$X$183)+1</f>
        <v>1</v>
      </c>
      <c r="Z182" s="217">
        <f t="shared" si="89"/>
        <v>1</v>
      </c>
      <c r="AA182" s="217" t="str" cm="1">
        <f t="array" ref="AA182">_xlfn.IFS(Y182=4,"A",Y182=3,"B",Y182=2,"C",Y182=1,"D")</f>
        <v>D</v>
      </c>
      <c r="AB182" s="217"/>
    </row>
    <row r="183" spans="1:28" s="2" customFormat="1" ht="6" customHeight="1">
      <c r="A183"/>
      <c r="B183"/>
      <c r="C183"/>
      <c r="D183" s="311"/>
      <c r="E183" s="312"/>
      <c r="F183" s="312"/>
      <c r="G183" s="312"/>
      <c r="H183" s="312"/>
      <c r="I183" s="312"/>
      <c r="J183" s="312"/>
      <c r="K183" s="312"/>
      <c r="L183"/>
      <c r="M183"/>
      <c r="P183"/>
      <c r="Q183"/>
      <c r="R183" s="217">
        <f>IF(E183="地区代表者",COUNTA($D$1:$D183),0)</f>
        <v>0</v>
      </c>
      <c r="S183" s="217">
        <f t="shared" si="90"/>
        <v>0</v>
      </c>
      <c r="T183" s="318"/>
      <c r="U183" s="217">
        <f t="shared" si="91"/>
        <v>0</v>
      </c>
      <c r="V183" s="217">
        <f t="shared" si="92"/>
        <v>0</v>
      </c>
      <c r="W183" s="318"/>
      <c r="X183" s="217" t="str">
        <f t="shared" si="88"/>
        <v/>
      </c>
      <c r="Y183" s="217">
        <f>MIN($X$179:$X$183)+1</f>
        <v>1</v>
      </c>
      <c r="Z183" s="217">
        <f t="shared" si="89"/>
        <v>1</v>
      </c>
      <c r="AA183" s="217" t="str" cm="1">
        <f t="array" ref="AA183">_xlfn.IFS(Y183=4,"A",Y183=3,"B",Y183=2,"C",Y183=1,"D")</f>
        <v>D</v>
      </c>
      <c r="AB183" s="217"/>
    </row>
    <row r="184" spans="1:28" ht="96" customHeight="1">
      <c r="C184" s="78"/>
      <c r="D184" s="79"/>
      <c r="E184" s="72" t="s">
        <v>238</v>
      </c>
      <c r="F184" s="1057"/>
      <c r="G184" s="1057"/>
      <c r="H184" s="1057"/>
      <c r="I184" s="1057"/>
      <c r="J184" s="1057"/>
      <c r="K184" s="1057"/>
      <c r="L184" s="80" t="s">
        <v>132</v>
      </c>
      <c r="M184" s="292"/>
    </row>
    <row r="185" spans="1:28" ht="96" customHeight="1">
      <c r="C185" s="75"/>
      <c r="D185" s="68"/>
      <c r="E185" s="72" t="s">
        <v>239</v>
      </c>
      <c r="F185" s="1058"/>
      <c r="G185" s="1059"/>
      <c r="H185" s="1059"/>
      <c r="I185" s="1059"/>
      <c r="J185" s="1059"/>
      <c r="K185" s="1060"/>
    </row>
    <row r="186" spans="1:28" ht="18.5" thickBot="1">
      <c r="A186" s="81"/>
      <c r="B186" s="81"/>
      <c r="C186" s="81"/>
      <c r="D186" s="81"/>
      <c r="E186" s="313"/>
      <c r="F186" s="81"/>
      <c r="G186" s="81"/>
      <c r="H186" s="81"/>
      <c r="I186" s="81"/>
      <c r="J186" s="81"/>
      <c r="K186" s="81"/>
      <c r="L186" s="81"/>
      <c r="M186" s="82"/>
    </row>
    <row r="188" spans="1:28" ht="9" customHeight="1">
      <c r="B188" s="10"/>
      <c r="C188" s="5"/>
      <c r="D188" s="5"/>
      <c r="E188" s="307"/>
      <c r="F188" s="5"/>
      <c r="G188" s="5"/>
      <c r="H188" s="5"/>
      <c r="I188" s="5"/>
      <c r="J188" s="5"/>
      <c r="K188" s="5"/>
      <c r="L188" s="6"/>
      <c r="M188"/>
      <c r="N188"/>
      <c r="O188"/>
      <c r="R188" t="str">
        <f>D189</f>
        <v>(選択してください)</v>
      </c>
    </row>
    <row r="189" spans="1:28">
      <c r="B189" s="7"/>
      <c r="C189" s="77" t="str">
        <f ca="1">IFERROR(OFFSET('4.2民生電力需要量'!$C$1,MATCH(D189,'4.2民生電力需要量'!$E:$E,0)-1,0),"")</f>
        <v/>
      </c>
      <c r="D189" s="96" t="s">
        <v>130</v>
      </c>
      <c r="E189" s="72" t="s">
        <v>131</v>
      </c>
      <c r="F189" s="1061" t="str">
        <f ca="1">IFERROR(OFFSET('4.2民生電力需要量'!$G$1,MATCH($D189,'4.2民生電力需要量'!$E:$E,0)-1,0),"")</f>
        <v/>
      </c>
      <c r="G189" s="1061"/>
      <c r="H189" s="1061"/>
      <c r="I189" s="1061"/>
      <c r="J189" s="1061"/>
      <c r="K189" s="1061"/>
      <c r="L189" s="8"/>
      <c r="M189"/>
      <c r="N189"/>
      <c r="O189"/>
      <c r="R189" s="177" t="str">
        <f ca="1">IFERROR(OFFSET('4.2民生電力需要量'!$G$1,MATCH($D189,'4.2民生電力需要量'!$E:$E,0)-1,0),"")</f>
        <v/>
      </c>
      <c r="S189" s="177"/>
      <c r="T189" s="177"/>
      <c r="U189" s="177"/>
      <c r="V189" s="177"/>
      <c r="W189" s="177"/>
      <c r="X189" s="177"/>
      <c r="Y189" s="177"/>
      <c r="Z189" s="177"/>
      <c r="AA189" s="177"/>
      <c r="AB189" s="177">
        <f ca="1">(F189=R189)*1</f>
        <v>1</v>
      </c>
    </row>
    <row r="190" spans="1:28">
      <c r="B190" s="7"/>
      <c r="C190" s="74"/>
      <c r="D190" s="66"/>
      <c r="E190" s="72" t="s">
        <v>221</v>
      </c>
      <c r="F190" s="1062" t="str">
        <f ca="1">IFERROR(OFFSET('4.2民生電力需要量'!$I$1,MATCH($D189,'4.2民生電力需要量'!$E:$E,0)-1,0),"")</f>
        <v/>
      </c>
      <c r="G190" s="1062"/>
      <c r="H190" s="1062"/>
      <c r="I190" s="1062"/>
      <c r="J190" s="1062"/>
      <c r="K190" s="1062"/>
      <c r="L190" s="8"/>
      <c r="M190"/>
      <c r="N190"/>
      <c r="O190"/>
      <c r="R190" s="177" t="str">
        <f ca="1">IFERROR(OFFSET('4.2民生電力需要量'!$I$1,MATCH($D189,'4.2民生電力需要量'!$E:$E,0)-1,0),"")</f>
        <v/>
      </c>
      <c r="S190" s="177"/>
      <c r="T190" s="177"/>
      <c r="U190" s="177"/>
      <c r="V190" s="177"/>
      <c r="W190" s="177"/>
      <c r="X190" s="177"/>
      <c r="Y190" s="177"/>
      <c r="Z190" s="177"/>
      <c r="AA190" s="177"/>
      <c r="AB190" s="177">
        <f ca="1">(F190=R190)*1</f>
        <v>1</v>
      </c>
    </row>
    <row r="191" spans="1:28">
      <c r="B191" s="7"/>
      <c r="C191" s="74"/>
      <c r="D191" s="66"/>
      <c r="E191" s="72" t="s">
        <v>175</v>
      </c>
      <c r="F191" s="1063" t="str">
        <f>_xlfn.IFNA(R191,"")</f>
        <v/>
      </c>
      <c r="G191" s="1063"/>
      <c r="H191" s="1063"/>
      <c r="I191" s="1063"/>
      <c r="J191" s="1063"/>
      <c r="K191" s="1063"/>
      <c r="L191" s="8"/>
      <c r="M191"/>
      <c r="N191"/>
      <c r="O191"/>
      <c r="R191" s="217" t="str">
        <f>IF(PRODUCT($Z193:$Z197)=1,AA193,"")</f>
        <v/>
      </c>
      <c r="S191" s="177"/>
      <c r="T191" s="177"/>
      <c r="U191" s="177"/>
      <c r="V191" s="177"/>
      <c r="W191" s="177"/>
      <c r="X191" s="177"/>
      <c r="Y191" s="177"/>
      <c r="Z191" s="177"/>
      <c r="AA191" s="177"/>
      <c r="AB191" s="177">
        <f>(F191=R191)*1</f>
        <v>1</v>
      </c>
    </row>
    <row r="192" spans="1:28" s="2" customFormat="1" ht="60">
      <c r="A192"/>
      <c r="B192" s="7"/>
      <c r="C192" s="74"/>
      <c r="D192" s="66"/>
      <c r="E192" s="308"/>
      <c r="F192" s="314" t="s">
        <v>302</v>
      </c>
      <c r="G192" s="315" t="s">
        <v>303</v>
      </c>
      <c r="H192" s="315" t="s">
        <v>304</v>
      </c>
      <c r="I192" s="315" t="s">
        <v>305</v>
      </c>
      <c r="J192" s="315" t="s">
        <v>435</v>
      </c>
      <c r="K192" s="315" t="s">
        <v>272</v>
      </c>
      <c r="L192" s="8"/>
      <c r="M192"/>
      <c r="P192"/>
      <c r="Q192"/>
      <c r="R192" s="296" t="s">
        <v>301</v>
      </c>
      <c r="S192" s="296" t="s">
        <v>302</v>
      </c>
      <c r="T192" s="316" t="s">
        <v>429</v>
      </c>
      <c r="U192" s="296" t="s">
        <v>430</v>
      </c>
      <c r="V192" s="296" t="s">
        <v>428</v>
      </c>
      <c r="W192" s="317" t="s">
        <v>272</v>
      </c>
      <c r="X192" s="296" t="s">
        <v>432</v>
      </c>
      <c r="Y192" s="217" t="s">
        <v>408</v>
      </c>
      <c r="Z192" s="217" t="s">
        <v>436</v>
      </c>
      <c r="AA192" s="296" t="s">
        <v>431</v>
      </c>
      <c r="AB192" s="296"/>
    </row>
    <row r="193" spans="1:28" s="101" customFormat="1" ht="18.75" hidden="1" customHeight="1">
      <c r="A193" s="11"/>
      <c r="B193" s="97"/>
      <c r="C193" s="98"/>
      <c r="D193" s="99"/>
      <c r="E193" s="440"/>
      <c r="F193" s="441"/>
      <c r="G193" s="441"/>
      <c r="H193" s="441"/>
      <c r="I193" s="441"/>
      <c r="J193" s="441"/>
      <c r="K193" s="441"/>
      <c r="L193" s="100"/>
      <c r="M193" s="11"/>
      <c r="Q193" s="11"/>
      <c r="R193" s="131">
        <f>IF(E193="地区代表者",COUNTA($D$1:$D193),0)</f>
        <v>0</v>
      </c>
      <c r="S193" s="131">
        <f t="shared" ref="S193:S194" si="93">IF(F193="実施済",1,0)</f>
        <v>0</v>
      </c>
      <c r="T193" s="260"/>
      <c r="U193" s="131">
        <f t="shared" ref="U193:U194" si="94">IF(AND(H193="実施済",I193="実施済"),S193*1,0)</f>
        <v>0</v>
      </c>
      <c r="V193" s="131">
        <f>IF(J193="実施済",$U193*1,0)</f>
        <v>0</v>
      </c>
      <c r="W193" s="260"/>
      <c r="X193" s="131" t="str">
        <f>IF(E193="","",IF(R193*S193&gt;0,3,SUM(S193,U193,V193)))</f>
        <v/>
      </c>
      <c r="Y193" s="131">
        <f>MIN($X$193:$X$197)+1</f>
        <v>1</v>
      </c>
      <c r="Z193" s="131">
        <f>IF(E193="",1,IF(R193&gt;0,IF(COUNTA($F193:$K193)=2,1,0),IF(COUNTA($F193:$K193)=6,1,0)))</f>
        <v>1</v>
      </c>
      <c r="AA193" s="131" t="str" cm="1">
        <f t="array" ref="AA193">_xlfn.IFS(Y193=4,"A",Y193=3,"B",Y193=2,"C",Y193=1,"D")</f>
        <v>D</v>
      </c>
      <c r="AB193" s="131" t="str" cm="1">
        <f t="array" ref="AB193">_xlfn.IFS(Z193=4,"A",Z193=3,"B",Z193=2,"C",Z193=1,"D")</f>
        <v>D</v>
      </c>
    </row>
    <row r="194" spans="1:28" s="101" customFormat="1" ht="18.75" customHeight="1">
      <c r="A194" s="11"/>
      <c r="B194" s="97"/>
      <c r="C194" s="98"/>
      <c r="D194" s="99"/>
      <c r="E194" s="442" t="s">
        <v>301</v>
      </c>
      <c r="F194" s="443"/>
      <c r="G194" s="846"/>
      <c r="H194" s="846"/>
      <c r="I194" s="846"/>
      <c r="J194" s="846"/>
      <c r="K194" s="443"/>
      <c r="L194" s="100"/>
      <c r="M194" s="11"/>
      <c r="Q194" s="11"/>
      <c r="R194" s="131">
        <f>IF(E194="地区代表者",COUNTA($D$1:$D194),0)</f>
        <v>14</v>
      </c>
      <c r="S194" s="131">
        <f t="shared" si="93"/>
        <v>0</v>
      </c>
      <c r="T194" s="260"/>
      <c r="U194" s="131">
        <f t="shared" si="94"/>
        <v>0</v>
      </c>
      <c r="V194" s="131">
        <f>IF(J194="実施済",$U194*1,0)</f>
        <v>0</v>
      </c>
      <c r="W194" s="260"/>
      <c r="X194" s="131">
        <f t="shared" ref="X194:X197" si="95">IF(E194="","",IF(R194*S194&gt;0,3,SUM(S194,U194,V194)))</f>
        <v>0</v>
      </c>
      <c r="Y194" s="131">
        <f>MIN($X$193:$X$197)+1</f>
        <v>1</v>
      </c>
      <c r="Z194" s="131">
        <f t="shared" ref="Z194:Z197" si="96">IF(E194="",1,IF(R194&gt;0,IF(COUNTA($F194:$K194)=2,1,0),IF(COUNTA($F194:$K194)=6,1,0)))</f>
        <v>0</v>
      </c>
      <c r="AA194" s="131" t="str" cm="1">
        <f t="array" ref="AA194">_xlfn.IFS(Y194=4,"A",Y194=3,"B",Y194=2,"C",Y194=1,"D")</f>
        <v>D</v>
      </c>
      <c r="AB194" s="131"/>
    </row>
    <row r="195" spans="1:28" s="101" customFormat="1" ht="18.75" customHeight="1">
      <c r="A195" s="11"/>
      <c r="B195" s="97"/>
      <c r="C195" s="98"/>
      <c r="D195" s="99"/>
      <c r="E195" s="442" t="s">
        <v>116</v>
      </c>
      <c r="F195" s="443"/>
      <c r="G195" s="443"/>
      <c r="H195" s="443"/>
      <c r="I195" s="443"/>
      <c r="J195" s="443"/>
      <c r="K195" s="443"/>
      <c r="L195" s="100"/>
      <c r="M195" s="11"/>
      <c r="P195" s="11"/>
      <c r="Q195" s="11"/>
      <c r="R195" s="131">
        <f>IF(E195="地区代表者",COUNTA($D$1:$D195),0)</f>
        <v>0</v>
      </c>
      <c r="S195" s="131">
        <f>IF(F195="実施済",1,0)</f>
        <v>0</v>
      </c>
      <c r="T195" s="260"/>
      <c r="U195" s="131">
        <f>IF(AND(H195="実施済",I195="実施済"),S195*1,0)</f>
        <v>0</v>
      </c>
      <c r="V195" s="131">
        <f>IF(J195="実施済",$U195*1,0)</f>
        <v>0</v>
      </c>
      <c r="W195" s="260"/>
      <c r="X195" s="131">
        <f t="shared" si="95"/>
        <v>0</v>
      </c>
      <c r="Y195" s="131">
        <f>MIN($X$193:$X$197)+1</f>
        <v>1</v>
      </c>
      <c r="Z195" s="131">
        <f t="shared" si="96"/>
        <v>0</v>
      </c>
      <c r="AA195" s="131" t="str" cm="1">
        <f t="array" ref="AA195">_xlfn.IFS(Y195=4,"A",Y195=3,"B",Y195=2,"C",Y195=1,"D")</f>
        <v>D</v>
      </c>
      <c r="AB195" s="131"/>
    </row>
    <row r="196" spans="1:28" s="2" customFormat="1" ht="9" customHeight="1">
      <c r="A196"/>
      <c r="B196" s="65"/>
      <c r="C196" s="4"/>
      <c r="D196" s="309"/>
      <c r="E196" s="310"/>
      <c r="F196" s="310"/>
      <c r="G196" s="310"/>
      <c r="H196" s="310"/>
      <c r="I196" s="310"/>
      <c r="J196" s="310"/>
      <c r="K196" s="310"/>
      <c r="L196" s="9"/>
      <c r="M196"/>
      <c r="P196"/>
      <c r="Q196"/>
      <c r="R196" s="217">
        <f>IF(E196="地区代表者",COUNTA($D$1:$D196),0)</f>
        <v>0</v>
      </c>
      <c r="S196" s="217">
        <f t="shared" ref="S196:S197" si="97">IF(F196="実施済",1,0)</f>
        <v>0</v>
      </c>
      <c r="T196" s="318"/>
      <c r="U196" s="217">
        <f t="shared" ref="U196:U197" si="98">IF(AND(H196="実施済",I196="実施済"),S196*1,0)</f>
        <v>0</v>
      </c>
      <c r="V196" s="217">
        <f t="shared" ref="V196:V197" si="99">IF(J196="実施済",$U196*1,0)</f>
        <v>0</v>
      </c>
      <c r="W196" s="318"/>
      <c r="X196" s="217" t="str">
        <f t="shared" si="95"/>
        <v/>
      </c>
      <c r="Y196" s="217">
        <f>MIN($X$193:$X$197)+1</f>
        <v>1</v>
      </c>
      <c r="Z196" s="217">
        <f t="shared" si="96"/>
        <v>1</v>
      </c>
      <c r="AA196" s="217" t="str" cm="1">
        <f t="array" ref="AA196">_xlfn.IFS(Y196=4,"A",Y196=3,"B",Y196=2,"C",Y196=1,"D")</f>
        <v>D</v>
      </c>
      <c r="AB196" s="217"/>
    </row>
    <row r="197" spans="1:28" s="2" customFormat="1" ht="6" customHeight="1">
      <c r="A197"/>
      <c r="B197"/>
      <c r="C197"/>
      <c r="D197" s="311"/>
      <c r="E197" s="312"/>
      <c r="F197" s="312"/>
      <c r="G197" s="312"/>
      <c r="H197" s="312"/>
      <c r="I197" s="312"/>
      <c r="J197" s="312"/>
      <c r="K197" s="312"/>
      <c r="L197"/>
      <c r="M197"/>
      <c r="P197"/>
      <c r="Q197"/>
      <c r="R197" s="217">
        <f>IF(E197="地区代表者",COUNTA($D$1:$D197),0)</f>
        <v>0</v>
      </c>
      <c r="S197" s="217">
        <f t="shared" si="97"/>
        <v>0</v>
      </c>
      <c r="T197" s="318"/>
      <c r="U197" s="217">
        <f t="shared" si="98"/>
        <v>0</v>
      </c>
      <c r="V197" s="217">
        <f t="shared" si="99"/>
        <v>0</v>
      </c>
      <c r="W197" s="318"/>
      <c r="X197" s="217" t="str">
        <f t="shared" si="95"/>
        <v/>
      </c>
      <c r="Y197" s="217">
        <f>MIN($X$193:$X$197)+1</f>
        <v>1</v>
      </c>
      <c r="Z197" s="217">
        <f t="shared" si="96"/>
        <v>1</v>
      </c>
      <c r="AA197" s="217" t="str" cm="1">
        <f t="array" ref="AA197">_xlfn.IFS(Y197=4,"A",Y197=3,"B",Y197=2,"C",Y197=1,"D")</f>
        <v>D</v>
      </c>
      <c r="AB197" s="217"/>
    </row>
    <row r="198" spans="1:28" ht="96" customHeight="1">
      <c r="C198" s="78"/>
      <c r="D198" s="79"/>
      <c r="E198" s="72" t="s">
        <v>238</v>
      </c>
      <c r="F198" s="1057"/>
      <c r="G198" s="1057"/>
      <c r="H198" s="1057"/>
      <c r="I198" s="1057"/>
      <c r="J198" s="1057"/>
      <c r="K198" s="1057"/>
      <c r="L198" s="80" t="s">
        <v>132</v>
      </c>
      <c r="M198" s="292"/>
    </row>
    <row r="199" spans="1:28" ht="96" customHeight="1">
      <c r="C199" s="75"/>
      <c r="D199" s="68"/>
      <c r="E199" s="72" t="s">
        <v>239</v>
      </c>
      <c r="F199" s="1058"/>
      <c r="G199" s="1059"/>
      <c r="H199" s="1059"/>
      <c r="I199" s="1059"/>
      <c r="J199" s="1059"/>
      <c r="K199" s="1060"/>
    </row>
    <row r="200" spans="1:28" ht="18.5" thickBot="1">
      <c r="A200" s="81"/>
      <c r="B200" s="81"/>
      <c r="C200" s="81"/>
      <c r="D200" s="81"/>
      <c r="E200" s="313"/>
      <c r="F200" s="81"/>
      <c r="G200" s="81"/>
      <c r="H200" s="81"/>
      <c r="I200" s="81"/>
      <c r="J200" s="81"/>
      <c r="K200" s="81"/>
      <c r="L200" s="81"/>
      <c r="M200" s="82"/>
    </row>
    <row r="202" spans="1:28" ht="9" customHeight="1">
      <c r="B202" s="10"/>
      <c r="C202" s="5"/>
      <c r="D202" s="5"/>
      <c r="E202" s="307"/>
      <c r="F202" s="5"/>
      <c r="G202" s="5"/>
      <c r="H202" s="5"/>
      <c r="I202" s="5"/>
      <c r="J202" s="5"/>
      <c r="K202" s="5"/>
      <c r="L202" s="6"/>
      <c r="M202"/>
      <c r="N202"/>
      <c r="O202"/>
      <c r="R202" t="str">
        <f>D203</f>
        <v>(選択してください)</v>
      </c>
    </row>
    <row r="203" spans="1:28">
      <c r="B203" s="7"/>
      <c r="C203" s="77" t="str">
        <f ca="1">IFERROR(OFFSET('4.2民生電力需要量'!$C$1,MATCH(D203,'4.2民生電力需要量'!$E:$E,0)-1,0),"")</f>
        <v/>
      </c>
      <c r="D203" s="96" t="s">
        <v>130</v>
      </c>
      <c r="E203" s="72" t="s">
        <v>131</v>
      </c>
      <c r="F203" s="1061" t="str">
        <f ca="1">IFERROR(OFFSET('4.2民生電力需要量'!$G$1,MATCH($D203,'4.2民生電力需要量'!$E:$E,0)-1,0),"")</f>
        <v/>
      </c>
      <c r="G203" s="1061"/>
      <c r="H203" s="1061"/>
      <c r="I203" s="1061"/>
      <c r="J203" s="1061"/>
      <c r="K203" s="1061"/>
      <c r="L203" s="8"/>
      <c r="M203"/>
      <c r="N203"/>
      <c r="O203"/>
      <c r="R203" s="177" t="str">
        <f ca="1">IFERROR(OFFSET('4.2民生電力需要量'!$G$1,MATCH($D203,'4.2民生電力需要量'!$E:$E,0)-1,0),"")</f>
        <v/>
      </c>
      <c r="S203" s="177"/>
      <c r="T203" s="177"/>
      <c r="U203" s="177"/>
      <c r="V203" s="177"/>
      <c r="W203" s="177"/>
      <c r="X203" s="177"/>
      <c r="Y203" s="177"/>
      <c r="Z203" s="177"/>
      <c r="AA203" s="177"/>
      <c r="AB203" s="177">
        <f ca="1">(F203=R203)*1</f>
        <v>1</v>
      </c>
    </row>
    <row r="204" spans="1:28">
      <c r="B204" s="7"/>
      <c r="C204" s="74"/>
      <c r="D204" s="66"/>
      <c r="E204" s="72" t="s">
        <v>221</v>
      </c>
      <c r="F204" s="1062" t="str">
        <f ca="1">IFERROR(OFFSET('4.2民生電力需要量'!$I$1,MATCH($D203,'4.2民生電力需要量'!$E:$E,0)-1,0),"")</f>
        <v/>
      </c>
      <c r="G204" s="1062"/>
      <c r="H204" s="1062"/>
      <c r="I204" s="1062"/>
      <c r="J204" s="1062"/>
      <c r="K204" s="1062"/>
      <c r="L204" s="8"/>
      <c r="M204"/>
      <c r="N204"/>
      <c r="O204"/>
      <c r="R204" s="177" t="str">
        <f ca="1">IFERROR(OFFSET('4.2民生電力需要量'!$I$1,MATCH($D203,'4.2民生電力需要量'!$E:$E,0)-1,0),"")</f>
        <v/>
      </c>
      <c r="S204" s="177"/>
      <c r="T204" s="177"/>
      <c r="U204" s="177"/>
      <c r="V204" s="177"/>
      <c r="W204" s="177"/>
      <c r="X204" s="177"/>
      <c r="Y204" s="177"/>
      <c r="Z204" s="177"/>
      <c r="AA204" s="177"/>
      <c r="AB204" s="177">
        <f ca="1">(F204=R204)*1</f>
        <v>1</v>
      </c>
    </row>
    <row r="205" spans="1:28">
      <c r="B205" s="7"/>
      <c r="C205" s="74"/>
      <c r="D205" s="66"/>
      <c r="E205" s="72" t="s">
        <v>175</v>
      </c>
      <c r="F205" s="1063" t="str">
        <f>_xlfn.IFNA(R205,"")</f>
        <v/>
      </c>
      <c r="G205" s="1063"/>
      <c r="H205" s="1063"/>
      <c r="I205" s="1063"/>
      <c r="J205" s="1063"/>
      <c r="K205" s="1063"/>
      <c r="L205" s="8"/>
      <c r="M205"/>
      <c r="N205"/>
      <c r="O205"/>
      <c r="R205" s="217" t="str">
        <f>IF(PRODUCT($Z207:$Z211)=1,AA207,"")</f>
        <v/>
      </c>
      <c r="S205" s="177"/>
      <c r="T205" s="177"/>
      <c r="U205" s="177"/>
      <c r="V205" s="177"/>
      <c r="W205" s="177"/>
      <c r="X205" s="177"/>
      <c r="Y205" s="177"/>
      <c r="Z205" s="177"/>
      <c r="AA205" s="177"/>
      <c r="AB205" s="177">
        <f>(F205=R205)*1</f>
        <v>1</v>
      </c>
    </row>
    <row r="206" spans="1:28" s="2" customFormat="1" ht="60">
      <c r="A206"/>
      <c r="B206" s="7"/>
      <c r="C206" s="74"/>
      <c r="D206" s="66"/>
      <c r="E206" s="308"/>
      <c r="F206" s="314" t="s">
        <v>302</v>
      </c>
      <c r="G206" s="315" t="s">
        <v>303</v>
      </c>
      <c r="H206" s="315" t="s">
        <v>304</v>
      </c>
      <c r="I206" s="315" t="s">
        <v>305</v>
      </c>
      <c r="J206" s="315" t="s">
        <v>435</v>
      </c>
      <c r="K206" s="315" t="s">
        <v>272</v>
      </c>
      <c r="L206" s="8"/>
      <c r="M206"/>
      <c r="P206"/>
      <c r="Q206"/>
      <c r="R206" s="296" t="s">
        <v>301</v>
      </c>
      <c r="S206" s="296" t="s">
        <v>302</v>
      </c>
      <c r="T206" s="316" t="s">
        <v>429</v>
      </c>
      <c r="U206" s="296" t="s">
        <v>430</v>
      </c>
      <c r="V206" s="296" t="s">
        <v>428</v>
      </c>
      <c r="W206" s="317" t="s">
        <v>272</v>
      </c>
      <c r="X206" s="296" t="s">
        <v>432</v>
      </c>
      <c r="Y206" s="217" t="s">
        <v>408</v>
      </c>
      <c r="Z206" s="217" t="s">
        <v>436</v>
      </c>
      <c r="AA206" s="296" t="s">
        <v>431</v>
      </c>
      <c r="AB206" s="296"/>
    </row>
    <row r="207" spans="1:28" s="101" customFormat="1" ht="18.75" hidden="1" customHeight="1">
      <c r="A207" s="11"/>
      <c r="B207" s="97"/>
      <c r="C207" s="98"/>
      <c r="D207" s="99"/>
      <c r="E207" s="440"/>
      <c r="F207" s="441"/>
      <c r="G207" s="441"/>
      <c r="H207" s="441"/>
      <c r="I207" s="441"/>
      <c r="J207" s="441"/>
      <c r="K207" s="441"/>
      <c r="L207" s="100"/>
      <c r="M207" s="11"/>
      <c r="Q207" s="11"/>
      <c r="R207" s="131">
        <f>IF(E207="地区代表者",COUNTA($D$1:$D207),0)</f>
        <v>0</v>
      </c>
      <c r="S207" s="131">
        <f t="shared" ref="S207:S208" si="100">IF(F207="実施済",1,0)</f>
        <v>0</v>
      </c>
      <c r="T207" s="260"/>
      <c r="U207" s="131">
        <f t="shared" ref="U207:U208" si="101">IF(AND(H207="実施済",I207="実施済"),S207*1,0)</f>
        <v>0</v>
      </c>
      <c r="V207" s="131">
        <f>IF(J207="実施済",$U207*1,0)</f>
        <v>0</v>
      </c>
      <c r="W207" s="260"/>
      <c r="X207" s="131" t="str">
        <f>IF(E207="","",IF(R207*S207&gt;0,3,SUM(S207,U207,V207)))</f>
        <v/>
      </c>
      <c r="Y207" s="131">
        <f>MIN($X$207:$X$211)+1</f>
        <v>1</v>
      </c>
      <c r="Z207" s="131">
        <f>IF(E207="",1,IF(R207&gt;0,IF(COUNTA($F207:$K207)=2,1,0),IF(COUNTA($F207:$K207)=6,1,0)))</f>
        <v>1</v>
      </c>
      <c r="AA207" s="131" t="str" cm="1">
        <f t="array" ref="AA207">_xlfn.IFS(Y207=4,"A",Y207=3,"B",Y207=2,"C",Y207=1,"D")</f>
        <v>D</v>
      </c>
      <c r="AB207" s="131" t="str" cm="1">
        <f t="array" ref="AB207">_xlfn.IFS(Z207=4,"A",Z207=3,"B",Z207=2,"C",Z207=1,"D")</f>
        <v>D</v>
      </c>
    </row>
    <row r="208" spans="1:28" s="101" customFormat="1" ht="18.75" customHeight="1">
      <c r="A208" s="11"/>
      <c r="B208" s="97"/>
      <c r="C208" s="98"/>
      <c r="D208" s="99"/>
      <c r="E208" s="442" t="s">
        <v>301</v>
      </c>
      <c r="F208" s="443"/>
      <c r="G208" s="846"/>
      <c r="H208" s="846"/>
      <c r="I208" s="846"/>
      <c r="J208" s="846"/>
      <c r="K208" s="443"/>
      <c r="L208" s="100"/>
      <c r="M208" s="11"/>
      <c r="Q208" s="11"/>
      <c r="R208" s="131">
        <f>IF(E208="地区代表者",COUNTA($D$1:$D208),0)</f>
        <v>15</v>
      </c>
      <c r="S208" s="131">
        <f t="shared" si="100"/>
        <v>0</v>
      </c>
      <c r="T208" s="260"/>
      <c r="U208" s="131">
        <f t="shared" si="101"/>
        <v>0</v>
      </c>
      <c r="V208" s="131">
        <f>IF(J208="実施済",$U208*1,0)</f>
        <v>0</v>
      </c>
      <c r="W208" s="260"/>
      <c r="X208" s="131">
        <f t="shared" ref="X208:X211" si="102">IF(E208="","",IF(R208*S208&gt;0,3,SUM(S208,U208,V208)))</f>
        <v>0</v>
      </c>
      <c r="Y208" s="131">
        <f>MIN($X$207:$X$211)+1</f>
        <v>1</v>
      </c>
      <c r="Z208" s="131">
        <f t="shared" ref="Z208:Z211" si="103">IF(E208="",1,IF(R208&gt;0,IF(COUNTA($F208:$K208)=2,1,0),IF(COUNTA($F208:$K208)=6,1,0)))</f>
        <v>0</v>
      </c>
      <c r="AA208" s="131" t="str" cm="1">
        <f t="array" ref="AA208">_xlfn.IFS(Y208=4,"A",Y208=3,"B",Y208=2,"C",Y208=1,"D")</f>
        <v>D</v>
      </c>
      <c r="AB208" s="131"/>
    </row>
    <row r="209" spans="1:28" s="101" customFormat="1" ht="18.75" customHeight="1">
      <c r="A209" s="11"/>
      <c r="B209" s="97"/>
      <c r="C209" s="98"/>
      <c r="D209" s="99"/>
      <c r="E209" s="442" t="s">
        <v>116</v>
      </c>
      <c r="F209" s="443"/>
      <c r="G209" s="443"/>
      <c r="H209" s="443"/>
      <c r="I209" s="443"/>
      <c r="J209" s="443"/>
      <c r="K209" s="443"/>
      <c r="L209" s="100"/>
      <c r="M209" s="11"/>
      <c r="P209" s="11"/>
      <c r="Q209" s="11"/>
      <c r="R209" s="131">
        <f>IF(E209="地区代表者",COUNTA($D$1:$D209),0)</f>
        <v>0</v>
      </c>
      <c r="S209" s="131">
        <f>IF(F209="実施済",1,0)</f>
        <v>0</v>
      </c>
      <c r="T209" s="260"/>
      <c r="U209" s="131">
        <f>IF(AND(H209="実施済",I209="実施済"),S209*1,0)</f>
        <v>0</v>
      </c>
      <c r="V209" s="131">
        <f>IF(J209="実施済",$U209*1,0)</f>
        <v>0</v>
      </c>
      <c r="W209" s="260"/>
      <c r="X209" s="131">
        <f t="shared" si="102"/>
        <v>0</v>
      </c>
      <c r="Y209" s="131">
        <f>MIN($X$207:$X$211)+1</f>
        <v>1</v>
      </c>
      <c r="Z209" s="131">
        <f t="shared" si="103"/>
        <v>0</v>
      </c>
      <c r="AA209" s="131" t="str" cm="1">
        <f t="array" ref="AA209">_xlfn.IFS(Y209=4,"A",Y209=3,"B",Y209=2,"C",Y209=1,"D")</f>
        <v>D</v>
      </c>
      <c r="AB209" s="131"/>
    </row>
    <row r="210" spans="1:28" s="2" customFormat="1" ht="9" customHeight="1">
      <c r="A210"/>
      <c r="B210" s="65"/>
      <c r="C210" s="4"/>
      <c r="D210" s="309"/>
      <c r="E210" s="310"/>
      <c r="F210" s="310"/>
      <c r="G210" s="310"/>
      <c r="H210" s="310"/>
      <c r="I210" s="310"/>
      <c r="J210" s="310"/>
      <c r="K210" s="310"/>
      <c r="L210" s="9"/>
      <c r="M210"/>
      <c r="P210"/>
      <c r="Q210"/>
      <c r="R210" s="217">
        <f>IF(E210="地区代表者",COUNTA($D$1:$D210),0)</f>
        <v>0</v>
      </c>
      <c r="S210" s="217">
        <f t="shared" ref="S210:S211" si="104">IF(F210="実施済",1,0)</f>
        <v>0</v>
      </c>
      <c r="T210" s="318"/>
      <c r="U210" s="217">
        <f t="shared" ref="U210:U211" si="105">IF(AND(H210="実施済",I210="実施済"),S210*1,0)</f>
        <v>0</v>
      </c>
      <c r="V210" s="217">
        <f t="shared" ref="V210:V211" si="106">IF(J210="実施済",$U210*1,0)</f>
        <v>0</v>
      </c>
      <c r="W210" s="318"/>
      <c r="X210" s="217" t="str">
        <f t="shared" si="102"/>
        <v/>
      </c>
      <c r="Y210" s="217">
        <f>MIN($X$207:$X$211)+1</f>
        <v>1</v>
      </c>
      <c r="Z210" s="217">
        <f t="shared" si="103"/>
        <v>1</v>
      </c>
      <c r="AA210" s="217" t="str" cm="1">
        <f t="array" ref="AA210">_xlfn.IFS(Y210=4,"A",Y210=3,"B",Y210=2,"C",Y210=1,"D")</f>
        <v>D</v>
      </c>
      <c r="AB210" s="217"/>
    </row>
    <row r="211" spans="1:28" s="2" customFormat="1" ht="6" customHeight="1">
      <c r="A211"/>
      <c r="B211"/>
      <c r="C211"/>
      <c r="D211" s="311"/>
      <c r="E211" s="312"/>
      <c r="F211" s="312"/>
      <c r="G211" s="312"/>
      <c r="H211" s="312"/>
      <c r="I211" s="312"/>
      <c r="J211" s="312"/>
      <c r="K211" s="312"/>
      <c r="L211"/>
      <c r="M211"/>
      <c r="P211"/>
      <c r="Q211"/>
      <c r="R211" s="217">
        <f>IF(E211="地区代表者",COUNTA($D$1:$D211),0)</f>
        <v>0</v>
      </c>
      <c r="S211" s="217">
        <f t="shared" si="104"/>
        <v>0</v>
      </c>
      <c r="T211" s="318"/>
      <c r="U211" s="217">
        <f t="shared" si="105"/>
        <v>0</v>
      </c>
      <c r="V211" s="217">
        <f t="shared" si="106"/>
        <v>0</v>
      </c>
      <c r="W211" s="318"/>
      <c r="X211" s="217" t="str">
        <f t="shared" si="102"/>
        <v/>
      </c>
      <c r="Y211" s="217">
        <f>MIN($X$207:$X$211)+1</f>
        <v>1</v>
      </c>
      <c r="Z211" s="217">
        <f t="shared" si="103"/>
        <v>1</v>
      </c>
      <c r="AA211" s="217" t="str" cm="1">
        <f t="array" ref="AA211">_xlfn.IFS(Y211=4,"A",Y211=3,"B",Y211=2,"C",Y211=1,"D")</f>
        <v>D</v>
      </c>
      <c r="AB211" s="217"/>
    </row>
    <row r="212" spans="1:28" ht="96" customHeight="1">
      <c r="C212" s="78"/>
      <c r="D212" s="79"/>
      <c r="E212" s="72" t="s">
        <v>238</v>
      </c>
      <c r="F212" s="1057"/>
      <c r="G212" s="1057"/>
      <c r="H212" s="1057"/>
      <c r="I212" s="1057"/>
      <c r="J212" s="1057"/>
      <c r="K212" s="1057"/>
      <c r="L212" s="80" t="s">
        <v>132</v>
      </c>
      <c r="M212" s="292"/>
    </row>
    <row r="213" spans="1:28" ht="96" customHeight="1">
      <c r="C213" s="75"/>
      <c r="D213" s="68"/>
      <c r="E213" s="72" t="s">
        <v>239</v>
      </c>
      <c r="F213" s="1058"/>
      <c r="G213" s="1059"/>
      <c r="H213" s="1059"/>
      <c r="I213" s="1059"/>
      <c r="J213" s="1059"/>
      <c r="K213" s="1060"/>
    </row>
    <row r="214" spans="1:28" ht="18.5" thickBot="1">
      <c r="A214" s="81"/>
      <c r="B214" s="81"/>
      <c r="C214" s="81"/>
      <c r="D214" s="81"/>
      <c r="E214" s="313"/>
      <c r="F214" s="81"/>
      <c r="G214" s="81"/>
      <c r="H214" s="81"/>
      <c r="I214" s="81"/>
      <c r="J214" s="81"/>
      <c r="K214" s="81"/>
      <c r="L214" s="81"/>
      <c r="M214" s="82"/>
    </row>
    <row r="216" spans="1:28" ht="9" customHeight="1">
      <c r="B216" s="10"/>
      <c r="C216" s="5"/>
      <c r="D216" s="5"/>
      <c r="E216" s="307"/>
      <c r="F216" s="5"/>
      <c r="G216" s="5"/>
      <c r="H216" s="5"/>
      <c r="I216" s="5"/>
      <c r="J216" s="5"/>
      <c r="K216" s="5"/>
      <c r="L216" s="6"/>
      <c r="M216"/>
      <c r="N216"/>
      <c r="O216"/>
      <c r="R216" t="str">
        <f>D217</f>
        <v>(選択してください)</v>
      </c>
    </row>
    <row r="217" spans="1:28">
      <c r="B217" s="7"/>
      <c r="C217" s="77" t="str">
        <f ca="1">IFERROR(OFFSET('4.2民生電力需要量'!$C$1,MATCH(D217,'4.2民生電力需要量'!$E:$E,0)-1,0),"")</f>
        <v/>
      </c>
      <c r="D217" s="96" t="s">
        <v>130</v>
      </c>
      <c r="E217" s="72" t="s">
        <v>131</v>
      </c>
      <c r="F217" s="1061" t="str">
        <f ca="1">IFERROR(OFFSET('4.2民生電力需要量'!$G$1,MATCH($D217,'4.2民生電力需要量'!$E:$E,0)-1,0),"")</f>
        <v/>
      </c>
      <c r="G217" s="1061"/>
      <c r="H217" s="1061"/>
      <c r="I217" s="1061"/>
      <c r="J217" s="1061"/>
      <c r="K217" s="1061"/>
      <c r="L217" s="8"/>
      <c r="M217"/>
      <c r="N217"/>
      <c r="O217"/>
      <c r="R217" s="177" t="str">
        <f ca="1">IFERROR(OFFSET('4.2民生電力需要量'!$G$1,MATCH($D217,'4.2民生電力需要量'!$E:$E,0)-1,0),"")</f>
        <v/>
      </c>
      <c r="S217" s="177"/>
      <c r="T217" s="177"/>
      <c r="U217" s="177"/>
      <c r="V217" s="177"/>
      <c r="W217" s="177"/>
      <c r="X217" s="177"/>
      <c r="Y217" s="177"/>
      <c r="Z217" s="177"/>
      <c r="AA217" s="177"/>
      <c r="AB217" s="177">
        <f ca="1">(F217=R217)*1</f>
        <v>1</v>
      </c>
    </row>
    <row r="218" spans="1:28">
      <c r="B218" s="7"/>
      <c r="C218" s="74"/>
      <c r="D218" s="66"/>
      <c r="E218" s="72" t="s">
        <v>221</v>
      </c>
      <c r="F218" s="1062" t="str">
        <f ca="1">IFERROR(OFFSET('4.2民生電力需要量'!$I$1,MATCH($D217,'4.2民生電力需要量'!$E:$E,0)-1,0),"")</f>
        <v/>
      </c>
      <c r="G218" s="1062"/>
      <c r="H218" s="1062"/>
      <c r="I218" s="1062"/>
      <c r="J218" s="1062"/>
      <c r="K218" s="1062"/>
      <c r="L218" s="8"/>
      <c r="M218"/>
      <c r="N218"/>
      <c r="O218"/>
      <c r="R218" s="177" t="str">
        <f ca="1">IFERROR(OFFSET('4.2民生電力需要量'!$I$1,MATCH($D217,'4.2民生電力需要量'!$E:$E,0)-1,0),"")</f>
        <v/>
      </c>
      <c r="S218" s="177"/>
      <c r="T218" s="177"/>
      <c r="U218" s="177"/>
      <c r="V218" s="177"/>
      <c r="W218" s="177"/>
      <c r="X218" s="177"/>
      <c r="Y218" s="177"/>
      <c r="Z218" s="177"/>
      <c r="AA218" s="177"/>
      <c r="AB218" s="177">
        <f ca="1">(F218=R218)*1</f>
        <v>1</v>
      </c>
    </row>
    <row r="219" spans="1:28">
      <c r="B219" s="7"/>
      <c r="C219" s="74"/>
      <c r="D219" s="66"/>
      <c r="E219" s="72" t="s">
        <v>175</v>
      </c>
      <c r="F219" s="1063" t="str">
        <f>_xlfn.IFNA(R219,"")</f>
        <v/>
      </c>
      <c r="G219" s="1063"/>
      <c r="H219" s="1063"/>
      <c r="I219" s="1063"/>
      <c r="J219" s="1063"/>
      <c r="K219" s="1063"/>
      <c r="L219" s="8"/>
      <c r="M219"/>
      <c r="N219"/>
      <c r="O219"/>
      <c r="R219" s="217" t="str">
        <f>IF(PRODUCT($Z221:$Z225)=1,AA221,"")</f>
        <v/>
      </c>
      <c r="S219" s="177"/>
      <c r="T219" s="177"/>
      <c r="U219" s="177"/>
      <c r="V219" s="177"/>
      <c r="W219" s="177"/>
      <c r="X219" s="177"/>
      <c r="Y219" s="177"/>
      <c r="Z219" s="177"/>
      <c r="AA219" s="177"/>
      <c r="AB219" s="177">
        <f>(F219=R219)*1</f>
        <v>1</v>
      </c>
    </row>
    <row r="220" spans="1:28" s="2" customFormat="1" ht="60">
      <c r="A220"/>
      <c r="B220" s="7"/>
      <c r="C220" s="74"/>
      <c r="D220" s="66"/>
      <c r="E220" s="308"/>
      <c r="F220" s="314" t="s">
        <v>302</v>
      </c>
      <c r="G220" s="315" t="s">
        <v>303</v>
      </c>
      <c r="H220" s="315" t="s">
        <v>304</v>
      </c>
      <c r="I220" s="315" t="s">
        <v>305</v>
      </c>
      <c r="J220" s="315" t="s">
        <v>435</v>
      </c>
      <c r="K220" s="315" t="s">
        <v>272</v>
      </c>
      <c r="L220" s="8"/>
      <c r="M220"/>
      <c r="P220"/>
      <c r="Q220"/>
      <c r="R220" s="296" t="s">
        <v>301</v>
      </c>
      <c r="S220" s="296" t="s">
        <v>302</v>
      </c>
      <c r="T220" s="316" t="s">
        <v>429</v>
      </c>
      <c r="U220" s="296" t="s">
        <v>430</v>
      </c>
      <c r="V220" s="296" t="s">
        <v>428</v>
      </c>
      <c r="W220" s="317" t="s">
        <v>272</v>
      </c>
      <c r="X220" s="296" t="s">
        <v>432</v>
      </c>
      <c r="Y220" s="217" t="s">
        <v>408</v>
      </c>
      <c r="Z220" s="217" t="s">
        <v>436</v>
      </c>
      <c r="AA220" s="296" t="s">
        <v>431</v>
      </c>
      <c r="AB220" s="296"/>
    </row>
    <row r="221" spans="1:28" s="101" customFormat="1" ht="18.75" hidden="1" customHeight="1">
      <c r="A221" s="11"/>
      <c r="B221" s="97"/>
      <c r="C221" s="98"/>
      <c r="D221" s="99"/>
      <c r="E221" s="440"/>
      <c r="F221" s="441"/>
      <c r="G221" s="441"/>
      <c r="H221" s="441"/>
      <c r="I221" s="441"/>
      <c r="J221" s="441"/>
      <c r="K221" s="441"/>
      <c r="L221" s="100"/>
      <c r="M221" s="11"/>
      <c r="Q221" s="11"/>
      <c r="R221" s="131">
        <f>IF(E221="地区代表者",COUNTA($D$1:$D221),0)</f>
        <v>0</v>
      </c>
      <c r="S221" s="131">
        <f t="shared" ref="S221:S222" si="107">IF(F221="実施済",1,0)</f>
        <v>0</v>
      </c>
      <c r="T221" s="260"/>
      <c r="U221" s="131">
        <f t="shared" ref="U221:U222" si="108">IF(AND(H221="実施済",I221="実施済"),S221*1,0)</f>
        <v>0</v>
      </c>
      <c r="V221" s="131">
        <f>IF(J221="実施済",$U221*1,0)</f>
        <v>0</v>
      </c>
      <c r="W221" s="260"/>
      <c r="X221" s="131" t="str">
        <f>IF(E221="","",IF(R221*S221&gt;0,3,SUM(S221,U221,V221)))</f>
        <v/>
      </c>
      <c r="Y221" s="131">
        <f>MIN($X$221:$X$225)+1</f>
        <v>1</v>
      </c>
      <c r="Z221" s="131">
        <f>IF(E221="",1,IF(R221&gt;0,IF(COUNTA($F221:$K221)=2,1,0),IF(COUNTA($F221:$K221)=6,1,0)))</f>
        <v>1</v>
      </c>
      <c r="AA221" s="131" t="str" cm="1">
        <f t="array" ref="AA221">_xlfn.IFS(Y221=4,"A",Y221=3,"B",Y221=2,"C",Y221=1,"D")</f>
        <v>D</v>
      </c>
      <c r="AB221" s="131" t="str" cm="1">
        <f t="array" ref="AB221">_xlfn.IFS(Z221=4,"A",Z221=3,"B",Z221=2,"C",Z221=1,"D")</f>
        <v>D</v>
      </c>
    </row>
    <row r="222" spans="1:28" s="101" customFormat="1" ht="18.75" customHeight="1">
      <c r="A222" s="11"/>
      <c r="B222" s="97"/>
      <c r="C222" s="98"/>
      <c r="D222" s="99"/>
      <c r="E222" s="442" t="s">
        <v>301</v>
      </c>
      <c r="F222" s="443"/>
      <c r="G222" s="846"/>
      <c r="H222" s="846"/>
      <c r="I222" s="846"/>
      <c r="J222" s="846"/>
      <c r="K222" s="443"/>
      <c r="L222" s="100"/>
      <c r="M222" s="11"/>
      <c r="Q222" s="11"/>
      <c r="R222" s="131">
        <f>IF(E222="地区代表者",COUNTA($D$1:$D222),0)</f>
        <v>16</v>
      </c>
      <c r="S222" s="131">
        <f t="shared" si="107"/>
        <v>0</v>
      </c>
      <c r="T222" s="260"/>
      <c r="U222" s="131">
        <f t="shared" si="108"/>
        <v>0</v>
      </c>
      <c r="V222" s="131">
        <f>IF(J222="実施済",$U222*1,0)</f>
        <v>0</v>
      </c>
      <c r="W222" s="260"/>
      <c r="X222" s="131">
        <f t="shared" ref="X222:X225" si="109">IF(E222="","",IF(R222*S222&gt;0,3,SUM(S222,U222,V222)))</f>
        <v>0</v>
      </c>
      <c r="Y222" s="131">
        <f>MIN($X$221:$X$225)+1</f>
        <v>1</v>
      </c>
      <c r="Z222" s="131">
        <f t="shared" ref="Z222:Z225" si="110">IF(E222="",1,IF(R222&gt;0,IF(COUNTA($F222:$K222)=2,1,0),IF(COUNTA($F222:$K222)=6,1,0)))</f>
        <v>0</v>
      </c>
      <c r="AA222" s="131" t="str" cm="1">
        <f t="array" ref="AA222">_xlfn.IFS(Y222=4,"A",Y222=3,"B",Y222=2,"C",Y222=1,"D")</f>
        <v>D</v>
      </c>
      <c r="AB222" s="131"/>
    </row>
    <row r="223" spans="1:28" s="101" customFormat="1" ht="18.75" customHeight="1">
      <c r="A223" s="11"/>
      <c r="B223" s="97"/>
      <c r="C223" s="98"/>
      <c r="D223" s="99"/>
      <c r="E223" s="442" t="s">
        <v>116</v>
      </c>
      <c r="F223" s="443"/>
      <c r="G223" s="443"/>
      <c r="H223" s="443"/>
      <c r="I223" s="443"/>
      <c r="J223" s="443"/>
      <c r="K223" s="443"/>
      <c r="L223" s="100"/>
      <c r="M223" s="11"/>
      <c r="P223" s="11"/>
      <c r="Q223" s="11"/>
      <c r="R223" s="131">
        <f>IF(E223="地区代表者",COUNTA($D$1:$D223),0)</f>
        <v>0</v>
      </c>
      <c r="S223" s="131">
        <f>IF(F223="実施済",1,0)</f>
        <v>0</v>
      </c>
      <c r="T223" s="260"/>
      <c r="U223" s="131">
        <f>IF(AND(H223="実施済",I223="実施済"),S223*1,0)</f>
        <v>0</v>
      </c>
      <c r="V223" s="131">
        <f>IF(J223="実施済",$U223*1,0)</f>
        <v>0</v>
      </c>
      <c r="W223" s="260"/>
      <c r="X223" s="131">
        <f t="shared" si="109"/>
        <v>0</v>
      </c>
      <c r="Y223" s="131">
        <f>MIN($X$221:$X$225)+1</f>
        <v>1</v>
      </c>
      <c r="Z223" s="131">
        <f t="shared" si="110"/>
        <v>0</v>
      </c>
      <c r="AA223" s="131" t="str" cm="1">
        <f t="array" ref="AA223">_xlfn.IFS(Y223=4,"A",Y223=3,"B",Y223=2,"C",Y223=1,"D")</f>
        <v>D</v>
      </c>
      <c r="AB223" s="131"/>
    </row>
    <row r="224" spans="1:28" s="2" customFormat="1" ht="9" customHeight="1">
      <c r="A224"/>
      <c r="B224" s="65"/>
      <c r="C224" s="4"/>
      <c r="D224" s="309"/>
      <c r="E224" s="310"/>
      <c r="F224" s="310"/>
      <c r="G224" s="310"/>
      <c r="H224" s="310"/>
      <c r="I224" s="310"/>
      <c r="J224" s="310"/>
      <c r="K224" s="310"/>
      <c r="L224" s="9"/>
      <c r="M224"/>
      <c r="P224"/>
      <c r="Q224"/>
      <c r="R224" s="217">
        <f>IF(E224="地区代表者",COUNTA($D$1:$D224),0)</f>
        <v>0</v>
      </c>
      <c r="S224" s="217">
        <f t="shared" ref="S224:S225" si="111">IF(F224="実施済",1,0)</f>
        <v>0</v>
      </c>
      <c r="T224" s="318"/>
      <c r="U224" s="217">
        <f t="shared" ref="U224:U225" si="112">IF(AND(H224="実施済",I224="実施済"),S224*1,0)</f>
        <v>0</v>
      </c>
      <c r="V224" s="217">
        <f t="shared" ref="V224:V225" si="113">IF(J224="実施済",$U224*1,0)</f>
        <v>0</v>
      </c>
      <c r="W224" s="318"/>
      <c r="X224" s="217" t="str">
        <f t="shared" si="109"/>
        <v/>
      </c>
      <c r="Y224" s="217">
        <f>MIN($X$221:$X$225)+1</f>
        <v>1</v>
      </c>
      <c r="Z224" s="217">
        <f t="shared" si="110"/>
        <v>1</v>
      </c>
      <c r="AA224" s="217" t="str" cm="1">
        <f t="array" ref="AA224">_xlfn.IFS(Y224=4,"A",Y224=3,"B",Y224=2,"C",Y224=1,"D")</f>
        <v>D</v>
      </c>
      <c r="AB224" s="217"/>
    </row>
    <row r="225" spans="1:28" s="2" customFormat="1" ht="6" customHeight="1">
      <c r="A225"/>
      <c r="B225"/>
      <c r="C225"/>
      <c r="D225" s="311"/>
      <c r="E225" s="312"/>
      <c r="F225" s="312"/>
      <c r="G225" s="312"/>
      <c r="H225" s="312"/>
      <c r="I225" s="312"/>
      <c r="J225" s="312"/>
      <c r="K225" s="312"/>
      <c r="L225"/>
      <c r="M225"/>
      <c r="P225"/>
      <c r="Q225"/>
      <c r="R225" s="217">
        <f>IF(E225="地区代表者",COUNTA($D$1:$D225),0)</f>
        <v>0</v>
      </c>
      <c r="S225" s="217">
        <f t="shared" si="111"/>
        <v>0</v>
      </c>
      <c r="T225" s="318"/>
      <c r="U225" s="217">
        <f t="shared" si="112"/>
        <v>0</v>
      </c>
      <c r="V225" s="217">
        <f t="shared" si="113"/>
        <v>0</v>
      </c>
      <c r="W225" s="318"/>
      <c r="X225" s="217" t="str">
        <f t="shared" si="109"/>
        <v/>
      </c>
      <c r="Y225" s="217">
        <f>MIN($X$221:$X$225)+1</f>
        <v>1</v>
      </c>
      <c r="Z225" s="217">
        <f t="shared" si="110"/>
        <v>1</v>
      </c>
      <c r="AA225" s="217" t="str" cm="1">
        <f t="array" ref="AA225">_xlfn.IFS(Y225=4,"A",Y225=3,"B",Y225=2,"C",Y225=1,"D")</f>
        <v>D</v>
      </c>
      <c r="AB225" s="217"/>
    </row>
    <row r="226" spans="1:28" ht="96" customHeight="1">
      <c r="C226" s="78"/>
      <c r="D226" s="79"/>
      <c r="E226" s="72" t="s">
        <v>238</v>
      </c>
      <c r="F226" s="1057"/>
      <c r="G226" s="1057"/>
      <c r="H226" s="1057"/>
      <c r="I226" s="1057"/>
      <c r="J226" s="1057"/>
      <c r="K226" s="1057"/>
      <c r="L226" s="80" t="s">
        <v>132</v>
      </c>
      <c r="M226" s="292"/>
    </row>
    <row r="227" spans="1:28" ht="96" customHeight="1">
      <c r="C227" s="75"/>
      <c r="D227" s="68"/>
      <c r="E227" s="72" t="s">
        <v>239</v>
      </c>
      <c r="F227" s="1058"/>
      <c r="G227" s="1059"/>
      <c r="H227" s="1059"/>
      <c r="I227" s="1059"/>
      <c r="J227" s="1059"/>
      <c r="K227" s="1060"/>
    </row>
    <row r="228" spans="1:28" ht="18.5" thickBot="1">
      <c r="A228" s="81"/>
      <c r="B228" s="81"/>
      <c r="C228" s="81"/>
      <c r="D228" s="81"/>
      <c r="E228" s="313"/>
      <c r="F228" s="81"/>
      <c r="G228" s="81"/>
      <c r="H228" s="81"/>
      <c r="I228" s="81"/>
      <c r="J228" s="81"/>
      <c r="K228" s="81"/>
      <c r="L228" s="81"/>
      <c r="M228" s="82"/>
    </row>
    <row r="230" spans="1:28" ht="9" customHeight="1">
      <c r="B230" s="10"/>
      <c r="C230" s="5"/>
      <c r="D230" s="5"/>
      <c r="E230" s="307"/>
      <c r="F230" s="5"/>
      <c r="G230" s="5"/>
      <c r="H230" s="5"/>
      <c r="I230" s="5"/>
      <c r="J230" s="5"/>
      <c r="K230" s="5"/>
      <c r="L230" s="6"/>
      <c r="M230"/>
      <c r="N230"/>
      <c r="O230"/>
      <c r="R230" t="str">
        <f>D231</f>
        <v>(選択してください)</v>
      </c>
    </row>
    <row r="231" spans="1:28">
      <c r="B231" s="7"/>
      <c r="C231" s="77" t="str">
        <f ca="1">IFERROR(OFFSET('4.2民生電力需要量'!$C$1,MATCH(D231,'4.2民生電力需要量'!$E:$E,0)-1,0),"")</f>
        <v/>
      </c>
      <c r="D231" s="96" t="s">
        <v>130</v>
      </c>
      <c r="E231" s="72" t="s">
        <v>131</v>
      </c>
      <c r="F231" s="1061" t="str">
        <f ca="1">IFERROR(OFFSET('4.2民生電力需要量'!$G$1,MATCH($D231,'4.2民生電力需要量'!$E:$E,0)-1,0),"")</f>
        <v/>
      </c>
      <c r="G231" s="1061"/>
      <c r="H231" s="1061"/>
      <c r="I231" s="1061"/>
      <c r="J231" s="1061"/>
      <c r="K231" s="1061"/>
      <c r="L231" s="8"/>
      <c r="M231"/>
      <c r="N231"/>
      <c r="O231"/>
      <c r="R231" s="177" t="str">
        <f ca="1">IFERROR(OFFSET('4.2民生電力需要量'!$G$1,MATCH($D231,'4.2民生電力需要量'!$E:$E,0)-1,0),"")</f>
        <v/>
      </c>
      <c r="S231" s="177"/>
      <c r="T231" s="177"/>
      <c r="U231" s="177"/>
      <c r="V231" s="177"/>
      <c r="W231" s="177"/>
      <c r="X231" s="177"/>
      <c r="Y231" s="177"/>
      <c r="Z231" s="177"/>
      <c r="AA231" s="177"/>
      <c r="AB231" s="177">
        <f ca="1">(F231=R231)*1</f>
        <v>1</v>
      </c>
    </row>
    <row r="232" spans="1:28">
      <c r="B232" s="7"/>
      <c r="C232" s="74"/>
      <c r="D232" s="66"/>
      <c r="E232" s="72" t="s">
        <v>221</v>
      </c>
      <c r="F232" s="1062" t="str">
        <f ca="1">IFERROR(OFFSET('4.2民生電力需要量'!$I$1,MATCH($D231,'4.2民生電力需要量'!$E:$E,0)-1,0),"")</f>
        <v/>
      </c>
      <c r="G232" s="1062"/>
      <c r="H232" s="1062"/>
      <c r="I232" s="1062"/>
      <c r="J232" s="1062"/>
      <c r="K232" s="1062"/>
      <c r="L232" s="8"/>
      <c r="M232"/>
      <c r="N232"/>
      <c r="O232"/>
      <c r="R232" s="177" t="str">
        <f ca="1">IFERROR(OFFSET('4.2民生電力需要量'!$I$1,MATCH($D231,'4.2民生電力需要量'!$E:$E,0)-1,0),"")</f>
        <v/>
      </c>
      <c r="S232" s="177"/>
      <c r="T232" s="177"/>
      <c r="U232" s="177"/>
      <c r="V232" s="177"/>
      <c r="W232" s="177"/>
      <c r="X232" s="177"/>
      <c r="Y232" s="177"/>
      <c r="Z232" s="177"/>
      <c r="AA232" s="177"/>
      <c r="AB232" s="177">
        <f ca="1">(F232=R232)*1</f>
        <v>1</v>
      </c>
    </row>
    <row r="233" spans="1:28">
      <c r="B233" s="7"/>
      <c r="C233" s="74"/>
      <c r="D233" s="66"/>
      <c r="E233" s="72" t="s">
        <v>175</v>
      </c>
      <c r="F233" s="1063" t="str">
        <f>_xlfn.IFNA(R233,"")</f>
        <v/>
      </c>
      <c r="G233" s="1063"/>
      <c r="H233" s="1063"/>
      <c r="I233" s="1063"/>
      <c r="J233" s="1063"/>
      <c r="K233" s="1063"/>
      <c r="L233" s="8"/>
      <c r="M233"/>
      <c r="N233"/>
      <c r="O233"/>
      <c r="R233" s="217" t="str">
        <f>IF(PRODUCT($Z235:$Z239)=1,AA235,"")</f>
        <v/>
      </c>
      <c r="S233" s="177"/>
      <c r="T233" s="177"/>
      <c r="U233" s="177"/>
      <c r="V233" s="177"/>
      <c r="W233" s="177"/>
      <c r="X233" s="177"/>
      <c r="Y233" s="177"/>
      <c r="Z233" s="177"/>
      <c r="AA233" s="177"/>
      <c r="AB233" s="177">
        <f>(F233=R233)*1</f>
        <v>1</v>
      </c>
    </row>
    <row r="234" spans="1:28" s="2" customFormat="1" ht="60">
      <c r="A234"/>
      <c r="B234" s="7"/>
      <c r="C234" s="74"/>
      <c r="D234" s="66"/>
      <c r="E234" s="308"/>
      <c r="F234" s="314" t="s">
        <v>302</v>
      </c>
      <c r="G234" s="315" t="s">
        <v>303</v>
      </c>
      <c r="H234" s="315" t="s">
        <v>304</v>
      </c>
      <c r="I234" s="315" t="s">
        <v>305</v>
      </c>
      <c r="J234" s="315" t="s">
        <v>435</v>
      </c>
      <c r="K234" s="315" t="s">
        <v>272</v>
      </c>
      <c r="L234" s="8"/>
      <c r="M234"/>
      <c r="P234"/>
      <c r="Q234"/>
      <c r="R234" s="296" t="s">
        <v>301</v>
      </c>
      <c r="S234" s="296" t="s">
        <v>302</v>
      </c>
      <c r="T234" s="316" t="s">
        <v>429</v>
      </c>
      <c r="U234" s="296" t="s">
        <v>430</v>
      </c>
      <c r="V234" s="296" t="s">
        <v>428</v>
      </c>
      <c r="W234" s="317" t="s">
        <v>272</v>
      </c>
      <c r="X234" s="296" t="s">
        <v>432</v>
      </c>
      <c r="Y234" s="217" t="s">
        <v>408</v>
      </c>
      <c r="Z234" s="217" t="s">
        <v>436</v>
      </c>
      <c r="AA234" s="296" t="s">
        <v>431</v>
      </c>
      <c r="AB234" s="296"/>
    </row>
    <row r="235" spans="1:28" s="101" customFormat="1" ht="18.75" hidden="1" customHeight="1">
      <c r="A235" s="11"/>
      <c r="B235" s="97"/>
      <c r="C235" s="98"/>
      <c r="D235" s="99"/>
      <c r="E235" s="440"/>
      <c r="F235" s="441"/>
      <c r="G235" s="441"/>
      <c r="H235" s="441"/>
      <c r="I235" s="441"/>
      <c r="J235" s="441"/>
      <c r="K235" s="441"/>
      <c r="L235" s="100"/>
      <c r="M235" s="11"/>
      <c r="Q235" s="11"/>
      <c r="R235" s="131">
        <f>IF(E235="地区代表者",COUNTA($D$1:$D235),0)</f>
        <v>0</v>
      </c>
      <c r="S235" s="131">
        <f t="shared" ref="S235:S236" si="114">IF(F235="実施済",1,0)</f>
        <v>0</v>
      </c>
      <c r="T235" s="260"/>
      <c r="U235" s="131">
        <f t="shared" ref="U235:U236" si="115">IF(AND(H235="実施済",I235="実施済"),S235*1,0)</f>
        <v>0</v>
      </c>
      <c r="V235" s="131">
        <f>IF(J235="実施済",$U235*1,0)</f>
        <v>0</v>
      </c>
      <c r="W235" s="260"/>
      <c r="X235" s="131" t="str">
        <f>IF(E235="","",IF(R235*S235&gt;0,3,SUM(S235,U235,V235)))</f>
        <v/>
      </c>
      <c r="Y235" s="131">
        <f>MIN($X$235:$X$239)+1</f>
        <v>1</v>
      </c>
      <c r="Z235" s="131">
        <f>IF(E235="",1,IF(R235&gt;0,IF(COUNTA($F235:$K235)=2,1,0),IF(COUNTA($F235:$K235)=6,1,0)))</f>
        <v>1</v>
      </c>
      <c r="AA235" s="131" t="str" cm="1">
        <f t="array" ref="AA235">_xlfn.IFS(Y235=4,"A",Y235=3,"B",Y235=2,"C",Y235=1,"D")</f>
        <v>D</v>
      </c>
      <c r="AB235" s="131" t="str" cm="1">
        <f t="array" ref="AB235">_xlfn.IFS(Z235=4,"A",Z235=3,"B",Z235=2,"C",Z235=1,"D")</f>
        <v>D</v>
      </c>
    </row>
    <row r="236" spans="1:28" s="101" customFormat="1" ht="18.75" customHeight="1">
      <c r="A236" s="11"/>
      <c r="B236" s="97"/>
      <c r="C236" s="98"/>
      <c r="D236" s="99"/>
      <c r="E236" s="442" t="s">
        <v>301</v>
      </c>
      <c r="F236" s="443"/>
      <c r="G236" s="846"/>
      <c r="H236" s="846"/>
      <c r="I236" s="846"/>
      <c r="J236" s="846"/>
      <c r="K236" s="443"/>
      <c r="L236" s="100"/>
      <c r="M236" s="11"/>
      <c r="Q236" s="11"/>
      <c r="R236" s="131">
        <f>IF(E236="地区代表者",COUNTA($D$1:$D236),0)</f>
        <v>17</v>
      </c>
      <c r="S236" s="131">
        <f t="shared" si="114"/>
        <v>0</v>
      </c>
      <c r="T236" s="260"/>
      <c r="U236" s="131">
        <f t="shared" si="115"/>
        <v>0</v>
      </c>
      <c r="V236" s="131">
        <f>IF(J236="実施済",$U236*1,0)</f>
        <v>0</v>
      </c>
      <c r="W236" s="260"/>
      <c r="X236" s="131">
        <f t="shared" ref="X236:X239" si="116">IF(E236="","",IF(R236*S236&gt;0,3,SUM(S236,U236,V236)))</f>
        <v>0</v>
      </c>
      <c r="Y236" s="131">
        <f>MIN($X$235:$X$239)+1</f>
        <v>1</v>
      </c>
      <c r="Z236" s="131">
        <f t="shared" ref="Z236:Z239" si="117">IF(E236="",1,IF(R236&gt;0,IF(COUNTA($F236:$K236)=2,1,0),IF(COUNTA($F236:$K236)=6,1,0)))</f>
        <v>0</v>
      </c>
      <c r="AA236" s="131" t="str" cm="1">
        <f t="array" ref="AA236">_xlfn.IFS(Y236=4,"A",Y236=3,"B",Y236=2,"C",Y236=1,"D")</f>
        <v>D</v>
      </c>
      <c r="AB236" s="131"/>
    </row>
    <row r="237" spans="1:28" s="101" customFormat="1" ht="18.75" customHeight="1">
      <c r="A237" s="11"/>
      <c r="B237" s="97"/>
      <c r="C237" s="98"/>
      <c r="D237" s="99"/>
      <c r="E237" s="442" t="s">
        <v>116</v>
      </c>
      <c r="F237" s="443"/>
      <c r="G237" s="443"/>
      <c r="H237" s="443"/>
      <c r="I237" s="443"/>
      <c r="J237" s="443"/>
      <c r="K237" s="443"/>
      <c r="L237" s="100"/>
      <c r="M237" s="11"/>
      <c r="P237" s="11"/>
      <c r="Q237" s="11"/>
      <c r="R237" s="131">
        <f>IF(E237="地区代表者",COUNTA($D$1:$D237),0)</f>
        <v>0</v>
      </c>
      <c r="S237" s="131">
        <f>IF(F237="実施済",1,0)</f>
        <v>0</v>
      </c>
      <c r="T237" s="260"/>
      <c r="U237" s="131">
        <f>IF(AND(H237="実施済",I237="実施済"),S237*1,0)</f>
        <v>0</v>
      </c>
      <c r="V237" s="131">
        <f>IF(J237="実施済",$U237*1,0)</f>
        <v>0</v>
      </c>
      <c r="W237" s="260"/>
      <c r="X237" s="131">
        <f t="shared" si="116"/>
        <v>0</v>
      </c>
      <c r="Y237" s="131">
        <f>MIN($X$235:$X$239)+1</f>
        <v>1</v>
      </c>
      <c r="Z237" s="131">
        <f t="shared" si="117"/>
        <v>0</v>
      </c>
      <c r="AA237" s="131" t="str" cm="1">
        <f t="array" ref="AA237">_xlfn.IFS(Y237=4,"A",Y237=3,"B",Y237=2,"C",Y237=1,"D")</f>
        <v>D</v>
      </c>
      <c r="AB237" s="131"/>
    </row>
    <row r="238" spans="1:28" s="2" customFormat="1" ht="9" customHeight="1">
      <c r="A238"/>
      <c r="B238" s="65"/>
      <c r="C238" s="4"/>
      <c r="D238" s="309"/>
      <c r="E238" s="310"/>
      <c r="F238" s="310"/>
      <c r="G238" s="310"/>
      <c r="H238" s="310"/>
      <c r="I238" s="310"/>
      <c r="J238" s="310"/>
      <c r="K238" s="310"/>
      <c r="L238" s="9"/>
      <c r="M238"/>
      <c r="P238"/>
      <c r="Q238"/>
      <c r="R238" s="217">
        <f>IF(E238="地区代表者",COUNTA($D$1:$D238),0)</f>
        <v>0</v>
      </c>
      <c r="S238" s="217">
        <f t="shared" ref="S238:S239" si="118">IF(F238="実施済",1,0)</f>
        <v>0</v>
      </c>
      <c r="T238" s="318"/>
      <c r="U238" s="217">
        <f t="shared" ref="U238:U239" si="119">IF(AND(H238="実施済",I238="実施済"),S238*1,0)</f>
        <v>0</v>
      </c>
      <c r="V238" s="217">
        <f t="shared" ref="V238:V239" si="120">IF(J238="実施済",$U238*1,0)</f>
        <v>0</v>
      </c>
      <c r="W238" s="318"/>
      <c r="X238" s="217" t="str">
        <f t="shared" si="116"/>
        <v/>
      </c>
      <c r="Y238" s="217">
        <f>MIN($X$235:$X$239)+1</f>
        <v>1</v>
      </c>
      <c r="Z238" s="217">
        <f t="shared" si="117"/>
        <v>1</v>
      </c>
      <c r="AA238" s="217" t="str" cm="1">
        <f t="array" ref="AA238">_xlfn.IFS(Y238=4,"A",Y238=3,"B",Y238=2,"C",Y238=1,"D")</f>
        <v>D</v>
      </c>
      <c r="AB238" s="217"/>
    </row>
    <row r="239" spans="1:28" s="2" customFormat="1" ht="6" customHeight="1">
      <c r="A239"/>
      <c r="B239"/>
      <c r="C239"/>
      <c r="D239" s="311"/>
      <c r="E239" s="312"/>
      <c r="F239" s="312"/>
      <c r="G239" s="312"/>
      <c r="H239" s="312"/>
      <c r="I239" s="312"/>
      <c r="J239" s="312"/>
      <c r="K239" s="312"/>
      <c r="L239"/>
      <c r="M239"/>
      <c r="P239"/>
      <c r="Q239"/>
      <c r="R239" s="217">
        <f>IF(E239="地区代表者",COUNTA($D$1:$D239),0)</f>
        <v>0</v>
      </c>
      <c r="S239" s="217">
        <f t="shared" si="118"/>
        <v>0</v>
      </c>
      <c r="T239" s="318"/>
      <c r="U239" s="217">
        <f t="shared" si="119"/>
        <v>0</v>
      </c>
      <c r="V239" s="217">
        <f t="shared" si="120"/>
        <v>0</v>
      </c>
      <c r="W239" s="318"/>
      <c r="X239" s="217" t="str">
        <f t="shared" si="116"/>
        <v/>
      </c>
      <c r="Y239" s="217">
        <f>MIN($X$235:$X$239)+1</f>
        <v>1</v>
      </c>
      <c r="Z239" s="217">
        <f t="shared" si="117"/>
        <v>1</v>
      </c>
      <c r="AA239" s="217" t="str" cm="1">
        <f t="array" ref="AA239">_xlfn.IFS(Y239=4,"A",Y239=3,"B",Y239=2,"C",Y239=1,"D")</f>
        <v>D</v>
      </c>
      <c r="AB239" s="217"/>
    </row>
    <row r="240" spans="1:28" ht="96" customHeight="1">
      <c r="C240" s="78"/>
      <c r="D240" s="79"/>
      <c r="E240" s="72" t="s">
        <v>238</v>
      </c>
      <c r="F240" s="1057"/>
      <c r="G240" s="1057"/>
      <c r="H240" s="1057"/>
      <c r="I240" s="1057"/>
      <c r="J240" s="1057"/>
      <c r="K240" s="1057"/>
      <c r="L240" s="80" t="s">
        <v>132</v>
      </c>
      <c r="M240" s="292"/>
    </row>
    <row r="241" spans="1:28" ht="96" customHeight="1">
      <c r="C241" s="75"/>
      <c r="D241" s="68"/>
      <c r="E241" s="72" t="s">
        <v>239</v>
      </c>
      <c r="F241" s="1058"/>
      <c r="G241" s="1059"/>
      <c r="H241" s="1059"/>
      <c r="I241" s="1059"/>
      <c r="J241" s="1059"/>
      <c r="K241" s="1060"/>
    </row>
    <row r="242" spans="1:28" ht="18.5" thickBot="1">
      <c r="A242" s="81"/>
      <c r="B242" s="81"/>
      <c r="C242" s="81"/>
      <c r="D242" s="81"/>
      <c r="E242" s="313"/>
      <c r="F242" s="81"/>
      <c r="G242" s="81"/>
      <c r="H242" s="81"/>
      <c r="I242" s="81"/>
      <c r="J242" s="81"/>
      <c r="K242" s="81"/>
      <c r="L242" s="81"/>
      <c r="M242" s="82"/>
    </row>
    <row r="244" spans="1:28" ht="9" customHeight="1">
      <c r="B244" s="10"/>
      <c r="C244" s="5"/>
      <c r="D244" s="5"/>
      <c r="E244" s="307"/>
      <c r="F244" s="5"/>
      <c r="G244" s="5"/>
      <c r="H244" s="5"/>
      <c r="I244" s="5"/>
      <c r="J244" s="5"/>
      <c r="K244" s="5"/>
      <c r="L244" s="6"/>
      <c r="M244"/>
      <c r="N244"/>
      <c r="O244"/>
      <c r="R244" t="str">
        <f>D245</f>
        <v>(選択してください)</v>
      </c>
    </row>
    <row r="245" spans="1:28">
      <c r="B245" s="7"/>
      <c r="C245" s="77" t="str">
        <f ca="1">IFERROR(OFFSET('4.2民生電力需要量'!$C$1,MATCH(D245,'4.2民生電力需要量'!$E:$E,0)-1,0),"")</f>
        <v/>
      </c>
      <c r="D245" s="96" t="s">
        <v>130</v>
      </c>
      <c r="E245" s="72" t="s">
        <v>131</v>
      </c>
      <c r="F245" s="1061" t="str">
        <f ca="1">IFERROR(OFFSET('4.2民生電力需要量'!$G$1,MATCH($D245,'4.2民生電力需要量'!$E:$E,0)-1,0),"")</f>
        <v/>
      </c>
      <c r="G245" s="1061"/>
      <c r="H245" s="1061"/>
      <c r="I245" s="1061"/>
      <c r="J245" s="1061"/>
      <c r="K245" s="1061"/>
      <c r="L245" s="8"/>
      <c r="M245"/>
      <c r="N245"/>
      <c r="O245"/>
      <c r="R245" s="177" t="str">
        <f ca="1">IFERROR(OFFSET('4.2民生電力需要量'!$G$1,MATCH($D245,'4.2民生電力需要量'!$E:$E,0)-1,0),"")</f>
        <v/>
      </c>
      <c r="S245" s="177"/>
      <c r="T245" s="177"/>
      <c r="U245" s="177"/>
      <c r="V245" s="177"/>
      <c r="W245" s="177"/>
      <c r="X245" s="177"/>
      <c r="Y245" s="177"/>
      <c r="Z245" s="177"/>
      <c r="AA245" s="177"/>
      <c r="AB245" s="177">
        <f ca="1">(F245=R245)*1</f>
        <v>1</v>
      </c>
    </row>
    <row r="246" spans="1:28">
      <c r="B246" s="7"/>
      <c r="C246" s="74"/>
      <c r="D246" s="66"/>
      <c r="E246" s="72" t="s">
        <v>221</v>
      </c>
      <c r="F246" s="1062" t="str">
        <f ca="1">IFERROR(OFFSET('4.2民生電力需要量'!$I$1,MATCH($D245,'4.2民生電力需要量'!$E:$E,0)-1,0),"")</f>
        <v/>
      </c>
      <c r="G246" s="1062"/>
      <c r="H246" s="1062"/>
      <c r="I246" s="1062"/>
      <c r="J246" s="1062"/>
      <c r="K246" s="1062"/>
      <c r="L246" s="8"/>
      <c r="M246"/>
      <c r="N246"/>
      <c r="O246"/>
      <c r="R246" s="177" t="str">
        <f ca="1">IFERROR(OFFSET('4.2民生電力需要量'!$I$1,MATCH($D245,'4.2民生電力需要量'!$E:$E,0)-1,0),"")</f>
        <v/>
      </c>
      <c r="S246" s="177"/>
      <c r="T246" s="177"/>
      <c r="U246" s="177"/>
      <c r="V246" s="177"/>
      <c r="W246" s="177"/>
      <c r="X246" s="177"/>
      <c r="Y246" s="177"/>
      <c r="Z246" s="177"/>
      <c r="AA246" s="177"/>
      <c r="AB246" s="177">
        <f ca="1">(F246=R246)*1</f>
        <v>1</v>
      </c>
    </row>
    <row r="247" spans="1:28">
      <c r="B247" s="7"/>
      <c r="C247" s="74"/>
      <c r="D247" s="66"/>
      <c r="E247" s="72" t="s">
        <v>175</v>
      </c>
      <c r="F247" s="1063" t="str">
        <f>_xlfn.IFNA(R247,"")</f>
        <v/>
      </c>
      <c r="G247" s="1063"/>
      <c r="H247" s="1063"/>
      <c r="I247" s="1063"/>
      <c r="J247" s="1063"/>
      <c r="K247" s="1063"/>
      <c r="L247" s="8"/>
      <c r="M247"/>
      <c r="N247"/>
      <c r="O247"/>
      <c r="R247" s="217" t="str">
        <f>IF(PRODUCT($Z249:$Z253)=1,AA249,"")</f>
        <v/>
      </c>
      <c r="S247" s="177"/>
      <c r="T247" s="177"/>
      <c r="U247" s="177"/>
      <c r="V247" s="177"/>
      <c r="W247" s="177"/>
      <c r="X247" s="177"/>
      <c r="Y247" s="177"/>
      <c r="Z247" s="177"/>
      <c r="AA247" s="177"/>
      <c r="AB247" s="177">
        <f>(F247=R247)*1</f>
        <v>1</v>
      </c>
    </row>
    <row r="248" spans="1:28" s="2" customFormat="1" ht="60">
      <c r="A248"/>
      <c r="B248" s="7"/>
      <c r="C248" s="74"/>
      <c r="D248" s="66"/>
      <c r="E248" s="308"/>
      <c r="F248" s="314" t="s">
        <v>302</v>
      </c>
      <c r="G248" s="315" t="s">
        <v>303</v>
      </c>
      <c r="H248" s="315" t="s">
        <v>304</v>
      </c>
      <c r="I248" s="315" t="s">
        <v>305</v>
      </c>
      <c r="J248" s="315" t="s">
        <v>435</v>
      </c>
      <c r="K248" s="315" t="s">
        <v>272</v>
      </c>
      <c r="L248" s="8"/>
      <c r="M248"/>
      <c r="P248"/>
      <c r="Q248"/>
      <c r="R248" s="296" t="s">
        <v>301</v>
      </c>
      <c r="S248" s="296" t="s">
        <v>302</v>
      </c>
      <c r="T248" s="316" t="s">
        <v>429</v>
      </c>
      <c r="U248" s="296" t="s">
        <v>430</v>
      </c>
      <c r="V248" s="296" t="s">
        <v>428</v>
      </c>
      <c r="W248" s="317" t="s">
        <v>272</v>
      </c>
      <c r="X248" s="296" t="s">
        <v>432</v>
      </c>
      <c r="Y248" s="217" t="s">
        <v>408</v>
      </c>
      <c r="Z248" s="217" t="s">
        <v>436</v>
      </c>
      <c r="AA248" s="296" t="s">
        <v>431</v>
      </c>
      <c r="AB248" s="296"/>
    </row>
    <row r="249" spans="1:28" s="101" customFormat="1" ht="18.75" hidden="1" customHeight="1">
      <c r="A249" s="11"/>
      <c r="B249" s="97"/>
      <c r="C249" s="98"/>
      <c r="D249" s="99"/>
      <c r="E249" s="440"/>
      <c r="F249" s="441"/>
      <c r="G249" s="441"/>
      <c r="H249" s="441"/>
      <c r="I249" s="441"/>
      <c r="J249" s="441"/>
      <c r="K249" s="441"/>
      <c r="L249" s="100"/>
      <c r="M249" s="11"/>
      <c r="Q249" s="11"/>
      <c r="R249" s="131">
        <f>IF(E249="地区代表者",COUNTA($D$1:$D249),0)</f>
        <v>0</v>
      </c>
      <c r="S249" s="131">
        <f t="shared" ref="S249:S250" si="121">IF(F249="実施済",1,0)</f>
        <v>0</v>
      </c>
      <c r="T249" s="260"/>
      <c r="U249" s="131">
        <f t="shared" ref="U249:U250" si="122">IF(AND(H249="実施済",I249="実施済"),S249*1,0)</f>
        <v>0</v>
      </c>
      <c r="V249" s="131">
        <f>IF(J249="実施済",$U249*1,0)</f>
        <v>0</v>
      </c>
      <c r="W249" s="260"/>
      <c r="X249" s="131" t="str">
        <f>IF(E249="","",IF(R249*S249&gt;0,3,SUM(S249,U249,V249)))</f>
        <v/>
      </c>
      <c r="Y249" s="131">
        <f>MIN($X$249:$X$253)+1</f>
        <v>1</v>
      </c>
      <c r="Z249" s="131">
        <f>IF(E249="",1,IF(R249&gt;0,IF(COUNTA($F249:$K249)=2,1,0),IF(COUNTA($F249:$K249)=6,1,0)))</f>
        <v>1</v>
      </c>
      <c r="AA249" s="131" t="str" cm="1">
        <f t="array" ref="AA249">_xlfn.IFS(Y249=4,"A",Y249=3,"B",Y249=2,"C",Y249=1,"D")</f>
        <v>D</v>
      </c>
      <c r="AB249" s="131" t="str" cm="1">
        <f t="array" ref="AB249">_xlfn.IFS(Z249=4,"A",Z249=3,"B",Z249=2,"C",Z249=1,"D")</f>
        <v>D</v>
      </c>
    </row>
    <row r="250" spans="1:28" s="101" customFormat="1" ht="18.75" customHeight="1">
      <c r="A250" s="11"/>
      <c r="B250" s="97"/>
      <c r="C250" s="98"/>
      <c r="D250" s="99"/>
      <c r="E250" s="442" t="s">
        <v>301</v>
      </c>
      <c r="F250" s="443"/>
      <c r="G250" s="846"/>
      <c r="H250" s="846"/>
      <c r="I250" s="846"/>
      <c r="J250" s="846"/>
      <c r="K250" s="443"/>
      <c r="L250" s="100"/>
      <c r="M250" s="11"/>
      <c r="Q250" s="11"/>
      <c r="R250" s="131">
        <f>IF(E250="地区代表者",COUNTA($D$1:$D250),0)</f>
        <v>18</v>
      </c>
      <c r="S250" s="131">
        <f t="shared" si="121"/>
        <v>0</v>
      </c>
      <c r="T250" s="260"/>
      <c r="U250" s="131">
        <f t="shared" si="122"/>
        <v>0</v>
      </c>
      <c r="V250" s="131">
        <f>IF(J250="実施済",$U250*1,0)</f>
        <v>0</v>
      </c>
      <c r="W250" s="260"/>
      <c r="X250" s="131">
        <f t="shared" ref="X250:X253" si="123">IF(E250="","",IF(R250*S250&gt;0,3,SUM(S250,U250,V250)))</f>
        <v>0</v>
      </c>
      <c r="Y250" s="131">
        <f>MIN($X$249:$X$253)+1</f>
        <v>1</v>
      </c>
      <c r="Z250" s="131">
        <f t="shared" ref="Z250:Z253" si="124">IF(E250="",1,IF(R250&gt;0,IF(COUNTA($F250:$K250)=2,1,0),IF(COUNTA($F250:$K250)=6,1,0)))</f>
        <v>0</v>
      </c>
      <c r="AA250" s="131" t="str" cm="1">
        <f t="array" ref="AA250">_xlfn.IFS(Y250=4,"A",Y250=3,"B",Y250=2,"C",Y250=1,"D")</f>
        <v>D</v>
      </c>
      <c r="AB250" s="131"/>
    </row>
    <row r="251" spans="1:28" s="101" customFormat="1" ht="18.75" customHeight="1">
      <c r="A251" s="11"/>
      <c r="B251" s="97"/>
      <c r="C251" s="98"/>
      <c r="D251" s="99"/>
      <c r="E251" s="442" t="s">
        <v>116</v>
      </c>
      <c r="F251" s="443"/>
      <c r="G251" s="443"/>
      <c r="H251" s="443"/>
      <c r="I251" s="443"/>
      <c r="J251" s="443"/>
      <c r="K251" s="443"/>
      <c r="L251" s="100"/>
      <c r="M251" s="11"/>
      <c r="P251" s="11"/>
      <c r="Q251" s="11"/>
      <c r="R251" s="131">
        <f>IF(E251="地区代表者",COUNTA($D$1:$D251),0)</f>
        <v>0</v>
      </c>
      <c r="S251" s="131">
        <f>IF(F251="実施済",1,0)</f>
        <v>0</v>
      </c>
      <c r="T251" s="260"/>
      <c r="U251" s="131">
        <f>IF(AND(H251="実施済",I251="実施済"),S251*1,0)</f>
        <v>0</v>
      </c>
      <c r="V251" s="131">
        <f>IF(J251="実施済",$U251*1,0)</f>
        <v>0</v>
      </c>
      <c r="W251" s="260"/>
      <c r="X251" s="131">
        <f t="shared" si="123"/>
        <v>0</v>
      </c>
      <c r="Y251" s="131">
        <f>MIN($X$249:$X$253)+1</f>
        <v>1</v>
      </c>
      <c r="Z251" s="131">
        <f t="shared" si="124"/>
        <v>0</v>
      </c>
      <c r="AA251" s="131" t="str" cm="1">
        <f t="array" ref="AA251">_xlfn.IFS(Y251=4,"A",Y251=3,"B",Y251=2,"C",Y251=1,"D")</f>
        <v>D</v>
      </c>
      <c r="AB251" s="131"/>
    </row>
    <row r="252" spans="1:28" s="2" customFormat="1" ht="9" customHeight="1">
      <c r="A252"/>
      <c r="B252" s="65"/>
      <c r="C252" s="4"/>
      <c r="D252" s="309"/>
      <c r="E252" s="310"/>
      <c r="F252" s="310"/>
      <c r="G252" s="310"/>
      <c r="H252" s="310"/>
      <c r="I252" s="310"/>
      <c r="J252" s="310"/>
      <c r="K252" s="310"/>
      <c r="L252" s="9"/>
      <c r="M252"/>
      <c r="P252"/>
      <c r="Q252"/>
      <c r="R252" s="217">
        <f>IF(E252="地区代表者",COUNTA($D$1:$D252),0)</f>
        <v>0</v>
      </c>
      <c r="S252" s="217">
        <f t="shared" ref="S252:S253" si="125">IF(F252="実施済",1,0)</f>
        <v>0</v>
      </c>
      <c r="T252" s="318"/>
      <c r="U252" s="217">
        <f t="shared" ref="U252:U253" si="126">IF(AND(H252="実施済",I252="実施済"),S252*1,0)</f>
        <v>0</v>
      </c>
      <c r="V252" s="217">
        <f t="shared" ref="V252:V253" si="127">IF(J252="実施済",$U252*1,0)</f>
        <v>0</v>
      </c>
      <c r="W252" s="318"/>
      <c r="X252" s="217" t="str">
        <f t="shared" si="123"/>
        <v/>
      </c>
      <c r="Y252" s="217">
        <f>MIN($X$249:$X$253)+1</f>
        <v>1</v>
      </c>
      <c r="Z252" s="217">
        <f t="shared" si="124"/>
        <v>1</v>
      </c>
      <c r="AA252" s="217" t="str" cm="1">
        <f t="array" ref="AA252">_xlfn.IFS(Y252=4,"A",Y252=3,"B",Y252=2,"C",Y252=1,"D")</f>
        <v>D</v>
      </c>
      <c r="AB252" s="217"/>
    </row>
    <row r="253" spans="1:28" s="2" customFormat="1" ht="6" customHeight="1">
      <c r="A253"/>
      <c r="B253"/>
      <c r="C253"/>
      <c r="D253" s="311"/>
      <c r="E253" s="312"/>
      <c r="F253" s="312"/>
      <c r="G253" s="312"/>
      <c r="H253" s="312"/>
      <c r="I253" s="312"/>
      <c r="J253" s="312"/>
      <c r="K253" s="312"/>
      <c r="L253"/>
      <c r="M253"/>
      <c r="P253"/>
      <c r="Q253"/>
      <c r="R253" s="217">
        <f>IF(E253="地区代表者",COUNTA($D$1:$D253),0)</f>
        <v>0</v>
      </c>
      <c r="S253" s="217">
        <f t="shared" si="125"/>
        <v>0</v>
      </c>
      <c r="T253" s="318"/>
      <c r="U253" s="217">
        <f t="shared" si="126"/>
        <v>0</v>
      </c>
      <c r="V253" s="217">
        <f t="shared" si="127"/>
        <v>0</v>
      </c>
      <c r="W253" s="318"/>
      <c r="X253" s="217" t="str">
        <f t="shared" si="123"/>
        <v/>
      </c>
      <c r="Y253" s="217">
        <f>MIN($X$249:$X$253)+1</f>
        <v>1</v>
      </c>
      <c r="Z253" s="217">
        <f t="shared" si="124"/>
        <v>1</v>
      </c>
      <c r="AA253" s="217" t="str" cm="1">
        <f t="array" ref="AA253">_xlfn.IFS(Y253=4,"A",Y253=3,"B",Y253=2,"C",Y253=1,"D")</f>
        <v>D</v>
      </c>
      <c r="AB253" s="217"/>
    </row>
    <row r="254" spans="1:28" ht="96" customHeight="1">
      <c r="C254" s="78"/>
      <c r="D254" s="79"/>
      <c r="E254" s="72" t="s">
        <v>238</v>
      </c>
      <c r="F254" s="1057"/>
      <c r="G254" s="1057"/>
      <c r="H254" s="1057"/>
      <c r="I254" s="1057"/>
      <c r="J254" s="1057"/>
      <c r="K254" s="1057"/>
      <c r="L254" s="80" t="s">
        <v>132</v>
      </c>
      <c r="M254" s="292"/>
    </row>
    <row r="255" spans="1:28" ht="96" customHeight="1">
      <c r="C255" s="75"/>
      <c r="D255" s="68"/>
      <c r="E255" s="72" t="s">
        <v>239</v>
      </c>
      <c r="F255" s="1058"/>
      <c r="G255" s="1059"/>
      <c r="H255" s="1059"/>
      <c r="I255" s="1059"/>
      <c r="J255" s="1059"/>
      <c r="K255" s="1060"/>
    </row>
    <row r="256" spans="1:28" ht="18.5" thickBot="1">
      <c r="A256" s="81"/>
      <c r="B256" s="81"/>
      <c r="C256" s="81"/>
      <c r="D256" s="81"/>
      <c r="E256" s="313"/>
      <c r="F256" s="81"/>
      <c r="G256" s="81"/>
      <c r="H256" s="81"/>
      <c r="I256" s="81"/>
      <c r="J256" s="81"/>
      <c r="K256" s="81"/>
      <c r="L256" s="81"/>
      <c r="M256" s="82"/>
    </row>
    <row r="258" spans="1:28" ht="9" customHeight="1">
      <c r="B258" s="10"/>
      <c r="C258" s="5"/>
      <c r="D258" s="5"/>
      <c r="E258" s="307"/>
      <c r="F258" s="5"/>
      <c r="G258" s="5"/>
      <c r="H258" s="5"/>
      <c r="I258" s="5"/>
      <c r="J258" s="5"/>
      <c r="K258" s="5"/>
      <c r="L258" s="6"/>
      <c r="M258"/>
      <c r="N258"/>
      <c r="O258"/>
      <c r="R258" t="str">
        <f>D259</f>
        <v>(選択してください)</v>
      </c>
    </row>
    <row r="259" spans="1:28">
      <c r="B259" s="7"/>
      <c r="C259" s="77" t="str">
        <f ca="1">IFERROR(OFFSET('4.2民生電力需要量'!$C$1,MATCH(D259,'4.2民生電力需要量'!$E:$E,0)-1,0),"")</f>
        <v/>
      </c>
      <c r="D259" s="96" t="s">
        <v>130</v>
      </c>
      <c r="E259" s="72" t="s">
        <v>131</v>
      </c>
      <c r="F259" s="1061" t="str">
        <f ca="1">IFERROR(OFFSET('4.2民生電力需要量'!$G$1,MATCH($D259,'4.2民生電力需要量'!$E:$E,0)-1,0),"")</f>
        <v/>
      </c>
      <c r="G259" s="1061"/>
      <c r="H259" s="1061"/>
      <c r="I259" s="1061"/>
      <c r="J259" s="1061"/>
      <c r="K259" s="1061"/>
      <c r="L259" s="8"/>
      <c r="M259"/>
      <c r="N259"/>
      <c r="O259"/>
      <c r="R259" s="177" t="str">
        <f ca="1">IFERROR(OFFSET('4.2民生電力需要量'!$G$1,MATCH($D259,'4.2民生電力需要量'!$E:$E,0)-1,0),"")</f>
        <v/>
      </c>
      <c r="S259" s="177"/>
      <c r="T259" s="177"/>
      <c r="U259" s="177"/>
      <c r="V259" s="177"/>
      <c r="W259" s="177"/>
      <c r="X259" s="177"/>
      <c r="Y259" s="177"/>
      <c r="Z259" s="177"/>
      <c r="AA259" s="177"/>
      <c r="AB259" s="177">
        <f ca="1">(F259=R259)*1</f>
        <v>1</v>
      </c>
    </row>
    <row r="260" spans="1:28">
      <c r="B260" s="7"/>
      <c r="C260" s="74"/>
      <c r="D260" s="66"/>
      <c r="E260" s="72" t="s">
        <v>221</v>
      </c>
      <c r="F260" s="1062" t="str">
        <f ca="1">IFERROR(OFFSET('4.2民生電力需要量'!$I$1,MATCH($D259,'4.2民生電力需要量'!$E:$E,0)-1,0),"")</f>
        <v/>
      </c>
      <c r="G260" s="1062"/>
      <c r="H260" s="1062"/>
      <c r="I260" s="1062"/>
      <c r="J260" s="1062"/>
      <c r="K260" s="1062"/>
      <c r="L260" s="8"/>
      <c r="M260"/>
      <c r="N260"/>
      <c r="O260"/>
      <c r="R260" s="177" t="str">
        <f ca="1">IFERROR(OFFSET('4.2民生電力需要量'!$I$1,MATCH($D259,'4.2民生電力需要量'!$E:$E,0)-1,0),"")</f>
        <v/>
      </c>
      <c r="S260" s="177"/>
      <c r="T260" s="177"/>
      <c r="U260" s="177"/>
      <c r="V260" s="177"/>
      <c r="W260" s="177"/>
      <c r="X260" s="177"/>
      <c r="Y260" s="177"/>
      <c r="Z260" s="177"/>
      <c r="AA260" s="177"/>
      <c r="AB260" s="177">
        <f ca="1">(F260=R260)*1</f>
        <v>1</v>
      </c>
    </row>
    <row r="261" spans="1:28">
      <c r="B261" s="7"/>
      <c r="C261" s="74"/>
      <c r="D261" s="66"/>
      <c r="E261" s="72" t="s">
        <v>175</v>
      </c>
      <c r="F261" s="1063" t="str">
        <f>_xlfn.IFNA(R261,"")</f>
        <v/>
      </c>
      <c r="G261" s="1063"/>
      <c r="H261" s="1063"/>
      <c r="I261" s="1063"/>
      <c r="J261" s="1063"/>
      <c r="K261" s="1063"/>
      <c r="L261" s="8"/>
      <c r="M261"/>
      <c r="N261"/>
      <c r="O261"/>
      <c r="R261" s="217" t="str">
        <f>IF(PRODUCT($Z263:$Z267)=1,AA263,"")</f>
        <v/>
      </c>
      <c r="S261" s="177"/>
      <c r="T261" s="177"/>
      <c r="U261" s="177"/>
      <c r="V261" s="177"/>
      <c r="W261" s="177"/>
      <c r="X261" s="177"/>
      <c r="Y261" s="177"/>
      <c r="Z261" s="177"/>
      <c r="AA261" s="177"/>
      <c r="AB261" s="177">
        <f>(F261=R261)*1</f>
        <v>1</v>
      </c>
    </row>
    <row r="262" spans="1:28" s="2" customFormat="1" ht="60">
      <c r="A262"/>
      <c r="B262" s="7"/>
      <c r="C262" s="74"/>
      <c r="D262" s="66"/>
      <c r="E262" s="308"/>
      <c r="F262" s="314" t="s">
        <v>302</v>
      </c>
      <c r="G262" s="315" t="s">
        <v>303</v>
      </c>
      <c r="H262" s="315" t="s">
        <v>304</v>
      </c>
      <c r="I262" s="315" t="s">
        <v>305</v>
      </c>
      <c r="J262" s="315" t="s">
        <v>435</v>
      </c>
      <c r="K262" s="315" t="s">
        <v>272</v>
      </c>
      <c r="L262" s="8"/>
      <c r="M262"/>
      <c r="P262"/>
      <c r="Q262"/>
      <c r="R262" s="296" t="s">
        <v>301</v>
      </c>
      <c r="S262" s="296" t="s">
        <v>302</v>
      </c>
      <c r="T262" s="316" t="s">
        <v>429</v>
      </c>
      <c r="U262" s="296" t="s">
        <v>430</v>
      </c>
      <c r="V262" s="296" t="s">
        <v>428</v>
      </c>
      <c r="W262" s="317" t="s">
        <v>272</v>
      </c>
      <c r="X262" s="296" t="s">
        <v>432</v>
      </c>
      <c r="Y262" s="217" t="s">
        <v>408</v>
      </c>
      <c r="Z262" s="217" t="s">
        <v>436</v>
      </c>
      <c r="AA262" s="296" t="s">
        <v>431</v>
      </c>
      <c r="AB262" s="296"/>
    </row>
    <row r="263" spans="1:28" s="101" customFormat="1" ht="18.75" hidden="1" customHeight="1">
      <c r="A263" s="11"/>
      <c r="B263" s="97"/>
      <c r="C263" s="98"/>
      <c r="D263" s="99"/>
      <c r="E263" s="440"/>
      <c r="F263" s="441"/>
      <c r="G263" s="441"/>
      <c r="H263" s="441"/>
      <c r="I263" s="441"/>
      <c r="J263" s="441"/>
      <c r="K263" s="441"/>
      <c r="L263" s="100"/>
      <c r="M263" s="11"/>
      <c r="Q263" s="11"/>
      <c r="R263" s="131">
        <f>IF(E263="地区代表者",COUNTA($D$1:$D263),0)</f>
        <v>0</v>
      </c>
      <c r="S263" s="131">
        <f t="shared" ref="S263:S264" si="128">IF(F263="実施済",1,0)</f>
        <v>0</v>
      </c>
      <c r="T263" s="260"/>
      <c r="U263" s="131">
        <f t="shared" ref="U263:U264" si="129">IF(AND(H263="実施済",I263="実施済"),S263*1,0)</f>
        <v>0</v>
      </c>
      <c r="V263" s="131">
        <f>IF(J263="実施済",$U263*1,0)</f>
        <v>0</v>
      </c>
      <c r="W263" s="260"/>
      <c r="X263" s="131" t="str">
        <f>IF(E263="","",IF(R263*S263&gt;0,3,SUM(S263,U263,V263)))</f>
        <v/>
      </c>
      <c r="Y263" s="131">
        <f>MIN($X$263:$X$267)+1</f>
        <v>1</v>
      </c>
      <c r="Z263" s="131">
        <f>IF(E263="",1,IF(R263&gt;0,IF(COUNTA($F263:$K263)=2,1,0),IF(COUNTA($F263:$K263)=6,1,0)))</f>
        <v>1</v>
      </c>
      <c r="AA263" s="131" t="str" cm="1">
        <f t="array" ref="AA263">_xlfn.IFS(Y263=4,"A",Y263=3,"B",Y263=2,"C",Y263=1,"D")</f>
        <v>D</v>
      </c>
      <c r="AB263" s="131" t="str" cm="1">
        <f t="array" ref="AB263">_xlfn.IFS(Z263=4,"A",Z263=3,"B",Z263=2,"C",Z263=1,"D")</f>
        <v>D</v>
      </c>
    </row>
    <row r="264" spans="1:28" s="101" customFormat="1" ht="18.75" customHeight="1">
      <c r="A264" s="11"/>
      <c r="B264" s="97"/>
      <c r="C264" s="98"/>
      <c r="D264" s="99"/>
      <c r="E264" s="442" t="s">
        <v>301</v>
      </c>
      <c r="F264" s="443"/>
      <c r="G264" s="846"/>
      <c r="H264" s="846"/>
      <c r="I264" s="846"/>
      <c r="J264" s="846"/>
      <c r="K264" s="443"/>
      <c r="L264" s="100"/>
      <c r="M264" s="11"/>
      <c r="Q264" s="11"/>
      <c r="R264" s="131">
        <f>IF(E264="地区代表者",COUNTA($D$1:$D264),0)</f>
        <v>19</v>
      </c>
      <c r="S264" s="131">
        <f t="shared" si="128"/>
        <v>0</v>
      </c>
      <c r="T264" s="260"/>
      <c r="U264" s="131">
        <f t="shared" si="129"/>
        <v>0</v>
      </c>
      <c r="V264" s="131">
        <f>IF(J264="実施済",$U264*1,0)</f>
        <v>0</v>
      </c>
      <c r="W264" s="260"/>
      <c r="X264" s="131">
        <f t="shared" ref="X264:X267" si="130">IF(E264="","",IF(R264*S264&gt;0,3,SUM(S264,U264,V264)))</f>
        <v>0</v>
      </c>
      <c r="Y264" s="131">
        <f>MIN($X$263:$X$267)+1</f>
        <v>1</v>
      </c>
      <c r="Z264" s="131">
        <f t="shared" ref="Z264:Z267" si="131">IF(E264="",1,IF(R264&gt;0,IF(COUNTA($F264:$K264)=2,1,0),IF(COUNTA($F264:$K264)=6,1,0)))</f>
        <v>0</v>
      </c>
      <c r="AA264" s="131" t="str" cm="1">
        <f t="array" ref="AA264">_xlfn.IFS(Y264=4,"A",Y264=3,"B",Y264=2,"C",Y264=1,"D")</f>
        <v>D</v>
      </c>
      <c r="AB264" s="131"/>
    </row>
    <row r="265" spans="1:28" s="101" customFormat="1" ht="18.75" customHeight="1">
      <c r="A265" s="11"/>
      <c r="B265" s="97"/>
      <c r="C265" s="98"/>
      <c r="D265" s="99"/>
      <c r="E265" s="442" t="s">
        <v>116</v>
      </c>
      <c r="F265" s="443"/>
      <c r="G265" s="443"/>
      <c r="H265" s="443"/>
      <c r="I265" s="443"/>
      <c r="J265" s="443"/>
      <c r="K265" s="443"/>
      <c r="L265" s="100"/>
      <c r="M265" s="11"/>
      <c r="P265" s="11"/>
      <c r="Q265" s="11"/>
      <c r="R265" s="131">
        <f>IF(E265="地区代表者",COUNTA($D$1:$D265),0)</f>
        <v>0</v>
      </c>
      <c r="S265" s="131">
        <f>IF(F265="実施済",1,0)</f>
        <v>0</v>
      </c>
      <c r="T265" s="260"/>
      <c r="U265" s="131">
        <f>IF(AND(H265="実施済",I265="実施済"),S265*1,0)</f>
        <v>0</v>
      </c>
      <c r="V265" s="131">
        <f>IF(J265="実施済",$U265*1,0)</f>
        <v>0</v>
      </c>
      <c r="W265" s="260"/>
      <c r="X265" s="131">
        <f t="shared" si="130"/>
        <v>0</v>
      </c>
      <c r="Y265" s="131">
        <f>MIN($X$263:$X$267)+1</f>
        <v>1</v>
      </c>
      <c r="Z265" s="131">
        <f t="shared" si="131"/>
        <v>0</v>
      </c>
      <c r="AA265" s="131" t="str" cm="1">
        <f t="array" ref="AA265">_xlfn.IFS(Y265=4,"A",Y265=3,"B",Y265=2,"C",Y265=1,"D")</f>
        <v>D</v>
      </c>
      <c r="AB265" s="131"/>
    </row>
    <row r="266" spans="1:28" s="2" customFormat="1" ht="9" customHeight="1">
      <c r="A266"/>
      <c r="B266" s="65"/>
      <c r="C266" s="4"/>
      <c r="D266" s="309"/>
      <c r="E266" s="310"/>
      <c r="F266" s="310"/>
      <c r="G266" s="310"/>
      <c r="H266" s="310"/>
      <c r="I266" s="310"/>
      <c r="J266" s="310"/>
      <c r="K266" s="310"/>
      <c r="L266" s="9"/>
      <c r="M266"/>
      <c r="P266"/>
      <c r="Q266"/>
      <c r="R266" s="217">
        <f>IF(E266="地区代表者",COUNTA($D$1:$D266),0)</f>
        <v>0</v>
      </c>
      <c r="S266" s="217">
        <f t="shared" ref="S266:S267" si="132">IF(F266="実施済",1,0)</f>
        <v>0</v>
      </c>
      <c r="T266" s="318"/>
      <c r="U266" s="217">
        <f t="shared" ref="U266:U267" si="133">IF(AND(H266="実施済",I266="実施済"),S266*1,0)</f>
        <v>0</v>
      </c>
      <c r="V266" s="217">
        <f t="shared" ref="V266:V267" si="134">IF(J266="実施済",$U266*1,0)</f>
        <v>0</v>
      </c>
      <c r="W266" s="318"/>
      <c r="X266" s="217" t="str">
        <f t="shared" si="130"/>
        <v/>
      </c>
      <c r="Y266" s="217">
        <f>MIN($X$263:$X$267)+1</f>
        <v>1</v>
      </c>
      <c r="Z266" s="217">
        <f t="shared" si="131"/>
        <v>1</v>
      </c>
      <c r="AA266" s="217" t="str" cm="1">
        <f t="array" ref="AA266">_xlfn.IFS(Y266=4,"A",Y266=3,"B",Y266=2,"C",Y266=1,"D")</f>
        <v>D</v>
      </c>
      <c r="AB266" s="217"/>
    </row>
    <row r="267" spans="1:28" s="2" customFormat="1" ht="6" customHeight="1">
      <c r="A267"/>
      <c r="B267"/>
      <c r="C267"/>
      <c r="D267" s="311"/>
      <c r="E267" s="312"/>
      <c r="F267" s="312"/>
      <c r="G267" s="312"/>
      <c r="H267" s="312"/>
      <c r="I267" s="312"/>
      <c r="J267" s="312"/>
      <c r="K267" s="312"/>
      <c r="L267"/>
      <c r="M267"/>
      <c r="P267"/>
      <c r="Q267"/>
      <c r="R267" s="217">
        <f>IF(E267="地区代表者",COUNTA($D$1:$D267),0)</f>
        <v>0</v>
      </c>
      <c r="S267" s="217">
        <f t="shared" si="132"/>
        <v>0</v>
      </c>
      <c r="T267" s="318"/>
      <c r="U267" s="217">
        <f t="shared" si="133"/>
        <v>0</v>
      </c>
      <c r="V267" s="217">
        <f t="shared" si="134"/>
        <v>0</v>
      </c>
      <c r="W267" s="318"/>
      <c r="X267" s="217" t="str">
        <f t="shared" si="130"/>
        <v/>
      </c>
      <c r="Y267" s="217">
        <f>MIN($X$263:$X$267)+1</f>
        <v>1</v>
      </c>
      <c r="Z267" s="217">
        <f t="shared" si="131"/>
        <v>1</v>
      </c>
      <c r="AA267" s="217" t="str" cm="1">
        <f t="array" ref="AA267">_xlfn.IFS(Y267=4,"A",Y267=3,"B",Y267=2,"C",Y267=1,"D")</f>
        <v>D</v>
      </c>
      <c r="AB267" s="217"/>
    </row>
    <row r="268" spans="1:28" ht="96" customHeight="1">
      <c r="C268" s="78"/>
      <c r="D268" s="79"/>
      <c r="E268" s="72" t="s">
        <v>238</v>
      </c>
      <c r="F268" s="1057"/>
      <c r="G268" s="1057"/>
      <c r="H268" s="1057"/>
      <c r="I268" s="1057"/>
      <c r="J268" s="1057"/>
      <c r="K268" s="1057"/>
      <c r="L268" s="80" t="s">
        <v>132</v>
      </c>
      <c r="M268" s="292"/>
    </row>
    <row r="269" spans="1:28" ht="96" customHeight="1">
      <c r="C269" s="75"/>
      <c r="D269" s="68"/>
      <c r="E269" s="72" t="s">
        <v>239</v>
      </c>
      <c r="F269" s="1058"/>
      <c r="G269" s="1059"/>
      <c r="H269" s="1059"/>
      <c r="I269" s="1059"/>
      <c r="J269" s="1059"/>
      <c r="K269" s="1060"/>
    </row>
    <row r="270" spans="1:28" ht="18.5" thickBot="1">
      <c r="A270" s="81"/>
      <c r="B270" s="81"/>
      <c r="C270" s="81"/>
      <c r="D270" s="81"/>
      <c r="E270" s="313"/>
      <c r="F270" s="81"/>
      <c r="G270" s="81"/>
      <c r="H270" s="81"/>
      <c r="I270" s="81"/>
      <c r="J270" s="81"/>
      <c r="K270" s="81"/>
      <c r="L270" s="81"/>
      <c r="M270" s="82"/>
    </row>
    <row r="272" spans="1:28" ht="9" customHeight="1">
      <c r="B272" s="10"/>
      <c r="C272" s="5"/>
      <c r="D272" s="5"/>
      <c r="E272" s="307"/>
      <c r="F272" s="5"/>
      <c r="G272" s="5"/>
      <c r="H272" s="5"/>
      <c r="I272" s="5"/>
      <c r="J272" s="5"/>
      <c r="K272" s="5"/>
      <c r="L272" s="6"/>
      <c r="M272"/>
      <c r="N272"/>
      <c r="O272"/>
      <c r="R272" t="str">
        <f>D273</f>
        <v>(選択してください)</v>
      </c>
    </row>
    <row r="273" spans="1:28">
      <c r="B273" s="7"/>
      <c r="C273" s="77" t="str">
        <f ca="1">IFERROR(OFFSET('4.2民生電力需要量'!$C$1,MATCH(D273,'4.2民生電力需要量'!$E:$E,0)-1,0),"")</f>
        <v/>
      </c>
      <c r="D273" s="96" t="s">
        <v>130</v>
      </c>
      <c r="E273" s="72" t="s">
        <v>131</v>
      </c>
      <c r="F273" s="1061" t="str">
        <f ca="1">IFERROR(OFFSET('4.2民生電力需要量'!$G$1,MATCH($D273,'4.2民生電力需要量'!$E:$E,0)-1,0),"")</f>
        <v/>
      </c>
      <c r="G273" s="1061"/>
      <c r="H273" s="1061"/>
      <c r="I273" s="1061"/>
      <c r="J273" s="1061"/>
      <c r="K273" s="1061"/>
      <c r="L273" s="8"/>
      <c r="M273"/>
      <c r="N273"/>
      <c r="O273"/>
      <c r="R273" s="177" t="str">
        <f ca="1">IFERROR(OFFSET('4.2民生電力需要量'!$G$1,MATCH($D273,'4.2民生電力需要量'!$E:$E,0)-1,0),"")</f>
        <v/>
      </c>
      <c r="S273" s="177"/>
      <c r="T273" s="177"/>
      <c r="U273" s="177"/>
      <c r="V273" s="177"/>
      <c r="W273" s="177"/>
      <c r="X273" s="177"/>
      <c r="Y273" s="177"/>
      <c r="Z273" s="177"/>
      <c r="AA273" s="177"/>
      <c r="AB273" s="177">
        <f ca="1">(F273=R273)*1</f>
        <v>1</v>
      </c>
    </row>
    <row r="274" spans="1:28">
      <c r="B274" s="7"/>
      <c r="C274" s="74"/>
      <c r="D274" s="66"/>
      <c r="E274" s="72" t="s">
        <v>221</v>
      </c>
      <c r="F274" s="1062" t="str">
        <f ca="1">IFERROR(OFFSET('4.2民生電力需要量'!$I$1,MATCH($D273,'4.2民生電力需要量'!$E:$E,0)-1,0),"")</f>
        <v/>
      </c>
      <c r="G274" s="1062"/>
      <c r="H274" s="1062"/>
      <c r="I274" s="1062"/>
      <c r="J274" s="1062"/>
      <c r="K274" s="1062"/>
      <c r="L274" s="8"/>
      <c r="M274"/>
      <c r="N274"/>
      <c r="O274"/>
      <c r="R274" s="177" t="str">
        <f ca="1">IFERROR(OFFSET('4.2民生電力需要量'!$I$1,MATCH($D273,'4.2民生電力需要量'!$E:$E,0)-1,0),"")</f>
        <v/>
      </c>
      <c r="S274" s="177"/>
      <c r="T274" s="177"/>
      <c r="U274" s="177"/>
      <c r="V274" s="177"/>
      <c r="W274" s="177"/>
      <c r="X274" s="177"/>
      <c r="Y274" s="177"/>
      <c r="Z274" s="177"/>
      <c r="AA274" s="177"/>
      <c r="AB274" s="177">
        <f ca="1">(F274=R274)*1</f>
        <v>1</v>
      </c>
    </row>
    <row r="275" spans="1:28">
      <c r="B275" s="7"/>
      <c r="C275" s="74"/>
      <c r="D275" s="66"/>
      <c r="E275" s="72" t="s">
        <v>175</v>
      </c>
      <c r="F275" s="1063" t="str">
        <f>_xlfn.IFNA(R275,"")</f>
        <v/>
      </c>
      <c r="G275" s="1063"/>
      <c r="H275" s="1063"/>
      <c r="I275" s="1063"/>
      <c r="J275" s="1063"/>
      <c r="K275" s="1063"/>
      <c r="L275" s="8"/>
      <c r="M275"/>
      <c r="N275"/>
      <c r="O275"/>
      <c r="R275" s="217" t="str">
        <f>IF(PRODUCT($Z277:$Z281)=1,AA277,"")</f>
        <v/>
      </c>
      <c r="S275" s="177"/>
      <c r="T275" s="177"/>
      <c r="U275" s="177"/>
      <c r="V275" s="177"/>
      <c r="W275" s="177"/>
      <c r="X275" s="177"/>
      <c r="Y275" s="177"/>
      <c r="Z275" s="177"/>
      <c r="AA275" s="177"/>
      <c r="AB275" s="177">
        <f>(F275=R275)*1</f>
        <v>1</v>
      </c>
    </row>
    <row r="276" spans="1:28" s="2" customFormat="1" ht="60">
      <c r="A276"/>
      <c r="B276" s="7"/>
      <c r="C276" s="74"/>
      <c r="D276" s="66"/>
      <c r="E276" s="308"/>
      <c r="F276" s="314" t="s">
        <v>302</v>
      </c>
      <c r="G276" s="315" t="s">
        <v>303</v>
      </c>
      <c r="H276" s="315" t="s">
        <v>304</v>
      </c>
      <c r="I276" s="315" t="s">
        <v>305</v>
      </c>
      <c r="J276" s="315" t="s">
        <v>435</v>
      </c>
      <c r="K276" s="315" t="s">
        <v>272</v>
      </c>
      <c r="L276" s="8"/>
      <c r="M276"/>
      <c r="P276"/>
      <c r="Q276"/>
      <c r="R276" s="296" t="s">
        <v>301</v>
      </c>
      <c r="S276" s="296" t="s">
        <v>302</v>
      </c>
      <c r="T276" s="316" t="s">
        <v>429</v>
      </c>
      <c r="U276" s="296" t="s">
        <v>430</v>
      </c>
      <c r="V276" s="296" t="s">
        <v>428</v>
      </c>
      <c r="W276" s="317" t="s">
        <v>272</v>
      </c>
      <c r="X276" s="296" t="s">
        <v>432</v>
      </c>
      <c r="Y276" s="217" t="s">
        <v>408</v>
      </c>
      <c r="Z276" s="217" t="s">
        <v>436</v>
      </c>
      <c r="AA276" s="296" t="s">
        <v>431</v>
      </c>
      <c r="AB276" s="296"/>
    </row>
    <row r="277" spans="1:28" s="101" customFormat="1" ht="18.75" hidden="1" customHeight="1">
      <c r="A277" s="11"/>
      <c r="B277" s="97"/>
      <c r="C277" s="98"/>
      <c r="D277" s="99"/>
      <c r="E277" s="440"/>
      <c r="F277" s="441"/>
      <c r="G277" s="441"/>
      <c r="H277" s="441"/>
      <c r="I277" s="441"/>
      <c r="J277" s="441"/>
      <c r="K277" s="441"/>
      <c r="L277" s="100"/>
      <c r="M277" s="11"/>
      <c r="Q277" s="11"/>
      <c r="R277" s="131">
        <f>IF(E277="地区代表者",COUNTA($D$1:$D277),0)</f>
        <v>0</v>
      </c>
      <c r="S277" s="131">
        <f t="shared" ref="S277:S278" si="135">IF(F277="実施済",1,0)</f>
        <v>0</v>
      </c>
      <c r="T277" s="260"/>
      <c r="U277" s="131">
        <f t="shared" ref="U277:U278" si="136">IF(AND(H277="実施済",I277="実施済"),S277*1,0)</f>
        <v>0</v>
      </c>
      <c r="V277" s="131">
        <f>IF(J277="実施済",$U277*1,0)</f>
        <v>0</v>
      </c>
      <c r="W277" s="260"/>
      <c r="X277" s="131" t="str">
        <f>IF(E277="","",IF(R277*S277&gt;0,3,SUM(S277,U277,V277)))</f>
        <v/>
      </c>
      <c r="Y277" s="131">
        <f>MIN($X$277:$X$281)+1</f>
        <v>1</v>
      </c>
      <c r="Z277" s="131">
        <f>IF(E277="",1,IF(R277&gt;0,IF(COUNTA($F277:$K277)=2,1,0),IF(COUNTA($F277:$K277)=6,1,0)))</f>
        <v>1</v>
      </c>
      <c r="AA277" s="131" t="str" cm="1">
        <f t="array" ref="AA277">_xlfn.IFS(Y277=4,"A",Y277=3,"B",Y277=2,"C",Y277=1,"D")</f>
        <v>D</v>
      </c>
      <c r="AB277" s="131" t="str" cm="1">
        <f t="array" ref="AB277">_xlfn.IFS(Z277=4,"A",Z277=3,"B",Z277=2,"C",Z277=1,"D")</f>
        <v>D</v>
      </c>
    </row>
    <row r="278" spans="1:28" s="101" customFormat="1" ht="18.75" customHeight="1">
      <c r="A278" s="11"/>
      <c r="B278" s="97"/>
      <c r="C278" s="98"/>
      <c r="D278" s="99"/>
      <c r="E278" s="442" t="s">
        <v>301</v>
      </c>
      <c r="F278" s="443"/>
      <c r="G278" s="846"/>
      <c r="H278" s="846"/>
      <c r="I278" s="846"/>
      <c r="J278" s="846"/>
      <c r="K278" s="443"/>
      <c r="L278" s="100"/>
      <c r="M278" s="11"/>
      <c r="Q278" s="11"/>
      <c r="R278" s="131">
        <f>IF(E278="地区代表者",COUNTA($D$1:$D278),0)</f>
        <v>20</v>
      </c>
      <c r="S278" s="131">
        <f t="shared" si="135"/>
        <v>0</v>
      </c>
      <c r="T278" s="260"/>
      <c r="U278" s="131">
        <f t="shared" si="136"/>
        <v>0</v>
      </c>
      <c r="V278" s="131">
        <f>IF(J278="実施済",$U278*1,0)</f>
        <v>0</v>
      </c>
      <c r="W278" s="260"/>
      <c r="X278" s="131">
        <f t="shared" ref="X278:X281" si="137">IF(E278="","",IF(R278*S278&gt;0,3,SUM(S278,U278,V278)))</f>
        <v>0</v>
      </c>
      <c r="Y278" s="131">
        <f>MIN($X$277:$X$281)+1</f>
        <v>1</v>
      </c>
      <c r="Z278" s="131">
        <f t="shared" ref="Z278:Z281" si="138">IF(E278="",1,IF(R278&gt;0,IF(COUNTA($F278:$K278)=2,1,0),IF(COUNTA($F278:$K278)=6,1,0)))</f>
        <v>0</v>
      </c>
      <c r="AA278" s="131" t="str" cm="1">
        <f t="array" ref="AA278">_xlfn.IFS(Y278=4,"A",Y278=3,"B",Y278=2,"C",Y278=1,"D")</f>
        <v>D</v>
      </c>
      <c r="AB278" s="131"/>
    </row>
    <row r="279" spans="1:28" s="101" customFormat="1" ht="18.75" customHeight="1">
      <c r="A279" s="11"/>
      <c r="B279" s="97"/>
      <c r="C279" s="98"/>
      <c r="D279" s="99"/>
      <c r="E279" s="442" t="s">
        <v>116</v>
      </c>
      <c r="F279" s="443"/>
      <c r="G279" s="443"/>
      <c r="H279" s="443"/>
      <c r="I279" s="443"/>
      <c r="J279" s="443"/>
      <c r="K279" s="443"/>
      <c r="L279" s="100"/>
      <c r="M279" s="11"/>
      <c r="P279" s="11"/>
      <c r="Q279" s="11"/>
      <c r="R279" s="131">
        <f>IF(E279="地区代表者",COUNTA($D$1:$D279),0)</f>
        <v>0</v>
      </c>
      <c r="S279" s="131">
        <f>IF(F279="実施済",1,0)</f>
        <v>0</v>
      </c>
      <c r="T279" s="260"/>
      <c r="U279" s="131">
        <f>IF(AND(H279="実施済",I279="実施済"),S279*1,0)</f>
        <v>0</v>
      </c>
      <c r="V279" s="131">
        <f>IF(J279="実施済",$U279*1,0)</f>
        <v>0</v>
      </c>
      <c r="W279" s="260"/>
      <c r="X279" s="131">
        <f t="shared" si="137"/>
        <v>0</v>
      </c>
      <c r="Y279" s="131">
        <f>MIN($X$277:$X$281)+1</f>
        <v>1</v>
      </c>
      <c r="Z279" s="131">
        <f t="shared" si="138"/>
        <v>0</v>
      </c>
      <c r="AA279" s="131" t="str" cm="1">
        <f t="array" ref="AA279">_xlfn.IFS(Y279=4,"A",Y279=3,"B",Y279=2,"C",Y279=1,"D")</f>
        <v>D</v>
      </c>
      <c r="AB279" s="131"/>
    </row>
    <row r="280" spans="1:28" s="2" customFormat="1" ht="9" customHeight="1">
      <c r="A280"/>
      <c r="B280" s="65"/>
      <c r="C280" s="4"/>
      <c r="D280" s="309"/>
      <c r="E280" s="310"/>
      <c r="F280" s="310"/>
      <c r="G280" s="310"/>
      <c r="H280" s="310"/>
      <c r="I280" s="310"/>
      <c r="J280" s="310"/>
      <c r="K280" s="310"/>
      <c r="L280" s="9"/>
      <c r="M280"/>
      <c r="P280"/>
      <c r="Q280"/>
      <c r="R280" s="217">
        <f>IF(E280="地区代表者",COUNTA($D$1:$D280),0)</f>
        <v>0</v>
      </c>
      <c r="S280" s="217">
        <f t="shared" ref="S280:S281" si="139">IF(F280="実施済",1,0)</f>
        <v>0</v>
      </c>
      <c r="T280" s="318"/>
      <c r="U280" s="217">
        <f t="shared" ref="U280:U281" si="140">IF(AND(H280="実施済",I280="実施済"),S280*1,0)</f>
        <v>0</v>
      </c>
      <c r="V280" s="217">
        <f t="shared" ref="V280:V281" si="141">IF(J280="実施済",$U280*1,0)</f>
        <v>0</v>
      </c>
      <c r="W280" s="318"/>
      <c r="X280" s="217" t="str">
        <f t="shared" si="137"/>
        <v/>
      </c>
      <c r="Y280" s="217">
        <f>MIN($X$277:$X$281)+1</f>
        <v>1</v>
      </c>
      <c r="Z280" s="217">
        <f t="shared" si="138"/>
        <v>1</v>
      </c>
      <c r="AA280" s="217" t="str" cm="1">
        <f t="array" ref="AA280">_xlfn.IFS(Y280=4,"A",Y280=3,"B",Y280=2,"C",Y280=1,"D")</f>
        <v>D</v>
      </c>
      <c r="AB280" s="217"/>
    </row>
    <row r="281" spans="1:28" s="2" customFormat="1" ht="6" customHeight="1">
      <c r="A281"/>
      <c r="B281"/>
      <c r="C281"/>
      <c r="D281" s="311"/>
      <c r="E281" s="312"/>
      <c r="F281" s="312"/>
      <c r="G281" s="312"/>
      <c r="H281" s="312"/>
      <c r="I281" s="312"/>
      <c r="J281" s="312"/>
      <c r="K281" s="312"/>
      <c r="L281"/>
      <c r="M281"/>
      <c r="P281"/>
      <c r="Q281"/>
      <c r="R281" s="217">
        <f>IF(E281="地区代表者",COUNTA($D$1:$D281),0)</f>
        <v>0</v>
      </c>
      <c r="S281" s="217">
        <f t="shared" si="139"/>
        <v>0</v>
      </c>
      <c r="T281" s="318"/>
      <c r="U281" s="217">
        <f t="shared" si="140"/>
        <v>0</v>
      </c>
      <c r="V281" s="217">
        <f t="shared" si="141"/>
        <v>0</v>
      </c>
      <c r="W281" s="318"/>
      <c r="X281" s="217" t="str">
        <f t="shared" si="137"/>
        <v/>
      </c>
      <c r="Y281" s="217">
        <f>MIN($X$277:$X$281)+1</f>
        <v>1</v>
      </c>
      <c r="Z281" s="217">
        <f t="shared" si="138"/>
        <v>1</v>
      </c>
      <c r="AA281" s="217" t="str" cm="1">
        <f t="array" ref="AA281">_xlfn.IFS(Y281=4,"A",Y281=3,"B",Y281=2,"C",Y281=1,"D")</f>
        <v>D</v>
      </c>
      <c r="AB281" s="217"/>
    </row>
    <row r="282" spans="1:28" ht="96" customHeight="1">
      <c r="C282" s="78"/>
      <c r="D282" s="79"/>
      <c r="E282" s="72" t="s">
        <v>238</v>
      </c>
      <c r="F282" s="1057"/>
      <c r="G282" s="1057"/>
      <c r="H282" s="1057"/>
      <c r="I282" s="1057"/>
      <c r="J282" s="1057"/>
      <c r="K282" s="1057"/>
      <c r="L282" s="80" t="s">
        <v>132</v>
      </c>
      <c r="M282" s="292"/>
    </row>
    <row r="283" spans="1:28" ht="96" customHeight="1">
      <c r="C283" s="75"/>
      <c r="D283" s="68"/>
      <c r="E283" s="72" t="s">
        <v>239</v>
      </c>
      <c r="F283" s="1058"/>
      <c r="G283" s="1059"/>
      <c r="H283" s="1059"/>
      <c r="I283" s="1059"/>
      <c r="J283" s="1059"/>
      <c r="K283" s="1060"/>
    </row>
    <row r="284" spans="1:28" ht="18.5" thickBot="1">
      <c r="A284" s="81"/>
      <c r="B284" s="81"/>
      <c r="C284" s="81"/>
      <c r="D284" s="81"/>
      <c r="E284" s="313"/>
      <c r="F284" s="81"/>
      <c r="G284" s="81"/>
      <c r="H284" s="81"/>
      <c r="I284" s="81"/>
      <c r="J284" s="81"/>
      <c r="K284" s="81"/>
      <c r="L284" s="81"/>
      <c r="M284" s="82"/>
    </row>
    <row r="286" spans="1:28" ht="9" customHeight="1">
      <c r="B286" s="10"/>
      <c r="C286" s="5"/>
      <c r="D286" s="5"/>
      <c r="E286" s="307"/>
      <c r="F286" s="5"/>
      <c r="G286" s="5"/>
      <c r="H286" s="5"/>
      <c r="I286" s="5"/>
      <c r="J286" s="5"/>
      <c r="K286" s="5"/>
      <c r="L286" s="6"/>
      <c r="M286"/>
      <c r="N286"/>
      <c r="O286"/>
      <c r="R286" t="str">
        <f>D287</f>
        <v>(選択してください)</v>
      </c>
    </row>
    <row r="287" spans="1:28">
      <c r="B287" s="7"/>
      <c r="C287" s="77" t="str">
        <f ca="1">IFERROR(OFFSET('4.2民生電力需要量'!$C$1,MATCH(D287,'4.2民生電力需要量'!$E:$E,0)-1,0),"")</f>
        <v/>
      </c>
      <c r="D287" s="96" t="s">
        <v>130</v>
      </c>
      <c r="E287" s="72" t="s">
        <v>131</v>
      </c>
      <c r="F287" s="1061" t="str">
        <f ca="1">IFERROR(OFFSET('4.2民生電力需要量'!$G$1,MATCH($D287,'4.2民生電力需要量'!$E:$E,0)-1,0),"")</f>
        <v/>
      </c>
      <c r="G287" s="1061"/>
      <c r="H287" s="1061"/>
      <c r="I287" s="1061"/>
      <c r="J287" s="1061"/>
      <c r="K287" s="1061"/>
      <c r="L287" s="8"/>
      <c r="M287"/>
      <c r="N287"/>
      <c r="O287"/>
      <c r="R287" s="177" t="str">
        <f ca="1">IFERROR(OFFSET('4.2民生電力需要量'!$G$1,MATCH($D287,'4.2民生電力需要量'!$E:$E,0)-1,0),"")</f>
        <v/>
      </c>
      <c r="S287" s="177"/>
      <c r="T287" s="177"/>
      <c r="U287" s="177"/>
      <c r="V287" s="177"/>
      <c r="W287" s="177"/>
      <c r="X287" s="177"/>
      <c r="Y287" s="177"/>
      <c r="Z287" s="177"/>
      <c r="AA287" s="177"/>
      <c r="AB287" s="177">
        <f ca="1">(F287=R287)*1</f>
        <v>1</v>
      </c>
    </row>
    <row r="288" spans="1:28">
      <c r="B288" s="7"/>
      <c r="C288" s="74"/>
      <c r="D288" s="66"/>
      <c r="E288" s="72" t="s">
        <v>221</v>
      </c>
      <c r="F288" s="1062" t="str">
        <f ca="1">IFERROR(OFFSET('4.2民生電力需要量'!$I$1,MATCH($D287,'4.2民生電力需要量'!$E:$E,0)-1,0),"")</f>
        <v/>
      </c>
      <c r="G288" s="1062"/>
      <c r="H288" s="1062"/>
      <c r="I288" s="1062"/>
      <c r="J288" s="1062"/>
      <c r="K288" s="1062"/>
      <c r="L288" s="8"/>
      <c r="M288"/>
      <c r="N288"/>
      <c r="O288"/>
      <c r="R288" s="177" t="str">
        <f ca="1">IFERROR(OFFSET('4.2民生電力需要量'!$I$1,MATCH($D287,'4.2民生電力需要量'!$E:$E,0)-1,0),"")</f>
        <v/>
      </c>
      <c r="S288" s="177"/>
      <c r="T288" s="177"/>
      <c r="U288" s="177"/>
      <c r="V288" s="177"/>
      <c r="W288" s="177"/>
      <c r="X288" s="177"/>
      <c r="Y288" s="177"/>
      <c r="Z288" s="177"/>
      <c r="AA288" s="177"/>
      <c r="AB288" s="177">
        <f ca="1">(F288=R288)*1</f>
        <v>1</v>
      </c>
    </row>
    <row r="289" spans="1:28">
      <c r="B289" s="7"/>
      <c r="C289" s="74"/>
      <c r="D289" s="66"/>
      <c r="E289" s="72" t="s">
        <v>175</v>
      </c>
      <c r="F289" s="1063" t="str">
        <f>_xlfn.IFNA(R289,"")</f>
        <v/>
      </c>
      <c r="G289" s="1063"/>
      <c r="H289" s="1063"/>
      <c r="I289" s="1063"/>
      <c r="J289" s="1063"/>
      <c r="K289" s="1063"/>
      <c r="L289" s="8"/>
      <c r="M289"/>
      <c r="N289"/>
      <c r="O289"/>
      <c r="R289" s="217" t="str">
        <f>IF(PRODUCT($Z291:$Z295)=1,AA291,"")</f>
        <v/>
      </c>
      <c r="S289" s="177"/>
      <c r="T289" s="177"/>
      <c r="U289" s="177"/>
      <c r="V289" s="177"/>
      <c r="W289" s="177"/>
      <c r="X289" s="177"/>
      <c r="Y289" s="177"/>
      <c r="Z289" s="177"/>
      <c r="AA289" s="177"/>
      <c r="AB289" s="177">
        <f>(F289=R289)*1</f>
        <v>1</v>
      </c>
    </row>
    <row r="290" spans="1:28" s="2" customFormat="1" ht="60">
      <c r="A290"/>
      <c r="B290" s="7"/>
      <c r="C290" s="74"/>
      <c r="D290" s="66"/>
      <c r="E290" s="308"/>
      <c r="F290" s="314" t="s">
        <v>302</v>
      </c>
      <c r="G290" s="315" t="s">
        <v>303</v>
      </c>
      <c r="H290" s="315" t="s">
        <v>304</v>
      </c>
      <c r="I290" s="315" t="s">
        <v>305</v>
      </c>
      <c r="J290" s="315" t="s">
        <v>435</v>
      </c>
      <c r="K290" s="315" t="s">
        <v>272</v>
      </c>
      <c r="L290" s="8"/>
      <c r="M290"/>
      <c r="P290"/>
      <c r="Q290"/>
      <c r="R290" s="296" t="s">
        <v>301</v>
      </c>
      <c r="S290" s="296" t="s">
        <v>302</v>
      </c>
      <c r="T290" s="316" t="s">
        <v>429</v>
      </c>
      <c r="U290" s="296" t="s">
        <v>430</v>
      </c>
      <c r="V290" s="296" t="s">
        <v>428</v>
      </c>
      <c r="W290" s="317" t="s">
        <v>272</v>
      </c>
      <c r="X290" s="296" t="s">
        <v>432</v>
      </c>
      <c r="Y290" s="217" t="s">
        <v>408</v>
      </c>
      <c r="Z290" s="217" t="s">
        <v>436</v>
      </c>
      <c r="AA290" s="296" t="s">
        <v>431</v>
      </c>
      <c r="AB290" s="296"/>
    </row>
    <row r="291" spans="1:28" s="101" customFormat="1" ht="18.75" hidden="1" customHeight="1">
      <c r="A291" s="11"/>
      <c r="B291" s="97"/>
      <c r="C291" s="98"/>
      <c r="D291" s="99"/>
      <c r="E291" s="440"/>
      <c r="F291" s="441"/>
      <c r="G291" s="441"/>
      <c r="H291" s="441"/>
      <c r="I291" s="441"/>
      <c r="J291" s="441"/>
      <c r="K291" s="441"/>
      <c r="L291" s="100"/>
      <c r="M291" s="11"/>
      <c r="Q291" s="11"/>
      <c r="R291" s="131">
        <f>IF(E291="地区代表者",COUNTA($D$1:$D291),0)</f>
        <v>0</v>
      </c>
      <c r="S291" s="131">
        <f t="shared" ref="S291:S292" si="142">IF(F291="実施済",1,0)</f>
        <v>0</v>
      </c>
      <c r="T291" s="260"/>
      <c r="U291" s="131">
        <f t="shared" ref="U291:U292" si="143">IF(AND(H291="実施済",I291="実施済"),S291*1,0)</f>
        <v>0</v>
      </c>
      <c r="V291" s="131">
        <f>IF(J291="実施済",$U291*1,0)</f>
        <v>0</v>
      </c>
      <c r="W291" s="260"/>
      <c r="X291" s="131" t="str">
        <f>IF(E291="","",IF(R291*S291&gt;0,3,SUM(S291,U291,V291)))</f>
        <v/>
      </c>
      <c r="Y291" s="131">
        <f>MIN($X$291:$X$295)+1</f>
        <v>1</v>
      </c>
      <c r="Z291" s="131">
        <f>IF(E291="",1,IF(R291&gt;0,IF(COUNTA($F291:$K291)=2,1,0),IF(COUNTA($F291:$K291)=6,1,0)))</f>
        <v>1</v>
      </c>
      <c r="AA291" s="131" t="str" cm="1">
        <f t="array" ref="AA291">_xlfn.IFS(Y291=4,"A",Y291=3,"B",Y291=2,"C",Y291=1,"D")</f>
        <v>D</v>
      </c>
      <c r="AB291" s="131" t="str" cm="1">
        <f t="array" ref="AB291">_xlfn.IFS(Z291=4,"A",Z291=3,"B",Z291=2,"C",Z291=1,"D")</f>
        <v>D</v>
      </c>
    </row>
    <row r="292" spans="1:28" s="101" customFormat="1" ht="18.75" customHeight="1">
      <c r="A292" s="11"/>
      <c r="B292" s="97"/>
      <c r="C292" s="98"/>
      <c r="D292" s="99"/>
      <c r="E292" s="442" t="s">
        <v>301</v>
      </c>
      <c r="F292" s="443"/>
      <c r="G292" s="846"/>
      <c r="H292" s="846"/>
      <c r="I292" s="846"/>
      <c r="J292" s="846"/>
      <c r="K292" s="443"/>
      <c r="L292" s="100"/>
      <c r="M292" s="11"/>
      <c r="Q292" s="11"/>
      <c r="R292" s="131">
        <f>IF(E292="地区代表者",COUNTA($D$1:$D292),0)</f>
        <v>21</v>
      </c>
      <c r="S292" s="131">
        <f t="shared" si="142"/>
        <v>0</v>
      </c>
      <c r="T292" s="260"/>
      <c r="U292" s="131">
        <f t="shared" si="143"/>
        <v>0</v>
      </c>
      <c r="V292" s="131">
        <f>IF(J292="実施済",$U292*1,0)</f>
        <v>0</v>
      </c>
      <c r="W292" s="260"/>
      <c r="X292" s="131">
        <f t="shared" ref="X292:X295" si="144">IF(E292="","",IF(R292*S292&gt;0,3,SUM(S292,U292,V292)))</f>
        <v>0</v>
      </c>
      <c r="Y292" s="131">
        <f>MIN($X$291:$X$295)+1</f>
        <v>1</v>
      </c>
      <c r="Z292" s="131">
        <f t="shared" ref="Z292:Z295" si="145">IF(E292="",1,IF(R292&gt;0,IF(COUNTA($F292:$K292)=2,1,0),IF(COUNTA($F292:$K292)=6,1,0)))</f>
        <v>0</v>
      </c>
      <c r="AA292" s="131" t="str" cm="1">
        <f t="array" ref="AA292">_xlfn.IFS(Y292=4,"A",Y292=3,"B",Y292=2,"C",Y292=1,"D")</f>
        <v>D</v>
      </c>
      <c r="AB292" s="131"/>
    </row>
    <row r="293" spans="1:28" s="101" customFormat="1" ht="18.75" customHeight="1">
      <c r="A293" s="11"/>
      <c r="B293" s="97"/>
      <c r="C293" s="98"/>
      <c r="D293" s="99"/>
      <c r="E293" s="442" t="s">
        <v>116</v>
      </c>
      <c r="F293" s="443"/>
      <c r="G293" s="443"/>
      <c r="H293" s="443"/>
      <c r="I293" s="443"/>
      <c r="J293" s="443"/>
      <c r="K293" s="443"/>
      <c r="L293" s="100"/>
      <c r="M293" s="11"/>
      <c r="P293" s="11"/>
      <c r="Q293" s="11"/>
      <c r="R293" s="131">
        <f>IF(E293="地区代表者",COUNTA($D$1:$D293),0)</f>
        <v>0</v>
      </c>
      <c r="S293" s="131">
        <f>IF(F293="実施済",1,0)</f>
        <v>0</v>
      </c>
      <c r="T293" s="260"/>
      <c r="U293" s="131">
        <f>IF(AND(H293="実施済",I293="実施済"),S293*1,0)</f>
        <v>0</v>
      </c>
      <c r="V293" s="131">
        <f>IF(J293="実施済",$U293*1,0)</f>
        <v>0</v>
      </c>
      <c r="W293" s="260"/>
      <c r="X293" s="131">
        <f t="shared" si="144"/>
        <v>0</v>
      </c>
      <c r="Y293" s="131">
        <f>MIN($X$291:$X$295)+1</f>
        <v>1</v>
      </c>
      <c r="Z293" s="131">
        <f t="shared" si="145"/>
        <v>0</v>
      </c>
      <c r="AA293" s="131" t="str" cm="1">
        <f t="array" ref="AA293">_xlfn.IFS(Y293=4,"A",Y293=3,"B",Y293=2,"C",Y293=1,"D")</f>
        <v>D</v>
      </c>
      <c r="AB293" s="131"/>
    </row>
    <row r="294" spans="1:28" s="2" customFormat="1" ht="9" customHeight="1">
      <c r="A294"/>
      <c r="B294" s="65"/>
      <c r="C294" s="4"/>
      <c r="D294" s="309"/>
      <c r="E294" s="310"/>
      <c r="F294" s="310"/>
      <c r="G294" s="310"/>
      <c r="H294" s="310"/>
      <c r="I294" s="310"/>
      <c r="J294" s="310"/>
      <c r="K294" s="310"/>
      <c r="L294" s="9"/>
      <c r="M294"/>
      <c r="P294"/>
      <c r="Q294"/>
      <c r="R294" s="217">
        <f>IF(E294="地区代表者",COUNTA($D$1:$D294),0)</f>
        <v>0</v>
      </c>
      <c r="S294" s="217">
        <f t="shared" ref="S294:S295" si="146">IF(F294="実施済",1,0)</f>
        <v>0</v>
      </c>
      <c r="T294" s="318"/>
      <c r="U294" s="217">
        <f t="shared" ref="U294:U295" si="147">IF(AND(H294="実施済",I294="実施済"),S294*1,0)</f>
        <v>0</v>
      </c>
      <c r="V294" s="217">
        <f t="shared" ref="V294:V295" si="148">IF(J294="実施済",$U294*1,0)</f>
        <v>0</v>
      </c>
      <c r="W294" s="318"/>
      <c r="X294" s="217" t="str">
        <f t="shared" si="144"/>
        <v/>
      </c>
      <c r="Y294" s="217">
        <f>MIN($X$291:$X$295)+1</f>
        <v>1</v>
      </c>
      <c r="Z294" s="217">
        <f t="shared" si="145"/>
        <v>1</v>
      </c>
      <c r="AA294" s="217" t="str" cm="1">
        <f t="array" ref="AA294">_xlfn.IFS(Y294=4,"A",Y294=3,"B",Y294=2,"C",Y294=1,"D")</f>
        <v>D</v>
      </c>
      <c r="AB294" s="217"/>
    </row>
    <row r="295" spans="1:28" s="2" customFormat="1" ht="6" customHeight="1">
      <c r="A295"/>
      <c r="B295"/>
      <c r="C295"/>
      <c r="D295" s="311"/>
      <c r="E295" s="312"/>
      <c r="F295" s="312"/>
      <c r="G295" s="312"/>
      <c r="H295" s="312"/>
      <c r="I295" s="312"/>
      <c r="J295" s="312"/>
      <c r="K295" s="312"/>
      <c r="L295"/>
      <c r="M295"/>
      <c r="P295"/>
      <c r="Q295"/>
      <c r="R295" s="217">
        <f>IF(E295="地区代表者",COUNTA($D$1:$D295),0)</f>
        <v>0</v>
      </c>
      <c r="S295" s="217">
        <f t="shared" si="146"/>
        <v>0</v>
      </c>
      <c r="T295" s="318"/>
      <c r="U295" s="217">
        <f t="shared" si="147"/>
        <v>0</v>
      </c>
      <c r="V295" s="217">
        <f t="shared" si="148"/>
        <v>0</v>
      </c>
      <c r="W295" s="318"/>
      <c r="X295" s="217" t="str">
        <f t="shared" si="144"/>
        <v/>
      </c>
      <c r="Y295" s="217">
        <f>MIN($X$291:$X$295)+1</f>
        <v>1</v>
      </c>
      <c r="Z295" s="217">
        <f t="shared" si="145"/>
        <v>1</v>
      </c>
      <c r="AA295" s="217" t="str" cm="1">
        <f t="array" ref="AA295">_xlfn.IFS(Y295=4,"A",Y295=3,"B",Y295=2,"C",Y295=1,"D")</f>
        <v>D</v>
      </c>
      <c r="AB295" s="217"/>
    </row>
    <row r="296" spans="1:28" ht="96" customHeight="1">
      <c r="C296" s="78"/>
      <c r="D296" s="79"/>
      <c r="E296" s="72" t="s">
        <v>238</v>
      </c>
      <c r="F296" s="1057"/>
      <c r="G296" s="1057"/>
      <c r="H296" s="1057"/>
      <c r="I296" s="1057"/>
      <c r="J296" s="1057"/>
      <c r="K296" s="1057"/>
      <c r="L296" s="80" t="s">
        <v>132</v>
      </c>
      <c r="M296" s="292"/>
    </row>
    <row r="297" spans="1:28" ht="96" customHeight="1">
      <c r="C297" s="75"/>
      <c r="D297" s="68"/>
      <c r="E297" s="72" t="s">
        <v>239</v>
      </c>
      <c r="F297" s="1058"/>
      <c r="G297" s="1059"/>
      <c r="H297" s="1059"/>
      <c r="I297" s="1059"/>
      <c r="J297" s="1059"/>
      <c r="K297" s="1060"/>
    </row>
    <row r="298" spans="1:28" ht="18.5" thickBot="1">
      <c r="A298" s="81"/>
      <c r="B298" s="81"/>
      <c r="C298" s="81"/>
      <c r="D298" s="81"/>
      <c r="E298" s="313"/>
      <c r="F298" s="81"/>
      <c r="G298" s="81"/>
      <c r="H298" s="81"/>
      <c r="I298" s="81"/>
      <c r="J298" s="81"/>
      <c r="K298" s="81"/>
      <c r="L298" s="81"/>
      <c r="M298" s="82"/>
    </row>
    <row r="300" spans="1:28" ht="9" customHeight="1">
      <c r="B300" s="10"/>
      <c r="C300" s="5"/>
      <c r="D300" s="5"/>
      <c r="E300" s="307"/>
      <c r="F300" s="5"/>
      <c r="G300" s="5"/>
      <c r="H300" s="5"/>
      <c r="I300" s="5"/>
      <c r="J300" s="5"/>
      <c r="K300" s="5"/>
      <c r="L300" s="6"/>
      <c r="M300"/>
      <c r="N300"/>
      <c r="O300"/>
      <c r="R300" t="str">
        <f>D301</f>
        <v>(選択してください)</v>
      </c>
    </row>
    <row r="301" spans="1:28">
      <c r="B301" s="7"/>
      <c r="C301" s="77" t="str">
        <f ca="1">IFERROR(OFFSET('4.2民生電力需要量'!$C$1,MATCH(D301,'4.2民生電力需要量'!$E:$E,0)-1,0),"")</f>
        <v/>
      </c>
      <c r="D301" s="96" t="s">
        <v>130</v>
      </c>
      <c r="E301" s="72" t="s">
        <v>131</v>
      </c>
      <c r="F301" s="1061" t="str">
        <f ca="1">IFERROR(OFFSET('4.2民生電力需要量'!$G$1,MATCH($D301,'4.2民生電力需要量'!$E:$E,0)-1,0),"")</f>
        <v/>
      </c>
      <c r="G301" s="1061"/>
      <c r="H301" s="1061"/>
      <c r="I301" s="1061"/>
      <c r="J301" s="1061"/>
      <c r="K301" s="1061"/>
      <c r="L301" s="8"/>
      <c r="M301"/>
      <c r="N301"/>
      <c r="O301"/>
      <c r="R301" s="177" t="str">
        <f ca="1">IFERROR(OFFSET('4.2民生電力需要量'!$G$1,MATCH($D301,'4.2民生電力需要量'!$E:$E,0)-1,0),"")</f>
        <v/>
      </c>
      <c r="S301" s="177"/>
      <c r="T301" s="177"/>
      <c r="U301" s="177"/>
      <c r="V301" s="177"/>
      <c r="W301" s="177"/>
      <c r="X301" s="177"/>
      <c r="Y301" s="177"/>
      <c r="Z301" s="177"/>
      <c r="AA301" s="177"/>
      <c r="AB301" s="177">
        <f ca="1">(F301=R301)*1</f>
        <v>1</v>
      </c>
    </row>
    <row r="302" spans="1:28">
      <c r="B302" s="7"/>
      <c r="C302" s="74"/>
      <c r="D302" s="66"/>
      <c r="E302" s="72" t="s">
        <v>221</v>
      </c>
      <c r="F302" s="1062" t="str">
        <f ca="1">IFERROR(OFFSET('4.2民生電力需要量'!$I$1,MATCH($D301,'4.2民生電力需要量'!$E:$E,0)-1,0),"")</f>
        <v/>
      </c>
      <c r="G302" s="1062"/>
      <c r="H302" s="1062"/>
      <c r="I302" s="1062"/>
      <c r="J302" s="1062"/>
      <c r="K302" s="1062"/>
      <c r="L302" s="8"/>
      <c r="M302"/>
      <c r="N302"/>
      <c r="O302"/>
      <c r="R302" s="177" t="str">
        <f ca="1">IFERROR(OFFSET('4.2民生電力需要量'!$I$1,MATCH($D301,'4.2民生電力需要量'!$E:$E,0)-1,0),"")</f>
        <v/>
      </c>
      <c r="S302" s="177"/>
      <c r="T302" s="177"/>
      <c r="U302" s="177"/>
      <c r="V302" s="177"/>
      <c r="W302" s="177"/>
      <c r="X302" s="177"/>
      <c r="Y302" s="177"/>
      <c r="Z302" s="177"/>
      <c r="AA302" s="177"/>
      <c r="AB302" s="177">
        <f ca="1">(F302=R302)*1</f>
        <v>1</v>
      </c>
    </row>
    <row r="303" spans="1:28">
      <c r="B303" s="7"/>
      <c r="C303" s="74"/>
      <c r="D303" s="66"/>
      <c r="E303" s="72" t="s">
        <v>175</v>
      </c>
      <c r="F303" s="1063" t="str">
        <f>_xlfn.IFNA(R303,"")</f>
        <v/>
      </c>
      <c r="G303" s="1063"/>
      <c r="H303" s="1063"/>
      <c r="I303" s="1063"/>
      <c r="J303" s="1063"/>
      <c r="K303" s="1063"/>
      <c r="L303" s="8"/>
      <c r="M303"/>
      <c r="N303"/>
      <c r="O303"/>
      <c r="R303" s="217" t="str">
        <f>IF(PRODUCT($Z305:$Z309)=1,AA305,"")</f>
        <v/>
      </c>
      <c r="S303" s="177"/>
      <c r="T303" s="177"/>
      <c r="U303" s="177"/>
      <c r="V303" s="177"/>
      <c r="W303" s="177"/>
      <c r="X303" s="177"/>
      <c r="Y303" s="177"/>
      <c r="Z303" s="177"/>
      <c r="AA303" s="177"/>
      <c r="AB303" s="177">
        <f>(F303=R303)*1</f>
        <v>1</v>
      </c>
    </row>
    <row r="304" spans="1:28" s="2" customFormat="1" ht="60">
      <c r="A304"/>
      <c r="B304" s="7"/>
      <c r="C304" s="74"/>
      <c r="D304" s="66"/>
      <c r="E304" s="308"/>
      <c r="F304" s="314" t="s">
        <v>302</v>
      </c>
      <c r="G304" s="315" t="s">
        <v>303</v>
      </c>
      <c r="H304" s="315" t="s">
        <v>304</v>
      </c>
      <c r="I304" s="315" t="s">
        <v>305</v>
      </c>
      <c r="J304" s="315" t="s">
        <v>435</v>
      </c>
      <c r="K304" s="315" t="s">
        <v>272</v>
      </c>
      <c r="L304" s="8"/>
      <c r="M304"/>
      <c r="P304"/>
      <c r="Q304"/>
      <c r="R304" s="296" t="s">
        <v>301</v>
      </c>
      <c r="S304" s="296" t="s">
        <v>302</v>
      </c>
      <c r="T304" s="316" t="s">
        <v>429</v>
      </c>
      <c r="U304" s="296" t="s">
        <v>430</v>
      </c>
      <c r="V304" s="296" t="s">
        <v>428</v>
      </c>
      <c r="W304" s="317" t="s">
        <v>272</v>
      </c>
      <c r="X304" s="296" t="s">
        <v>432</v>
      </c>
      <c r="Y304" s="217" t="s">
        <v>408</v>
      </c>
      <c r="Z304" s="217" t="s">
        <v>436</v>
      </c>
      <c r="AA304" s="296" t="s">
        <v>431</v>
      </c>
      <c r="AB304" s="296"/>
    </row>
    <row r="305" spans="1:28" s="101" customFormat="1" ht="18.75" hidden="1" customHeight="1">
      <c r="A305" s="11"/>
      <c r="B305" s="97"/>
      <c r="C305" s="98"/>
      <c r="D305" s="99"/>
      <c r="E305" s="440"/>
      <c r="F305" s="441"/>
      <c r="G305" s="441"/>
      <c r="H305" s="441"/>
      <c r="I305" s="441"/>
      <c r="J305" s="441"/>
      <c r="K305" s="441"/>
      <c r="L305" s="100"/>
      <c r="M305" s="11"/>
      <c r="Q305" s="11"/>
      <c r="R305" s="131">
        <f>IF(E305="地区代表者",COUNTA($D$1:$D305),0)</f>
        <v>0</v>
      </c>
      <c r="S305" s="131">
        <f t="shared" ref="S305:S306" si="149">IF(F305="実施済",1,0)</f>
        <v>0</v>
      </c>
      <c r="T305" s="260"/>
      <c r="U305" s="131">
        <f t="shared" ref="U305:U306" si="150">IF(AND(H305="実施済",I305="実施済"),S305*1,0)</f>
        <v>0</v>
      </c>
      <c r="V305" s="131">
        <f>IF(J305="実施済",$U305*1,0)</f>
        <v>0</v>
      </c>
      <c r="W305" s="260"/>
      <c r="X305" s="131" t="str">
        <f>IF(E305="","",IF(R305*S305&gt;0,3,SUM(S305,U305,V305)))</f>
        <v/>
      </c>
      <c r="Y305" s="131">
        <f>MIN($X$305:$X$309)+1</f>
        <v>1</v>
      </c>
      <c r="Z305" s="131">
        <f>IF(E305="",1,IF(R305&gt;0,IF(COUNTA($F305:$K305)=2,1,0),IF(COUNTA($F305:$K305)=6,1,0)))</f>
        <v>1</v>
      </c>
      <c r="AA305" s="131" t="str" cm="1">
        <f t="array" ref="AA305">_xlfn.IFS(Y305=4,"A",Y305=3,"B",Y305=2,"C",Y305=1,"D")</f>
        <v>D</v>
      </c>
      <c r="AB305" s="131" t="str" cm="1">
        <f t="array" ref="AB305">_xlfn.IFS(Z305=4,"A",Z305=3,"B",Z305=2,"C",Z305=1,"D")</f>
        <v>D</v>
      </c>
    </row>
    <row r="306" spans="1:28" s="101" customFormat="1" ht="18.75" customHeight="1">
      <c r="A306" s="11"/>
      <c r="B306" s="97"/>
      <c r="C306" s="98"/>
      <c r="D306" s="99"/>
      <c r="E306" s="442" t="s">
        <v>301</v>
      </c>
      <c r="F306" s="443"/>
      <c r="G306" s="846"/>
      <c r="H306" s="846"/>
      <c r="I306" s="846"/>
      <c r="J306" s="846"/>
      <c r="K306" s="443"/>
      <c r="L306" s="100"/>
      <c r="M306" s="11"/>
      <c r="Q306" s="11"/>
      <c r="R306" s="131">
        <f>IF(E306="地区代表者",COUNTA($D$1:$D306),0)</f>
        <v>22</v>
      </c>
      <c r="S306" s="131">
        <f t="shared" si="149"/>
        <v>0</v>
      </c>
      <c r="T306" s="260"/>
      <c r="U306" s="131">
        <f t="shared" si="150"/>
        <v>0</v>
      </c>
      <c r="V306" s="131">
        <f>IF(J306="実施済",$U306*1,0)</f>
        <v>0</v>
      </c>
      <c r="W306" s="260"/>
      <c r="X306" s="131">
        <f t="shared" ref="X306:X309" si="151">IF(E306="","",IF(R306*S306&gt;0,3,SUM(S306,U306,V306)))</f>
        <v>0</v>
      </c>
      <c r="Y306" s="131">
        <f>MIN($X$305:$X$309)+1</f>
        <v>1</v>
      </c>
      <c r="Z306" s="131">
        <f t="shared" ref="Z306:Z309" si="152">IF(E306="",1,IF(R306&gt;0,IF(COUNTA($F306:$K306)=2,1,0),IF(COUNTA($F306:$K306)=6,1,0)))</f>
        <v>0</v>
      </c>
      <c r="AA306" s="131" t="str" cm="1">
        <f t="array" ref="AA306">_xlfn.IFS(Y306=4,"A",Y306=3,"B",Y306=2,"C",Y306=1,"D")</f>
        <v>D</v>
      </c>
      <c r="AB306" s="131"/>
    </row>
    <row r="307" spans="1:28" s="101" customFormat="1" ht="18.75" customHeight="1">
      <c r="A307" s="11"/>
      <c r="B307" s="97"/>
      <c r="C307" s="98"/>
      <c r="D307" s="99"/>
      <c r="E307" s="442" t="s">
        <v>116</v>
      </c>
      <c r="F307" s="443"/>
      <c r="G307" s="443"/>
      <c r="H307" s="443"/>
      <c r="I307" s="443"/>
      <c r="J307" s="443"/>
      <c r="K307" s="443"/>
      <c r="L307" s="100"/>
      <c r="M307" s="11"/>
      <c r="P307" s="11"/>
      <c r="Q307" s="11"/>
      <c r="R307" s="131">
        <f>IF(E307="地区代表者",COUNTA($D$1:$D307),0)</f>
        <v>0</v>
      </c>
      <c r="S307" s="131">
        <f>IF(F307="実施済",1,0)</f>
        <v>0</v>
      </c>
      <c r="T307" s="260"/>
      <c r="U307" s="131">
        <f>IF(AND(H307="実施済",I307="実施済"),S307*1,0)</f>
        <v>0</v>
      </c>
      <c r="V307" s="131">
        <f>IF(J307="実施済",$U307*1,0)</f>
        <v>0</v>
      </c>
      <c r="W307" s="260"/>
      <c r="X307" s="131">
        <f t="shared" si="151"/>
        <v>0</v>
      </c>
      <c r="Y307" s="131">
        <f>MIN($X$305:$X$309)+1</f>
        <v>1</v>
      </c>
      <c r="Z307" s="131">
        <f t="shared" si="152"/>
        <v>0</v>
      </c>
      <c r="AA307" s="131" t="str" cm="1">
        <f t="array" ref="AA307">_xlfn.IFS(Y307=4,"A",Y307=3,"B",Y307=2,"C",Y307=1,"D")</f>
        <v>D</v>
      </c>
      <c r="AB307" s="131"/>
    </row>
    <row r="308" spans="1:28" s="2" customFormat="1" ht="9" customHeight="1">
      <c r="A308"/>
      <c r="B308" s="65"/>
      <c r="C308" s="4"/>
      <c r="D308" s="309"/>
      <c r="E308" s="310"/>
      <c r="F308" s="310"/>
      <c r="G308" s="310"/>
      <c r="H308" s="310"/>
      <c r="I308" s="310"/>
      <c r="J308" s="310"/>
      <c r="K308" s="310"/>
      <c r="L308" s="9"/>
      <c r="M308"/>
      <c r="P308"/>
      <c r="Q308"/>
      <c r="R308" s="217">
        <f>IF(E308="地区代表者",COUNTA($D$1:$D308),0)</f>
        <v>0</v>
      </c>
      <c r="S308" s="217">
        <f t="shared" ref="S308:S309" si="153">IF(F308="実施済",1,0)</f>
        <v>0</v>
      </c>
      <c r="T308" s="318"/>
      <c r="U308" s="217">
        <f t="shared" ref="U308:U309" si="154">IF(AND(H308="実施済",I308="実施済"),S308*1,0)</f>
        <v>0</v>
      </c>
      <c r="V308" s="217">
        <f t="shared" ref="V308:V309" si="155">IF(J308="実施済",$U308*1,0)</f>
        <v>0</v>
      </c>
      <c r="W308" s="318"/>
      <c r="X308" s="217" t="str">
        <f t="shared" si="151"/>
        <v/>
      </c>
      <c r="Y308" s="217">
        <f>MIN($X$305:$X$309)+1</f>
        <v>1</v>
      </c>
      <c r="Z308" s="217">
        <f t="shared" si="152"/>
        <v>1</v>
      </c>
      <c r="AA308" s="217" t="str" cm="1">
        <f t="array" ref="AA308">_xlfn.IFS(Y308=4,"A",Y308=3,"B",Y308=2,"C",Y308=1,"D")</f>
        <v>D</v>
      </c>
      <c r="AB308" s="217"/>
    </row>
    <row r="309" spans="1:28" s="2" customFormat="1" ht="6" customHeight="1">
      <c r="A309"/>
      <c r="B309"/>
      <c r="C309"/>
      <c r="D309" s="311"/>
      <c r="E309" s="312"/>
      <c r="F309" s="312"/>
      <c r="G309" s="312"/>
      <c r="H309" s="312"/>
      <c r="I309" s="312"/>
      <c r="J309" s="312"/>
      <c r="K309" s="312"/>
      <c r="L309"/>
      <c r="M309"/>
      <c r="P309"/>
      <c r="Q309"/>
      <c r="R309" s="217">
        <f>IF(E309="地区代表者",COUNTA($D$1:$D309),0)</f>
        <v>0</v>
      </c>
      <c r="S309" s="217">
        <f t="shared" si="153"/>
        <v>0</v>
      </c>
      <c r="T309" s="318"/>
      <c r="U309" s="217">
        <f t="shared" si="154"/>
        <v>0</v>
      </c>
      <c r="V309" s="217">
        <f t="shared" si="155"/>
        <v>0</v>
      </c>
      <c r="W309" s="318"/>
      <c r="X309" s="217" t="str">
        <f t="shared" si="151"/>
        <v/>
      </c>
      <c r="Y309" s="217">
        <f>MIN($X$305:$X$309)+1</f>
        <v>1</v>
      </c>
      <c r="Z309" s="217">
        <f t="shared" si="152"/>
        <v>1</v>
      </c>
      <c r="AA309" s="217" t="str" cm="1">
        <f t="array" ref="AA309">_xlfn.IFS(Y309=4,"A",Y309=3,"B",Y309=2,"C",Y309=1,"D")</f>
        <v>D</v>
      </c>
      <c r="AB309" s="217"/>
    </row>
    <row r="310" spans="1:28" ht="96" customHeight="1">
      <c r="C310" s="78"/>
      <c r="D310" s="79"/>
      <c r="E310" s="72" t="s">
        <v>238</v>
      </c>
      <c r="F310" s="1057"/>
      <c r="G310" s="1057"/>
      <c r="H310" s="1057"/>
      <c r="I310" s="1057"/>
      <c r="J310" s="1057"/>
      <c r="K310" s="1057"/>
      <c r="L310" s="80" t="s">
        <v>132</v>
      </c>
      <c r="M310" s="292"/>
    </row>
    <row r="311" spans="1:28" ht="96" customHeight="1">
      <c r="C311" s="75"/>
      <c r="D311" s="68"/>
      <c r="E311" s="72" t="s">
        <v>239</v>
      </c>
      <c r="F311" s="1058"/>
      <c r="G311" s="1059"/>
      <c r="H311" s="1059"/>
      <c r="I311" s="1059"/>
      <c r="J311" s="1059"/>
      <c r="K311" s="1060"/>
    </row>
    <row r="312" spans="1:28" ht="18.5" thickBot="1">
      <c r="A312" s="81"/>
      <c r="B312" s="81"/>
      <c r="C312" s="81"/>
      <c r="D312" s="81"/>
      <c r="E312" s="313"/>
      <c r="F312" s="81"/>
      <c r="G312" s="81"/>
      <c r="H312" s="81"/>
      <c r="I312" s="81"/>
      <c r="J312" s="81"/>
      <c r="K312" s="81"/>
      <c r="L312" s="81"/>
      <c r="M312" s="82"/>
    </row>
    <row r="314" spans="1:28" ht="9" customHeight="1">
      <c r="B314" s="10"/>
      <c r="C314" s="5"/>
      <c r="D314" s="5"/>
      <c r="E314" s="307"/>
      <c r="F314" s="5"/>
      <c r="G314" s="5"/>
      <c r="H314" s="5"/>
      <c r="I314" s="5"/>
      <c r="J314" s="5"/>
      <c r="K314" s="5"/>
      <c r="L314" s="6"/>
      <c r="M314"/>
      <c r="N314"/>
      <c r="O314"/>
      <c r="R314" t="str">
        <f>D315</f>
        <v>(選択してください)</v>
      </c>
    </row>
    <row r="315" spans="1:28">
      <c r="B315" s="7"/>
      <c r="C315" s="77" t="str">
        <f ca="1">IFERROR(OFFSET('4.2民生電力需要量'!$C$1,MATCH(D315,'4.2民生電力需要量'!$E:$E,0)-1,0),"")</f>
        <v/>
      </c>
      <c r="D315" s="96" t="s">
        <v>130</v>
      </c>
      <c r="E315" s="72" t="s">
        <v>131</v>
      </c>
      <c r="F315" s="1061" t="str">
        <f ca="1">IFERROR(OFFSET('4.2民生電力需要量'!$G$1,MATCH($D315,'4.2民生電力需要量'!$E:$E,0)-1,0),"")</f>
        <v/>
      </c>
      <c r="G315" s="1061"/>
      <c r="H315" s="1061"/>
      <c r="I315" s="1061"/>
      <c r="J315" s="1061"/>
      <c r="K315" s="1061"/>
      <c r="L315" s="8"/>
      <c r="M315"/>
      <c r="N315"/>
      <c r="O315"/>
      <c r="R315" s="177" t="str">
        <f ca="1">IFERROR(OFFSET('4.2民生電力需要量'!$G$1,MATCH($D315,'4.2民生電力需要量'!$E:$E,0)-1,0),"")</f>
        <v/>
      </c>
      <c r="S315" s="177"/>
      <c r="T315" s="177"/>
      <c r="U315" s="177"/>
      <c r="V315" s="177"/>
      <c r="W315" s="177"/>
      <c r="X315" s="177"/>
      <c r="Y315" s="177"/>
      <c r="Z315" s="177"/>
      <c r="AA315" s="177"/>
      <c r="AB315" s="177">
        <f ca="1">(F315=R315)*1</f>
        <v>1</v>
      </c>
    </row>
    <row r="316" spans="1:28">
      <c r="B316" s="7"/>
      <c r="C316" s="74"/>
      <c r="D316" s="66"/>
      <c r="E316" s="72" t="s">
        <v>221</v>
      </c>
      <c r="F316" s="1062" t="str">
        <f ca="1">IFERROR(OFFSET('4.2民生電力需要量'!$I$1,MATCH($D315,'4.2民生電力需要量'!$E:$E,0)-1,0),"")</f>
        <v/>
      </c>
      <c r="G316" s="1062"/>
      <c r="H316" s="1062"/>
      <c r="I316" s="1062"/>
      <c r="J316" s="1062"/>
      <c r="K316" s="1062"/>
      <c r="L316" s="8"/>
      <c r="M316"/>
      <c r="N316"/>
      <c r="O316"/>
      <c r="R316" s="177" t="str">
        <f ca="1">IFERROR(OFFSET('4.2民生電力需要量'!$I$1,MATCH($D315,'4.2民生電力需要量'!$E:$E,0)-1,0),"")</f>
        <v/>
      </c>
      <c r="S316" s="177"/>
      <c r="T316" s="177"/>
      <c r="U316" s="177"/>
      <c r="V316" s="177"/>
      <c r="W316" s="177"/>
      <c r="X316" s="177"/>
      <c r="Y316" s="177"/>
      <c r="Z316" s="177"/>
      <c r="AA316" s="177"/>
      <c r="AB316" s="177">
        <f ca="1">(F316=R316)*1</f>
        <v>1</v>
      </c>
    </row>
    <row r="317" spans="1:28">
      <c r="B317" s="7"/>
      <c r="C317" s="74"/>
      <c r="D317" s="66"/>
      <c r="E317" s="72" t="s">
        <v>175</v>
      </c>
      <c r="F317" s="1063" t="str">
        <f>_xlfn.IFNA(R317,"")</f>
        <v/>
      </c>
      <c r="G317" s="1063"/>
      <c r="H317" s="1063"/>
      <c r="I317" s="1063"/>
      <c r="J317" s="1063"/>
      <c r="K317" s="1063"/>
      <c r="L317" s="8"/>
      <c r="M317"/>
      <c r="N317"/>
      <c r="O317"/>
      <c r="R317" s="217" t="str">
        <f>IF(PRODUCT($Z319:$Z323)=1,AA319,"")</f>
        <v/>
      </c>
      <c r="S317" s="177"/>
      <c r="T317" s="177"/>
      <c r="U317" s="177"/>
      <c r="V317" s="177"/>
      <c r="W317" s="177"/>
      <c r="X317" s="177"/>
      <c r="Y317" s="177"/>
      <c r="Z317" s="177"/>
      <c r="AA317" s="177"/>
      <c r="AB317" s="177">
        <f>(F317=R317)*1</f>
        <v>1</v>
      </c>
    </row>
    <row r="318" spans="1:28" s="2" customFormat="1" ht="60">
      <c r="A318"/>
      <c r="B318" s="7"/>
      <c r="C318" s="74"/>
      <c r="D318" s="66"/>
      <c r="E318" s="308"/>
      <c r="F318" s="314" t="s">
        <v>302</v>
      </c>
      <c r="G318" s="315" t="s">
        <v>303</v>
      </c>
      <c r="H318" s="315" t="s">
        <v>304</v>
      </c>
      <c r="I318" s="315" t="s">
        <v>305</v>
      </c>
      <c r="J318" s="315" t="s">
        <v>435</v>
      </c>
      <c r="K318" s="315" t="s">
        <v>272</v>
      </c>
      <c r="L318" s="8"/>
      <c r="M318"/>
      <c r="P318"/>
      <c r="Q318"/>
      <c r="R318" s="296" t="s">
        <v>301</v>
      </c>
      <c r="S318" s="296" t="s">
        <v>302</v>
      </c>
      <c r="T318" s="316" t="s">
        <v>429</v>
      </c>
      <c r="U318" s="296" t="s">
        <v>430</v>
      </c>
      <c r="V318" s="296" t="s">
        <v>428</v>
      </c>
      <c r="W318" s="317" t="s">
        <v>272</v>
      </c>
      <c r="X318" s="296" t="s">
        <v>432</v>
      </c>
      <c r="Y318" s="217" t="s">
        <v>408</v>
      </c>
      <c r="Z318" s="217" t="s">
        <v>436</v>
      </c>
      <c r="AA318" s="296" t="s">
        <v>431</v>
      </c>
      <c r="AB318" s="296"/>
    </row>
    <row r="319" spans="1:28" s="101" customFormat="1" ht="18.75" hidden="1" customHeight="1">
      <c r="A319" s="11"/>
      <c r="B319" s="97"/>
      <c r="C319" s="98"/>
      <c r="D319" s="99"/>
      <c r="E319" s="440"/>
      <c r="F319" s="441"/>
      <c r="G319" s="441"/>
      <c r="H319" s="441"/>
      <c r="I319" s="441"/>
      <c r="J319" s="441"/>
      <c r="K319" s="441"/>
      <c r="L319" s="100"/>
      <c r="M319" s="11"/>
      <c r="Q319" s="11"/>
      <c r="R319" s="131">
        <f>IF(E319="地区代表者",COUNTA($D$1:$D319),0)</f>
        <v>0</v>
      </c>
      <c r="S319" s="131">
        <f t="shared" ref="S319:S320" si="156">IF(F319="実施済",1,0)</f>
        <v>0</v>
      </c>
      <c r="T319" s="260"/>
      <c r="U319" s="131">
        <f t="shared" ref="U319:U320" si="157">IF(AND(H319="実施済",I319="実施済"),S319*1,0)</f>
        <v>0</v>
      </c>
      <c r="V319" s="131">
        <f>IF(J319="実施済",$U319*1,0)</f>
        <v>0</v>
      </c>
      <c r="W319" s="260"/>
      <c r="X319" s="131" t="str">
        <f>IF(E319="","",IF(R319*S319&gt;0,3,SUM(S319,U319,V319)))</f>
        <v/>
      </c>
      <c r="Y319" s="131">
        <f>MIN($X$319:$X$323)+1</f>
        <v>1</v>
      </c>
      <c r="Z319" s="131">
        <f>IF(E319="",1,IF(R319&gt;0,IF(COUNTA($F319:$K319)=2,1,0),IF(COUNTA($F319:$K319)=6,1,0)))</f>
        <v>1</v>
      </c>
      <c r="AA319" s="131" t="str" cm="1">
        <f t="array" ref="AA319">_xlfn.IFS(Y319=4,"A",Y319=3,"B",Y319=2,"C",Y319=1,"D")</f>
        <v>D</v>
      </c>
      <c r="AB319" s="131" t="str" cm="1">
        <f t="array" ref="AB319">_xlfn.IFS(Z319=4,"A",Z319=3,"B",Z319=2,"C",Z319=1,"D")</f>
        <v>D</v>
      </c>
    </row>
    <row r="320" spans="1:28" s="101" customFormat="1" ht="18.75" customHeight="1">
      <c r="A320" s="11"/>
      <c r="B320" s="97"/>
      <c r="C320" s="98"/>
      <c r="D320" s="99"/>
      <c r="E320" s="442" t="s">
        <v>301</v>
      </c>
      <c r="F320" s="443"/>
      <c r="G320" s="846"/>
      <c r="H320" s="846"/>
      <c r="I320" s="846"/>
      <c r="J320" s="846"/>
      <c r="K320" s="443"/>
      <c r="L320" s="100"/>
      <c r="M320" s="11"/>
      <c r="Q320" s="11"/>
      <c r="R320" s="131">
        <f>IF(E320="地区代表者",COUNTA($D$1:$D320),0)</f>
        <v>23</v>
      </c>
      <c r="S320" s="131">
        <f t="shared" si="156"/>
        <v>0</v>
      </c>
      <c r="T320" s="260"/>
      <c r="U320" s="131">
        <f t="shared" si="157"/>
        <v>0</v>
      </c>
      <c r="V320" s="131">
        <f>IF(J320="実施済",$U320*1,0)</f>
        <v>0</v>
      </c>
      <c r="W320" s="260"/>
      <c r="X320" s="131">
        <f t="shared" ref="X320:X323" si="158">IF(E320="","",IF(R320*S320&gt;0,3,SUM(S320,U320,V320)))</f>
        <v>0</v>
      </c>
      <c r="Y320" s="131">
        <f>MIN($X$319:$X$323)+1</f>
        <v>1</v>
      </c>
      <c r="Z320" s="131">
        <f t="shared" ref="Z320:Z323" si="159">IF(E320="",1,IF(R320&gt;0,IF(COUNTA($F320:$K320)=2,1,0),IF(COUNTA($F320:$K320)=6,1,0)))</f>
        <v>0</v>
      </c>
      <c r="AA320" s="131" t="str" cm="1">
        <f t="array" ref="AA320">_xlfn.IFS(Y320=4,"A",Y320=3,"B",Y320=2,"C",Y320=1,"D")</f>
        <v>D</v>
      </c>
      <c r="AB320" s="131"/>
    </row>
    <row r="321" spans="1:28" s="101" customFormat="1" ht="18.75" customHeight="1">
      <c r="A321" s="11"/>
      <c r="B321" s="97"/>
      <c r="C321" s="98"/>
      <c r="D321" s="99"/>
      <c r="E321" s="442" t="s">
        <v>116</v>
      </c>
      <c r="F321" s="443"/>
      <c r="G321" s="443"/>
      <c r="H321" s="443"/>
      <c r="I321" s="443"/>
      <c r="J321" s="443"/>
      <c r="K321" s="443"/>
      <c r="L321" s="100"/>
      <c r="M321" s="11"/>
      <c r="P321" s="11"/>
      <c r="Q321" s="11"/>
      <c r="R321" s="131">
        <f>IF(E321="地区代表者",COUNTA($D$1:$D321),0)</f>
        <v>0</v>
      </c>
      <c r="S321" s="131">
        <f>IF(F321="実施済",1,0)</f>
        <v>0</v>
      </c>
      <c r="T321" s="260"/>
      <c r="U321" s="131">
        <f>IF(AND(H321="実施済",I321="実施済"),S321*1,0)</f>
        <v>0</v>
      </c>
      <c r="V321" s="131">
        <f>IF(J321="実施済",$U321*1,0)</f>
        <v>0</v>
      </c>
      <c r="W321" s="260"/>
      <c r="X321" s="131">
        <f t="shared" si="158"/>
        <v>0</v>
      </c>
      <c r="Y321" s="131">
        <f>MIN($X$319:$X$323)+1</f>
        <v>1</v>
      </c>
      <c r="Z321" s="131">
        <f t="shared" si="159"/>
        <v>0</v>
      </c>
      <c r="AA321" s="131" t="str" cm="1">
        <f t="array" ref="AA321">_xlfn.IFS(Y321=4,"A",Y321=3,"B",Y321=2,"C",Y321=1,"D")</f>
        <v>D</v>
      </c>
      <c r="AB321" s="131"/>
    </row>
    <row r="322" spans="1:28" s="2" customFormat="1" ht="9" customHeight="1">
      <c r="A322"/>
      <c r="B322" s="65"/>
      <c r="C322" s="4"/>
      <c r="D322" s="309"/>
      <c r="E322" s="310"/>
      <c r="F322" s="310"/>
      <c r="G322" s="310"/>
      <c r="H322" s="310"/>
      <c r="I322" s="310"/>
      <c r="J322" s="310"/>
      <c r="K322" s="310"/>
      <c r="L322" s="9"/>
      <c r="M322"/>
      <c r="P322"/>
      <c r="Q322"/>
      <c r="R322" s="217">
        <f>IF(E322="地区代表者",COUNTA($D$1:$D322),0)</f>
        <v>0</v>
      </c>
      <c r="S322" s="217">
        <f t="shared" ref="S322:S323" si="160">IF(F322="実施済",1,0)</f>
        <v>0</v>
      </c>
      <c r="T322" s="318"/>
      <c r="U322" s="217">
        <f t="shared" ref="U322:U323" si="161">IF(AND(H322="実施済",I322="実施済"),S322*1,0)</f>
        <v>0</v>
      </c>
      <c r="V322" s="217">
        <f t="shared" ref="V322:V323" si="162">IF(J322="実施済",$U322*1,0)</f>
        <v>0</v>
      </c>
      <c r="W322" s="318"/>
      <c r="X322" s="217" t="str">
        <f t="shared" si="158"/>
        <v/>
      </c>
      <c r="Y322" s="217">
        <f>MIN($X$319:$X$323)+1</f>
        <v>1</v>
      </c>
      <c r="Z322" s="217">
        <f t="shared" si="159"/>
        <v>1</v>
      </c>
      <c r="AA322" s="217" t="str" cm="1">
        <f t="array" ref="AA322">_xlfn.IFS(Y322=4,"A",Y322=3,"B",Y322=2,"C",Y322=1,"D")</f>
        <v>D</v>
      </c>
      <c r="AB322" s="217"/>
    </row>
    <row r="323" spans="1:28" s="2" customFormat="1" ht="6" customHeight="1">
      <c r="A323"/>
      <c r="B323"/>
      <c r="C323"/>
      <c r="D323" s="311"/>
      <c r="E323" s="312"/>
      <c r="F323" s="312"/>
      <c r="G323" s="312"/>
      <c r="H323" s="312"/>
      <c r="I323" s="312"/>
      <c r="J323" s="312"/>
      <c r="K323" s="312"/>
      <c r="L323"/>
      <c r="M323"/>
      <c r="P323"/>
      <c r="Q323"/>
      <c r="R323" s="217">
        <f>IF(E323="地区代表者",COUNTA($D$1:$D323),0)</f>
        <v>0</v>
      </c>
      <c r="S323" s="217">
        <f t="shared" si="160"/>
        <v>0</v>
      </c>
      <c r="T323" s="318"/>
      <c r="U323" s="217">
        <f t="shared" si="161"/>
        <v>0</v>
      </c>
      <c r="V323" s="217">
        <f t="shared" si="162"/>
        <v>0</v>
      </c>
      <c r="W323" s="318"/>
      <c r="X323" s="217" t="str">
        <f t="shared" si="158"/>
        <v/>
      </c>
      <c r="Y323" s="217">
        <f>MIN($X$319:$X$323)+1</f>
        <v>1</v>
      </c>
      <c r="Z323" s="217">
        <f t="shared" si="159"/>
        <v>1</v>
      </c>
      <c r="AA323" s="217" t="str" cm="1">
        <f t="array" ref="AA323">_xlfn.IFS(Y323=4,"A",Y323=3,"B",Y323=2,"C",Y323=1,"D")</f>
        <v>D</v>
      </c>
      <c r="AB323" s="217"/>
    </row>
    <row r="324" spans="1:28" ht="96" customHeight="1">
      <c r="C324" s="78"/>
      <c r="D324" s="79"/>
      <c r="E324" s="72" t="s">
        <v>238</v>
      </c>
      <c r="F324" s="1057"/>
      <c r="G324" s="1057"/>
      <c r="H324" s="1057"/>
      <c r="I324" s="1057"/>
      <c r="J324" s="1057"/>
      <c r="K324" s="1057"/>
      <c r="L324" s="80" t="s">
        <v>132</v>
      </c>
      <c r="M324" s="292"/>
    </row>
    <row r="325" spans="1:28" ht="96" customHeight="1">
      <c r="C325" s="75"/>
      <c r="D325" s="68"/>
      <c r="E325" s="72" t="s">
        <v>239</v>
      </c>
      <c r="F325" s="1058"/>
      <c r="G325" s="1059"/>
      <c r="H325" s="1059"/>
      <c r="I325" s="1059"/>
      <c r="J325" s="1059"/>
      <c r="K325" s="1060"/>
    </row>
    <row r="326" spans="1:28" ht="18.5" thickBot="1">
      <c r="A326" s="81"/>
      <c r="B326" s="81"/>
      <c r="C326" s="81"/>
      <c r="D326" s="81"/>
      <c r="E326" s="313"/>
      <c r="F326" s="81"/>
      <c r="G326" s="81"/>
      <c r="H326" s="81"/>
      <c r="I326" s="81"/>
      <c r="J326" s="81"/>
      <c r="K326" s="81"/>
      <c r="L326" s="81"/>
      <c r="M326" s="82"/>
    </row>
    <row r="328" spans="1:28" ht="9" customHeight="1">
      <c r="B328" s="10"/>
      <c r="C328" s="5"/>
      <c r="D328" s="5"/>
      <c r="E328" s="307"/>
      <c r="F328" s="5"/>
      <c r="G328" s="5"/>
      <c r="H328" s="5"/>
      <c r="I328" s="5"/>
      <c r="J328" s="5"/>
      <c r="K328" s="5"/>
      <c r="L328" s="6"/>
      <c r="M328"/>
      <c r="N328"/>
      <c r="O328"/>
      <c r="R328" t="str">
        <f>D329</f>
        <v>(選択してください)</v>
      </c>
    </row>
    <row r="329" spans="1:28">
      <c r="B329" s="7"/>
      <c r="C329" s="77" t="str">
        <f ca="1">IFERROR(OFFSET('4.2民生電力需要量'!$C$1,MATCH(D329,'4.2民生電力需要量'!$E:$E,0)-1,0),"")</f>
        <v/>
      </c>
      <c r="D329" s="96" t="s">
        <v>130</v>
      </c>
      <c r="E329" s="72" t="s">
        <v>131</v>
      </c>
      <c r="F329" s="1061" t="str">
        <f ca="1">IFERROR(OFFSET('4.2民生電力需要量'!$G$1,MATCH($D329,'4.2民生電力需要量'!$E:$E,0)-1,0),"")</f>
        <v/>
      </c>
      <c r="G329" s="1061"/>
      <c r="H329" s="1061"/>
      <c r="I329" s="1061"/>
      <c r="J329" s="1061"/>
      <c r="K329" s="1061"/>
      <c r="L329" s="8"/>
      <c r="M329"/>
      <c r="N329"/>
      <c r="O329"/>
      <c r="R329" s="177" t="str">
        <f ca="1">IFERROR(OFFSET('4.2民生電力需要量'!$G$1,MATCH($D329,'4.2民生電力需要量'!$E:$E,0)-1,0),"")</f>
        <v/>
      </c>
      <c r="S329" s="177"/>
      <c r="T329" s="177"/>
      <c r="U329" s="177"/>
      <c r="V329" s="177"/>
      <c r="W329" s="177"/>
      <c r="X329" s="177"/>
      <c r="Y329" s="177"/>
      <c r="Z329" s="177"/>
      <c r="AA329" s="177"/>
      <c r="AB329" s="177">
        <f ca="1">(F329=R329)*1</f>
        <v>1</v>
      </c>
    </row>
    <row r="330" spans="1:28">
      <c r="B330" s="7"/>
      <c r="C330" s="74"/>
      <c r="D330" s="66"/>
      <c r="E330" s="72" t="s">
        <v>221</v>
      </c>
      <c r="F330" s="1062" t="str">
        <f ca="1">IFERROR(OFFSET('4.2民生電力需要量'!$I$1,MATCH($D329,'4.2民生電力需要量'!$E:$E,0)-1,0),"")</f>
        <v/>
      </c>
      <c r="G330" s="1062"/>
      <c r="H330" s="1062"/>
      <c r="I330" s="1062"/>
      <c r="J330" s="1062"/>
      <c r="K330" s="1062"/>
      <c r="L330" s="8"/>
      <c r="M330"/>
      <c r="N330"/>
      <c r="O330"/>
      <c r="R330" s="177" t="str">
        <f ca="1">IFERROR(OFFSET('4.2民生電力需要量'!$I$1,MATCH($D329,'4.2民生電力需要量'!$E:$E,0)-1,0),"")</f>
        <v/>
      </c>
      <c r="S330" s="177"/>
      <c r="T330" s="177"/>
      <c r="U330" s="177"/>
      <c r="V330" s="177"/>
      <c r="W330" s="177"/>
      <c r="X330" s="177"/>
      <c r="Y330" s="177"/>
      <c r="Z330" s="177"/>
      <c r="AA330" s="177"/>
      <c r="AB330" s="177">
        <f ca="1">(F330=R330)*1</f>
        <v>1</v>
      </c>
    </row>
    <row r="331" spans="1:28">
      <c r="B331" s="7"/>
      <c r="C331" s="74"/>
      <c r="D331" s="66"/>
      <c r="E331" s="72" t="s">
        <v>175</v>
      </c>
      <c r="F331" s="1063" t="str">
        <f>_xlfn.IFNA(R331,"")</f>
        <v/>
      </c>
      <c r="G331" s="1063"/>
      <c r="H331" s="1063"/>
      <c r="I331" s="1063"/>
      <c r="J331" s="1063"/>
      <c r="K331" s="1063"/>
      <c r="L331" s="8"/>
      <c r="M331"/>
      <c r="N331"/>
      <c r="O331"/>
      <c r="R331" s="217" t="str">
        <f>IF(PRODUCT($Z333:$Z337)=1,AA333,"")</f>
        <v/>
      </c>
      <c r="S331" s="177"/>
      <c r="T331" s="177"/>
      <c r="U331" s="177"/>
      <c r="V331" s="177"/>
      <c r="W331" s="177"/>
      <c r="X331" s="177"/>
      <c r="Y331" s="177"/>
      <c r="Z331" s="177"/>
      <c r="AA331" s="177"/>
      <c r="AB331" s="177">
        <f>(F331=R331)*1</f>
        <v>1</v>
      </c>
    </row>
    <row r="332" spans="1:28" s="2" customFormat="1" ht="60">
      <c r="A332"/>
      <c r="B332" s="7"/>
      <c r="C332" s="74"/>
      <c r="D332" s="66"/>
      <c r="E332" s="308"/>
      <c r="F332" s="314" t="s">
        <v>302</v>
      </c>
      <c r="G332" s="315" t="s">
        <v>303</v>
      </c>
      <c r="H332" s="315" t="s">
        <v>304</v>
      </c>
      <c r="I332" s="315" t="s">
        <v>305</v>
      </c>
      <c r="J332" s="315" t="s">
        <v>435</v>
      </c>
      <c r="K332" s="315" t="s">
        <v>272</v>
      </c>
      <c r="L332" s="8"/>
      <c r="M332"/>
      <c r="P332"/>
      <c r="Q332"/>
      <c r="R332" s="296" t="s">
        <v>301</v>
      </c>
      <c r="S332" s="296" t="s">
        <v>302</v>
      </c>
      <c r="T332" s="316" t="s">
        <v>429</v>
      </c>
      <c r="U332" s="296" t="s">
        <v>430</v>
      </c>
      <c r="V332" s="296" t="s">
        <v>428</v>
      </c>
      <c r="W332" s="317" t="s">
        <v>272</v>
      </c>
      <c r="X332" s="296" t="s">
        <v>432</v>
      </c>
      <c r="Y332" s="217" t="s">
        <v>408</v>
      </c>
      <c r="Z332" s="217" t="s">
        <v>436</v>
      </c>
      <c r="AA332" s="296" t="s">
        <v>431</v>
      </c>
      <c r="AB332" s="296"/>
    </row>
    <row r="333" spans="1:28" s="101" customFormat="1" ht="18.75" hidden="1" customHeight="1">
      <c r="A333" s="11"/>
      <c r="B333" s="97"/>
      <c r="C333" s="98"/>
      <c r="D333" s="99"/>
      <c r="E333" s="440"/>
      <c r="F333" s="441"/>
      <c r="G333" s="441"/>
      <c r="H333" s="441"/>
      <c r="I333" s="441"/>
      <c r="J333" s="441"/>
      <c r="K333" s="441"/>
      <c r="L333" s="100"/>
      <c r="M333" s="11"/>
      <c r="Q333" s="11"/>
      <c r="R333" s="131">
        <f>IF(E333="地区代表者",COUNTA($D$1:$D333),0)</f>
        <v>0</v>
      </c>
      <c r="S333" s="131">
        <f t="shared" ref="S333:S334" si="163">IF(F333="実施済",1,0)</f>
        <v>0</v>
      </c>
      <c r="T333" s="260"/>
      <c r="U333" s="131">
        <f t="shared" ref="U333:U334" si="164">IF(AND(H333="実施済",I333="実施済"),S333*1,0)</f>
        <v>0</v>
      </c>
      <c r="V333" s="131">
        <f>IF(J333="実施済",$U333*1,0)</f>
        <v>0</v>
      </c>
      <c r="W333" s="260"/>
      <c r="X333" s="131" t="str">
        <f>IF(E333="","",IF(R333*S333&gt;0,3,SUM(S333,U333,V333)))</f>
        <v/>
      </c>
      <c r="Y333" s="131">
        <f>MIN($X$333:$X$337)+1</f>
        <v>1</v>
      </c>
      <c r="Z333" s="131">
        <f>IF(E333="",1,IF(R333&gt;0,IF(COUNTA($F333:$K333)=2,1,0),IF(COUNTA($F333:$K333)=6,1,0)))</f>
        <v>1</v>
      </c>
      <c r="AA333" s="131" t="str" cm="1">
        <f t="array" ref="AA333">_xlfn.IFS(Y333=4,"A",Y333=3,"B",Y333=2,"C",Y333=1,"D")</f>
        <v>D</v>
      </c>
      <c r="AB333" s="131" t="str" cm="1">
        <f t="array" ref="AB333">_xlfn.IFS(Z333=4,"A",Z333=3,"B",Z333=2,"C",Z333=1,"D")</f>
        <v>D</v>
      </c>
    </row>
    <row r="334" spans="1:28" s="101" customFormat="1" ht="18.75" customHeight="1">
      <c r="A334" s="11"/>
      <c r="B334" s="97"/>
      <c r="C334" s="98"/>
      <c r="D334" s="99"/>
      <c r="E334" s="442" t="s">
        <v>301</v>
      </c>
      <c r="F334" s="443"/>
      <c r="G334" s="846"/>
      <c r="H334" s="846"/>
      <c r="I334" s="846"/>
      <c r="J334" s="846"/>
      <c r="K334" s="443"/>
      <c r="L334" s="100"/>
      <c r="M334" s="11"/>
      <c r="Q334" s="11"/>
      <c r="R334" s="131">
        <f>IF(E334="地区代表者",COUNTA($D$1:$D334),0)</f>
        <v>24</v>
      </c>
      <c r="S334" s="131">
        <f t="shared" si="163"/>
        <v>0</v>
      </c>
      <c r="T334" s="260"/>
      <c r="U334" s="131">
        <f t="shared" si="164"/>
        <v>0</v>
      </c>
      <c r="V334" s="131">
        <f>IF(J334="実施済",$U334*1,0)</f>
        <v>0</v>
      </c>
      <c r="W334" s="260"/>
      <c r="X334" s="131">
        <f t="shared" ref="X334:X337" si="165">IF(E334="","",IF(R334*S334&gt;0,3,SUM(S334,U334,V334)))</f>
        <v>0</v>
      </c>
      <c r="Y334" s="131">
        <f>MIN($X$333:$X$337)+1</f>
        <v>1</v>
      </c>
      <c r="Z334" s="131">
        <f t="shared" ref="Z334:Z337" si="166">IF(E334="",1,IF(R334&gt;0,IF(COUNTA($F334:$K334)=2,1,0),IF(COUNTA($F334:$K334)=6,1,0)))</f>
        <v>0</v>
      </c>
      <c r="AA334" s="131" t="str" cm="1">
        <f t="array" ref="AA334">_xlfn.IFS(Y334=4,"A",Y334=3,"B",Y334=2,"C",Y334=1,"D")</f>
        <v>D</v>
      </c>
      <c r="AB334" s="131"/>
    </row>
    <row r="335" spans="1:28" s="101" customFormat="1" ht="18.75" customHeight="1">
      <c r="A335" s="11"/>
      <c r="B335" s="97"/>
      <c r="C335" s="98"/>
      <c r="D335" s="99"/>
      <c r="E335" s="442" t="s">
        <v>116</v>
      </c>
      <c r="F335" s="443"/>
      <c r="G335" s="443"/>
      <c r="H335" s="443"/>
      <c r="I335" s="443"/>
      <c r="J335" s="443"/>
      <c r="K335" s="443"/>
      <c r="L335" s="100"/>
      <c r="M335" s="11"/>
      <c r="P335" s="11"/>
      <c r="Q335" s="11"/>
      <c r="R335" s="131">
        <f>IF(E335="地区代表者",COUNTA($D$1:$D335),0)</f>
        <v>0</v>
      </c>
      <c r="S335" s="131">
        <f>IF(F335="実施済",1,0)</f>
        <v>0</v>
      </c>
      <c r="T335" s="260"/>
      <c r="U335" s="131">
        <f>IF(AND(H335="実施済",I335="実施済"),S335*1,0)</f>
        <v>0</v>
      </c>
      <c r="V335" s="131">
        <f>IF(J335="実施済",$U335*1,0)</f>
        <v>0</v>
      </c>
      <c r="W335" s="260"/>
      <c r="X335" s="131">
        <f t="shared" si="165"/>
        <v>0</v>
      </c>
      <c r="Y335" s="131">
        <f>MIN($X$333:$X$337)+1</f>
        <v>1</v>
      </c>
      <c r="Z335" s="131">
        <f t="shared" si="166"/>
        <v>0</v>
      </c>
      <c r="AA335" s="131" t="str" cm="1">
        <f t="array" ref="AA335">_xlfn.IFS(Y335=4,"A",Y335=3,"B",Y335=2,"C",Y335=1,"D")</f>
        <v>D</v>
      </c>
      <c r="AB335" s="131"/>
    </row>
    <row r="336" spans="1:28" s="2" customFormat="1" ht="9" customHeight="1">
      <c r="A336"/>
      <c r="B336" s="65"/>
      <c r="C336" s="4"/>
      <c r="D336" s="309"/>
      <c r="E336" s="310"/>
      <c r="F336" s="310"/>
      <c r="G336" s="310"/>
      <c r="H336" s="310"/>
      <c r="I336" s="310"/>
      <c r="J336" s="310"/>
      <c r="K336" s="310"/>
      <c r="L336" s="9"/>
      <c r="M336"/>
      <c r="P336"/>
      <c r="Q336"/>
      <c r="R336" s="217">
        <f>IF(E336="地区代表者",COUNTA($D$1:$D336),0)</f>
        <v>0</v>
      </c>
      <c r="S336" s="217">
        <f t="shared" ref="S336:S337" si="167">IF(F336="実施済",1,0)</f>
        <v>0</v>
      </c>
      <c r="T336" s="318"/>
      <c r="U336" s="217">
        <f t="shared" ref="U336:U337" si="168">IF(AND(H336="実施済",I336="実施済"),S336*1,0)</f>
        <v>0</v>
      </c>
      <c r="V336" s="217">
        <f t="shared" ref="V336:V337" si="169">IF(J336="実施済",$U336*1,0)</f>
        <v>0</v>
      </c>
      <c r="W336" s="318"/>
      <c r="X336" s="217" t="str">
        <f t="shared" si="165"/>
        <v/>
      </c>
      <c r="Y336" s="217">
        <f>MIN($X$333:$X$337)+1</f>
        <v>1</v>
      </c>
      <c r="Z336" s="217">
        <f t="shared" si="166"/>
        <v>1</v>
      </c>
      <c r="AA336" s="217" t="str" cm="1">
        <f t="array" ref="AA336">_xlfn.IFS(Y336=4,"A",Y336=3,"B",Y336=2,"C",Y336=1,"D")</f>
        <v>D</v>
      </c>
      <c r="AB336" s="217"/>
    </row>
    <row r="337" spans="1:28" s="2" customFormat="1" ht="6" customHeight="1">
      <c r="A337"/>
      <c r="B337"/>
      <c r="C337"/>
      <c r="D337" s="311"/>
      <c r="E337" s="312"/>
      <c r="F337" s="312"/>
      <c r="G337" s="312"/>
      <c r="H337" s="312"/>
      <c r="I337" s="312"/>
      <c r="J337" s="312"/>
      <c r="K337" s="312"/>
      <c r="L337"/>
      <c r="M337"/>
      <c r="P337"/>
      <c r="Q337"/>
      <c r="R337" s="217">
        <f>IF(E337="地区代表者",COUNTA($D$1:$D337),0)</f>
        <v>0</v>
      </c>
      <c r="S337" s="217">
        <f t="shared" si="167"/>
        <v>0</v>
      </c>
      <c r="T337" s="318"/>
      <c r="U337" s="217">
        <f t="shared" si="168"/>
        <v>0</v>
      </c>
      <c r="V337" s="217">
        <f t="shared" si="169"/>
        <v>0</v>
      </c>
      <c r="W337" s="318"/>
      <c r="X337" s="217" t="str">
        <f t="shared" si="165"/>
        <v/>
      </c>
      <c r="Y337" s="217">
        <f>MIN($X$333:$X$337)+1</f>
        <v>1</v>
      </c>
      <c r="Z337" s="217">
        <f t="shared" si="166"/>
        <v>1</v>
      </c>
      <c r="AA337" s="217" t="str" cm="1">
        <f t="array" ref="AA337">_xlfn.IFS(Y337=4,"A",Y337=3,"B",Y337=2,"C",Y337=1,"D")</f>
        <v>D</v>
      </c>
      <c r="AB337" s="217"/>
    </row>
    <row r="338" spans="1:28" ht="96" customHeight="1">
      <c r="C338" s="78"/>
      <c r="D338" s="79"/>
      <c r="E338" s="72" t="s">
        <v>238</v>
      </c>
      <c r="F338" s="1057"/>
      <c r="G338" s="1057"/>
      <c r="H338" s="1057"/>
      <c r="I338" s="1057"/>
      <c r="J338" s="1057"/>
      <c r="K338" s="1057"/>
      <c r="L338" s="80" t="s">
        <v>132</v>
      </c>
      <c r="M338" s="292"/>
    </row>
    <row r="339" spans="1:28" ht="96" customHeight="1">
      <c r="C339" s="75"/>
      <c r="D339" s="68"/>
      <c r="E339" s="72" t="s">
        <v>239</v>
      </c>
      <c r="F339" s="1058"/>
      <c r="G339" s="1059"/>
      <c r="H339" s="1059"/>
      <c r="I339" s="1059"/>
      <c r="J339" s="1059"/>
      <c r="K339" s="1060"/>
    </row>
    <row r="340" spans="1:28" ht="18.5" thickBot="1">
      <c r="A340" s="81"/>
      <c r="B340" s="81"/>
      <c r="C340" s="81"/>
      <c r="D340" s="81"/>
      <c r="E340" s="313"/>
      <c r="F340" s="81"/>
      <c r="G340" s="81"/>
      <c r="H340" s="81"/>
      <c r="I340" s="81"/>
      <c r="J340" s="81"/>
      <c r="K340" s="81"/>
      <c r="L340" s="81"/>
      <c r="M340" s="82"/>
    </row>
    <row r="342" spans="1:28" ht="9" customHeight="1">
      <c r="B342" s="10"/>
      <c r="C342" s="5"/>
      <c r="D342" s="5"/>
      <c r="E342" s="307"/>
      <c r="F342" s="5"/>
      <c r="G342" s="5"/>
      <c r="H342" s="5"/>
      <c r="I342" s="5"/>
      <c r="J342" s="5"/>
      <c r="K342" s="5"/>
      <c r="L342" s="6"/>
      <c r="M342"/>
      <c r="N342"/>
      <c r="O342"/>
      <c r="R342" t="str">
        <f>D343</f>
        <v>(選択してください)</v>
      </c>
    </row>
    <row r="343" spans="1:28">
      <c r="B343" s="7"/>
      <c r="C343" s="77" t="str">
        <f ca="1">IFERROR(OFFSET('4.2民生電力需要量'!$C$1,MATCH(D343,'4.2民生電力需要量'!$E:$E,0)-1,0),"")</f>
        <v/>
      </c>
      <c r="D343" s="96" t="s">
        <v>130</v>
      </c>
      <c r="E343" s="72" t="s">
        <v>131</v>
      </c>
      <c r="F343" s="1061" t="str">
        <f ca="1">IFERROR(OFFSET('4.2民生電力需要量'!$G$1,MATCH($D343,'4.2民生電力需要量'!$E:$E,0)-1,0),"")</f>
        <v/>
      </c>
      <c r="G343" s="1061"/>
      <c r="H343" s="1061"/>
      <c r="I343" s="1061"/>
      <c r="J343" s="1061"/>
      <c r="K343" s="1061"/>
      <c r="L343" s="8"/>
      <c r="M343"/>
      <c r="N343"/>
      <c r="O343"/>
      <c r="R343" s="177" t="str">
        <f ca="1">IFERROR(OFFSET('4.2民生電力需要量'!$G$1,MATCH($D343,'4.2民生電力需要量'!$E:$E,0)-1,0),"")</f>
        <v/>
      </c>
      <c r="S343" s="177"/>
      <c r="T343" s="177"/>
      <c r="U343" s="177"/>
      <c r="V343" s="177"/>
      <c r="W343" s="177"/>
      <c r="X343" s="177"/>
      <c r="Y343" s="177"/>
      <c r="Z343" s="177"/>
      <c r="AA343" s="177"/>
      <c r="AB343" s="177">
        <f ca="1">(F343=R343)*1</f>
        <v>1</v>
      </c>
    </row>
    <row r="344" spans="1:28">
      <c r="B344" s="7"/>
      <c r="C344" s="74"/>
      <c r="D344" s="66"/>
      <c r="E344" s="72" t="s">
        <v>221</v>
      </c>
      <c r="F344" s="1062" t="str">
        <f ca="1">IFERROR(OFFSET('4.2民生電力需要量'!$I$1,MATCH($D343,'4.2民生電力需要量'!$E:$E,0)-1,0),"")</f>
        <v/>
      </c>
      <c r="G344" s="1062"/>
      <c r="H344" s="1062"/>
      <c r="I344" s="1062"/>
      <c r="J344" s="1062"/>
      <c r="K344" s="1062"/>
      <c r="L344" s="8"/>
      <c r="M344"/>
      <c r="N344"/>
      <c r="O344"/>
      <c r="R344" s="177" t="str">
        <f ca="1">IFERROR(OFFSET('4.2民生電力需要量'!$I$1,MATCH($D343,'4.2民生電力需要量'!$E:$E,0)-1,0),"")</f>
        <v/>
      </c>
      <c r="S344" s="177"/>
      <c r="T344" s="177"/>
      <c r="U344" s="177"/>
      <c r="V344" s="177"/>
      <c r="W344" s="177"/>
      <c r="X344" s="177"/>
      <c r="Y344" s="177"/>
      <c r="Z344" s="177"/>
      <c r="AA344" s="177"/>
      <c r="AB344" s="177">
        <f ca="1">(F344=R344)*1</f>
        <v>1</v>
      </c>
    </row>
    <row r="345" spans="1:28">
      <c r="B345" s="7"/>
      <c r="C345" s="74"/>
      <c r="D345" s="66"/>
      <c r="E345" s="72" t="s">
        <v>175</v>
      </c>
      <c r="F345" s="1063" t="str">
        <f>_xlfn.IFNA(R345,"")</f>
        <v/>
      </c>
      <c r="G345" s="1063"/>
      <c r="H345" s="1063"/>
      <c r="I345" s="1063"/>
      <c r="J345" s="1063"/>
      <c r="K345" s="1063"/>
      <c r="L345" s="8"/>
      <c r="M345"/>
      <c r="N345"/>
      <c r="O345"/>
      <c r="R345" s="217" t="str">
        <f>IF(PRODUCT($Z347:$Z351)=1,AA347,"")</f>
        <v/>
      </c>
      <c r="S345" s="177"/>
      <c r="T345" s="177"/>
      <c r="U345" s="177"/>
      <c r="V345" s="177"/>
      <c r="W345" s="177"/>
      <c r="X345" s="177"/>
      <c r="Y345" s="177"/>
      <c r="Z345" s="177"/>
      <c r="AA345" s="177"/>
      <c r="AB345" s="177">
        <f>(F345=R345)*1</f>
        <v>1</v>
      </c>
    </row>
    <row r="346" spans="1:28" s="2" customFormat="1" ht="60">
      <c r="A346"/>
      <c r="B346" s="7"/>
      <c r="C346" s="74"/>
      <c r="D346" s="66"/>
      <c r="E346" s="308"/>
      <c r="F346" s="314" t="s">
        <v>302</v>
      </c>
      <c r="G346" s="315" t="s">
        <v>303</v>
      </c>
      <c r="H346" s="315" t="s">
        <v>304</v>
      </c>
      <c r="I346" s="315" t="s">
        <v>305</v>
      </c>
      <c r="J346" s="315" t="s">
        <v>435</v>
      </c>
      <c r="K346" s="315" t="s">
        <v>272</v>
      </c>
      <c r="L346" s="8"/>
      <c r="M346"/>
      <c r="P346"/>
      <c r="Q346"/>
      <c r="R346" s="296" t="s">
        <v>301</v>
      </c>
      <c r="S346" s="296" t="s">
        <v>302</v>
      </c>
      <c r="T346" s="316" t="s">
        <v>429</v>
      </c>
      <c r="U346" s="296" t="s">
        <v>430</v>
      </c>
      <c r="V346" s="296" t="s">
        <v>428</v>
      </c>
      <c r="W346" s="317" t="s">
        <v>272</v>
      </c>
      <c r="X346" s="296" t="s">
        <v>432</v>
      </c>
      <c r="Y346" s="217" t="s">
        <v>408</v>
      </c>
      <c r="Z346" s="217" t="s">
        <v>436</v>
      </c>
      <c r="AA346" s="296" t="s">
        <v>431</v>
      </c>
      <c r="AB346" s="296"/>
    </row>
    <row r="347" spans="1:28" s="101" customFormat="1" ht="18.75" hidden="1" customHeight="1">
      <c r="A347" s="11"/>
      <c r="B347" s="97"/>
      <c r="C347" s="98"/>
      <c r="D347" s="99"/>
      <c r="E347" s="440"/>
      <c r="F347" s="441"/>
      <c r="G347" s="441"/>
      <c r="H347" s="441"/>
      <c r="I347" s="441"/>
      <c r="J347" s="441"/>
      <c r="K347" s="441"/>
      <c r="L347" s="100"/>
      <c r="M347" s="11"/>
      <c r="Q347" s="11"/>
      <c r="R347" s="131">
        <f>IF(E347="地区代表者",COUNTA($D$1:$D347),0)</f>
        <v>0</v>
      </c>
      <c r="S347" s="131">
        <f t="shared" ref="S347:S348" si="170">IF(F347="実施済",1,0)</f>
        <v>0</v>
      </c>
      <c r="T347" s="260"/>
      <c r="U347" s="131">
        <f t="shared" ref="U347:U348" si="171">IF(AND(H347="実施済",I347="実施済"),S347*1,0)</f>
        <v>0</v>
      </c>
      <c r="V347" s="131">
        <f>IF(J347="実施済",$U347*1,0)</f>
        <v>0</v>
      </c>
      <c r="W347" s="260"/>
      <c r="X347" s="131" t="str">
        <f>IF(E347="","",IF(R347*S347&gt;0,3,SUM(S347,U347,V347)))</f>
        <v/>
      </c>
      <c r="Y347" s="131">
        <f>MIN($X$347:$X$351)+1</f>
        <v>1</v>
      </c>
      <c r="Z347" s="131">
        <f>IF(E347="",1,IF(R347&gt;0,IF(COUNTA($F347:$K347)=2,1,0),IF(COUNTA($F347:$K347)=6,1,0)))</f>
        <v>1</v>
      </c>
      <c r="AA347" s="131" t="str" cm="1">
        <f t="array" ref="AA347">_xlfn.IFS(Y347=4,"A",Y347=3,"B",Y347=2,"C",Y347=1,"D")</f>
        <v>D</v>
      </c>
      <c r="AB347" s="131" t="str" cm="1">
        <f t="array" ref="AB347">_xlfn.IFS(Z347=4,"A",Z347=3,"B",Z347=2,"C",Z347=1,"D")</f>
        <v>D</v>
      </c>
    </row>
    <row r="348" spans="1:28" s="101" customFormat="1" ht="18.75" customHeight="1">
      <c r="A348" s="11"/>
      <c r="B348" s="97"/>
      <c r="C348" s="98"/>
      <c r="D348" s="99"/>
      <c r="E348" s="442" t="s">
        <v>301</v>
      </c>
      <c r="F348" s="443"/>
      <c r="G348" s="846"/>
      <c r="H348" s="846"/>
      <c r="I348" s="846"/>
      <c r="J348" s="846"/>
      <c r="K348" s="443"/>
      <c r="L348" s="100"/>
      <c r="M348" s="11"/>
      <c r="Q348" s="11"/>
      <c r="R348" s="131">
        <f>IF(E348="地区代表者",COUNTA($D$1:$D348),0)</f>
        <v>25</v>
      </c>
      <c r="S348" s="131">
        <f t="shared" si="170"/>
        <v>0</v>
      </c>
      <c r="T348" s="260"/>
      <c r="U348" s="131">
        <f t="shared" si="171"/>
        <v>0</v>
      </c>
      <c r="V348" s="131">
        <f>IF(J348="実施済",$U348*1,0)</f>
        <v>0</v>
      </c>
      <c r="W348" s="260"/>
      <c r="X348" s="131">
        <f t="shared" ref="X348:X351" si="172">IF(E348="","",IF(R348*S348&gt;0,3,SUM(S348,U348,V348)))</f>
        <v>0</v>
      </c>
      <c r="Y348" s="131">
        <f>MIN($X$347:$X$351)+1</f>
        <v>1</v>
      </c>
      <c r="Z348" s="131">
        <f t="shared" ref="Z348:Z351" si="173">IF(E348="",1,IF(R348&gt;0,IF(COUNTA($F348:$K348)=2,1,0),IF(COUNTA($F348:$K348)=6,1,0)))</f>
        <v>0</v>
      </c>
      <c r="AA348" s="131" t="str" cm="1">
        <f t="array" ref="AA348">_xlfn.IFS(Y348=4,"A",Y348=3,"B",Y348=2,"C",Y348=1,"D")</f>
        <v>D</v>
      </c>
      <c r="AB348" s="131"/>
    </row>
    <row r="349" spans="1:28" s="101" customFormat="1" ht="18.75" customHeight="1">
      <c r="A349" s="11"/>
      <c r="B349" s="97"/>
      <c r="C349" s="98"/>
      <c r="D349" s="99"/>
      <c r="E349" s="442" t="s">
        <v>116</v>
      </c>
      <c r="F349" s="443"/>
      <c r="G349" s="443"/>
      <c r="H349" s="443"/>
      <c r="I349" s="443"/>
      <c r="J349" s="443"/>
      <c r="K349" s="443"/>
      <c r="L349" s="100"/>
      <c r="M349" s="11"/>
      <c r="P349" s="11"/>
      <c r="Q349" s="11"/>
      <c r="R349" s="131">
        <f>IF(E349="地区代表者",COUNTA($D$1:$D349),0)</f>
        <v>0</v>
      </c>
      <c r="S349" s="131">
        <f>IF(F349="実施済",1,0)</f>
        <v>0</v>
      </c>
      <c r="T349" s="260"/>
      <c r="U349" s="131">
        <f>IF(AND(H349="実施済",I349="実施済"),S349*1,0)</f>
        <v>0</v>
      </c>
      <c r="V349" s="131">
        <f>IF(J349="実施済",$U349*1,0)</f>
        <v>0</v>
      </c>
      <c r="W349" s="260"/>
      <c r="X349" s="131">
        <f t="shared" si="172"/>
        <v>0</v>
      </c>
      <c r="Y349" s="131">
        <f>MIN($X$347:$X$351)+1</f>
        <v>1</v>
      </c>
      <c r="Z349" s="131">
        <f t="shared" si="173"/>
        <v>0</v>
      </c>
      <c r="AA349" s="131" t="str" cm="1">
        <f t="array" ref="AA349">_xlfn.IFS(Y349=4,"A",Y349=3,"B",Y349=2,"C",Y349=1,"D")</f>
        <v>D</v>
      </c>
      <c r="AB349" s="131"/>
    </row>
    <row r="350" spans="1:28" s="2" customFormat="1" ht="9" customHeight="1">
      <c r="A350"/>
      <c r="B350" s="65"/>
      <c r="C350" s="4"/>
      <c r="D350" s="309"/>
      <c r="E350" s="310"/>
      <c r="F350" s="310"/>
      <c r="G350" s="310"/>
      <c r="H350" s="310"/>
      <c r="I350" s="310"/>
      <c r="J350" s="310"/>
      <c r="K350" s="310"/>
      <c r="L350" s="9"/>
      <c r="M350"/>
      <c r="P350"/>
      <c r="Q350"/>
      <c r="R350" s="217">
        <f>IF(E350="地区代表者",COUNTA($D$1:$D350),0)</f>
        <v>0</v>
      </c>
      <c r="S350" s="217">
        <f t="shared" ref="S350:S351" si="174">IF(F350="実施済",1,0)</f>
        <v>0</v>
      </c>
      <c r="T350" s="318"/>
      <c r="U350" s="217">
        <f t="shared" ref="U350:U351" si="175">IF(AND(H350="実施済",I350="実施済"),S350*1,0)</f>
        <v>0</v>
      </c>
      <c r="V350" s="217">
        <f t="shared" ref="V350:V351" si="176">IF(J350="実施済",$U350*1,0)</f>
        <v>0</v>
      </c>
      <c r="W350" s="318"/>
      <c r="X350" s="217" t="str">
        <f t="shared" si="172"/>
        <v/>
      </c>
      <c r="Y350" s="217">
        <f>MIN($X$347:$X$351)+1</f>
        <v>1</v>
      </c>
      <c r="Z350" s="217">
        <f t="shared" si="173"/>
        <v>1</v>
      </c>
      <c r="AA350" s="217" t="str" cm="1">
        <f t="array" ref="AA350">_xlfn.IFS(Y350=4,"A",Y350=3,"B",Y350=2,"C",Y350=1,"D")</f>
        <v>D</v>
      </c>
      <c r="AB350" s="217"/>
    </row>
    <row r="351" spans="1:28" s="2" customFormat="1" ht="6" customHeight="1">
      <c r="A351"/>
      <c r="B351"/>
      <c r="C351"/>
      <c r="D351" s="311"/>
      <c r="E351" s="312"/>
      <c r="F351" s="312"/>
      <c r="G351" s="312"/>
      <c r="H351" s="312"/>
      <c r="I351" s="312"/>
      <c r="J351" s="312"/>
      <c r="K351" s="312"/>
      <c r="L351"/>
      <c r="M351"/>
      <c r="P351"/>
      <c r="Q351"/>
      <c r="R351" s="217">
        <f>IF(E351="地区代表者",COUNTA($D$1:$D351),0)</f>
        <v>0</v>
      </c>
      <c r="S351" s="217">
        <f t="shared" si="174"/>
        <v>0</v>
      </c>
      <c r="T351" s="318"/>
      <c r="U351" s="217">
        <f t="shared" si="175"/>
        <v>0</v>
      </c>
      <c r="V351" s="217">
        <f t="shared" si="176"/>
        <v>0</v>
      </c>
      <c r="W351" s="318"/>
      <c r="X351" s="217" t="str">
        <f t="shared" si="172"/>
        <v/>
      </c>
      <c r="Y351" s="217">
        <f>MIN($X$347:$X$351)+1</f>
        <v>1</v>
      </c>
      <c r="Z351" s="217">
        <f t="shared" si="173"/>
        <v>1</v>
      </c>
      <c r="AA351" s="217" t="str" cm="1">
        <f t="array" ref="AA351">_xlfn.IFS(Y351=4,"A",Y351=3,"B",Y351=2,"C",Y351=1,"D")</f>
        <v>D</v>
      </c>
      <c r="AB351" s="217"/>
    </row>
    <row r="352" spans="1:28" ht="96" customHeight="1">
      <c r="C352" s="78"/>
      <c r="D352" s="79"/>
      <c r="E352" s="72" t="s">
        <v>238</v>
      </c>
      <c r="F352" s="1057"/>
      <c r="G352" s="1057"/>
      <c r="H352" s="1057"/>
      <c r="I352" s="1057"/>
      <c r="J352" s="1057"/>
      <c r="K352" s="1057"/>
      <c r="L352" s="80" t="s">
        <v>132</v>
      </c>
      <c r="M352" s="292"/>
    </row>
    <row r="353" spans="1:28" ht="96" customHeight="1">
      <c r="C353" s="75"/>
      <c r="D353" s="68"/>
      <c r="E353" s="72" t="s">
        <v>239</v>
      </c>
      <c r="F353" s="1058"/>
      <c r="G353" s="1059"/>
      <c r="H353" s="1059"/>
      <c r="I353" s="1059"/>
      <c r="J353" s="1059"/>
      <c r="K353" s="1060"/>
    </row>
    <row r="354" spans="1:28" ht="18.5" thickBot="1">
      <c r="A354" s="81"/>
      <c r="B354" s="81"/>
      <c r="C354" s="81"/>
      <c r="D354" s="81"/>
      <c r="E354" s="313"/>
      <c r="F354" s="81"/>
      <c r="G354" s="81"/>
      <c r="H354" s="81"/>
      <c r="I354" s="81"/>
      <c r="J354" s="81"/>
      <c r="K354" s="81"/>
      <c r="L354" s="81"/>
      <c r="M354" s="82"/>
    </row>
    <row r="356" spans="1:28" ht="9" customHeight="1">
      <c r="B356" s="10"/>
      <c r="C356" s="5"/>
      <c r="D356" s="5"/>
      <c r="E356" s="307"/>
      <c r="F356" s="5"/>
      <c r="G356" s="5"/>
      <c r="H356" s="5"/>
      <c r="I356" s="5"/>
      <c r="J356" s="5"/>
      <c r="K356" s="5"/>
      <c r="L356" s="6"/>
      <c r="M356"/>
      <c r="N356"/>
      <c r="O356"/>
      <c r="R356" t="str">
        <f>D357</f>
        <v>(選択してください)</v>
      </c>
    </row>
    <row r="357" spans="1:28">
      <c r="B357" s="7"/>
      <c r="C357" s="77" t="str">
        <f ca="1">IFERROR(OFFSET('4.2民生電力需要量'!$C$1,MATCH(D357,'4.2民生電力需要量'!$E:$E,0)-1,0),"")</f>
        <v/>
      </c>
      <c r="D357" s="96" t="s">
        <v>130</v>
      </c>
      <c r="E357" s="72" t="s">
        <v>131</v>
      </c>
      <c r="F357" s="1061" t="str">
        <f ca="1">IFERROR(OFFSET('4.2民生電力需要量'!$G$1,MATCH($D357,'4.2民生電力需要量'!$E:$E,0)-1,0),"")</f>
        <v/>
      </c>
      <c r="G357" s="1061"/>
      <c r="H357" s="1061"/>
      <c r="I357" s="1061"/>
      <c r="J357" s="1061"/>
      <c r="K357" s="1061"/>
      <c r="L357" s="8"/>
      <c r="M357"/>
      <c r="N357"/>
      <c r="O357"/>
      <c r="R357" s="177" t="str">
        <f ca="1">IFERROR(OFFSET('4.2民生電力需要量'!$G$1,MATCH($D357,'4.2民生電力需要量'!$E:$E,0)-1,0),"")</f>
        <v/>
      </c>
      <c r="S357" s="177"/>
      <c r="T357" s="177"/>
      <c r="U357" s="177"/>
      <c r="V357" s="177"/>
      <c r="W357" s="177"/>
      <c r="X357" s="177"/>
      <c r="Y357" s="177"/>
      <c r="Z357" s="177"/>
      <c r="AA357" s="177"/>
      <c r="AB357" s="177">
        <f ca="1">(F357=R357)*1</f>
        <v>1</v>
      </c>
    </row>
    <row r="358" spans="1:28">
      <c r="B358" s="7"/>
      <c r="C358" s="74"/>
      <c r="D358" s="66"/>
      <c r="E358" s="72" t="s">
        <v>221</v>
      </c>
      <c r="F358" s="1062" t="str">
        <f ca="1">IFERROR(OFFSET('4.2民生電力需要量'!$I$1,MATCH($D357,'4.2民生電力需要量'!$E:$E,0)-1,0),"")</f>
        <v/>
      </c>
      <c r="G358" s="1062"/>
      <c r="H358" s="1062"/>
      <c r="I358" s="1062"/>
      <c r="J358" s="1062"/>
      <c r="K358" s="1062"/>
      <c r="L358" s="8"/>
      <c r="M358"/>
      <c r="N358"/>
      <c r="O358"/>
      <c r="R358" s="177" t="str">
        <f ca="1">IFERROR(OFFSET('4.2民生電力需要量'!$I$1,MATCH($D357,'4.2民生電力需要量'!$E:$E,0)-1,0),"")</f>
        <v/>
      </c>
      <c r="S358" s="177"/>
      <c r="T358" s="177"/>
      <c r="U358" s="177"/>
      <c r="V358" s="177"/>
      <c r="W358" s="177"/>
      <c r="X358" s="177"/>
      <c r="Y358" s="177"/>
      <c r="Z358" s="177"/>
      <c r="AA358" s="177"/>
      <c r="AB358" s="177">
        <f ca="1">(F358=R358)*1</f>
        <v>1</v>
      </c>
    </row>
    <row r="359" spans="1:28">
      <c r="B359" s="7"/>
      <c r="C359" s="74"/>
      <c r="D359" s="66"/>
      <c r="E359" s="72" t="s">
        <v>175</v>
      </c>
      <c r="F359" s="1063" t="str">
        <f>_xlfn.IFNA(R359,"")</f>
        <v/>
      </c>
      <c r="G359" s="1063"/>
      <c r="H359" s="1063"/>
      <c r="I359" s="1063"/>
      <c r="J359" s="1063"/>
      <c r="K359" s="1063"/>
      <c r="L359" s="8"/>
      <c r="M359"/>
      <c r="N359"/>
      <c r="O359"/>
      <c r="R359" s="217" t="str">
        <f>IF(PRODUCT($Z361:$Z365)=1,AA361,"")</f>
        <v/>
      </c>
      <c r="S359" s="177"/>
      <c r="T359" s="177"/>
      <c r="U359" s="177"/>
      <c r="V359" s="177"/>
      <c r="W359" s="177"/>
      <c r="X359" s="177"/>
      <c r="Y359" s="177"/>
      <c r="Z359" s="177"/>
      <c r="AA359" s="177"/>
      <c r="AB359" s="177">
        <f>(F359=R359)*1</f>
        <v>1</v>
      </c>
    </row>
    <row r="360" spans="1:28" s="2" customFormat="1" ht="60">
      <c r="A360"/>
      <c r="B360" s="7"/>
      <c r="C360" s="74"/>
      <c r="D360" s="66"/>
      <c r="E360" s="308"/>
      <c r="F360" s="314" t="s">
        <v>302</v>
      </c>
      <c r="G360" s="315" t="s">
        <v>303</v>
      </c>
      <c r="H360" s="315" t="s">
        <v>304</v>
      </c>
      <c r="I360" s="315" t="s">
        <v>305</v>
      </c>
      <c r="J360" s="315" t="s">
        <v>435</v>
      </c>
      <c r="K360" s="315" t="s">
        <v>272</v>
      </c>
      <c r="L360" s="8"/>
      <c r="M360"/>
      <c r="P360"/>
      <c r="Q360"/>
      <c r="R360" s="296" t="s">
        <v>301</v>
      </c>
      <c r="S360" s="296" t="s">
        <v>302</v>
      </c>
      <c r="T360" s="316" t="s">
        <v>429</v>
      </c>
      <c r="U360" s="296" t="s">
        <v>430</v>
      </c>
      <c r="V360" s="296" t="s">
        <v>428</v>
      </c>
      <c r="W360" s="317" t="s">
        <v>272</v>
      </c>
      <c r="X360" s="296" t="s">
        <v>432</v>
      </c>
      <c r="Y360" s="217" t="s">
        <v>408</v>
      </c>
      <c r="Z360" s="217" t="s">
        <v>436</v>
      </c>
      <c r="AA360" s="296" t="s">
        <v>431</v>
      </c>
      <c r="AB360" s="296"/>
    </row>
    <row r="361" spans="1:28" s="101" customFormat="1" ht="18.75" hidden="1" customHeight="1">
      <c r="A361" s="11"/>
      <c r="B361" s="97"/>
      <c r="C361" s="98"/>
      <c r="D361" s="99"/>
      <c r="E361" s="440"/>
      <c r="F361" s="441"/>
      <c r="G361" s="441"/>
      <c r="H361" s="441"/>
      <c r="I361" s="441"/>
      <c r="J361" s="441"/>
      <c r="K361" s="441"/>
      <c r="L361" s="100"/>
      <c r="M361" s="11"/>
      <c r="Q361" s="11"/>
      <c r="R361" s="131">
        <f>IF(E361="地区代表者",COUNTA($D$1:$D361),0)</f>
        <v>0</v>
      </c>
      <c r="S361" s="131">
        <f t="shared" ref="S361:S362" si="177">IF(F361="実施済",1,0)</f>
        <v>0</v>
      </c>
      <c r="T361" s="260"/>
      <c r="U361" s="131">
        <f t="shared" ref="U361:U362" si="178">IF(AND(H361="実施済",I361="実施済"),S361*1,0)</f>
        <v>0</v>
      </c>
      <c r="V361" s="131">
        <f>IF(J361="実施済",$U361*1,0)</f>
        <v>0</v>
      </c>
      <c r="W361" s="260"/>
      <c r="X361" s="131" t="str">
        <f>IF(E361="","",IF(R361*S361&gt;0,3,SUM(S361,U361,V361)))</f>
        <v/>
      </c>
      <c r="Y361" s="131">
        <f>MIN($X$361:$X$365)+1</f>
        <v>1</v>
      </c>
      <c r="Z361" s="131">
        <f>IF(E361="",1,IF(R361&gt;0,IF(COUNTA($F361:$K361)=2,1,0),IF(COUNTA($F361:$K361)=6,1,0)))</f>
        <v>1</v>
      </c>
      <c r="AA361" s="131" t="str" cm="1">
        <f t="array" ref="AA361">_xlfn.IFS(Y361=4,"A",Y361=3,"B",Y361=2,"C",Y361=1,"D")</f>
        <v>D</v>
      </c>
      <c r="AB361" s="131" t="str" cm="1">
        <f t="array" ref="AB361">_xlfn.IFS(Z361=4,"A",Z361=3,"B",Z361=2,"C",Z361=1,"D")</f>
        <v>D</v>
      </c>
    </row>
    <row r="362" spans="1:28" s="101" customFormat="1" ht="18.75" customHeight="1">
      <c r="A362" s="11"/>
      <c r="B362" s="97"/>
      <c r="C362" s="98"/>
      <c r="D362" s="99"/>
      <c r="E362" s="442" t="s">
        <v>301</v>
      </c>
      <c r="F362" s="443"/>
      <c r="G362" s="846"/>
      <c r="H362" s="846"/>
      <c r="I362" s="846"/>
      <c r="J362" s="846"/>
      <c r="K362" s="443"/>
      <c r="L362" s="100"/>
      <c r="M362" s="11"/>
      <c r="Q362" s="11"/>
      <c r="R362" s="131">
        <f>IF(E362="地区代表者",COUNTA($D$1:$D362),0)</f>
        <v>26</v>
      </c>
      <c r="S362" s="131">
        <f t="shared" si="177"/>
        <v>0</v>
      </c>
      <c r="T362" s="260"/>
      <c r="U362" s="131">
        <f t="shared" si="178"/>
        <v>0</v>
      </c>
      <c r="V362" s="131">
        <f>IF(J362="実施済",$U362*1,0)</f>
        <v>0</v>
      </c>
      <c r="W362" s="260"/>
      <c r="X362" s="131">
        <f t="shared" ref="X362:X365" si="179">IF(E362="","",IF(R362*S362&gt;0,3,SUM(S362,U362,V362)))</f>
        <v>0</v>
      </c>
      <c r="Y362" s="131">
        <f>MIN($X$361:$X$365)+1</f>
        <v>1</v>
      </c>
      <c r="Z362" s="131">
        <f t="shared" ref="Z362:Z365" si="180">IF(E362="",1,IF(R362&gt;0,IF(COUNTA($F362:$K362)=2,1,0),IF(COUNTA($F362:$K362)=6,1,0)))</f>
        <v>0</v>
      </c>
      <c r="AA362" s="131" t="str" cm="1">
        <f t="array" ref="AA362">_xlfn.IFS(Y362=4,"A",Y362=3,"B",Y362=2,"C",Y362=1,"D")</f>
        <v>D</v>
      </c>
      <c r="AB362" s="131"/>
    </row>
    <row r="363" spans="1:28" s="101" customFormat="1" ht="18.75" customHeight="1">
      <c r="A363" s="11"/>
      <c r="B363" s="97"/>
      <c r="C363" s="98"/>
      <c r="D363" s="99"/>
      <c r="E363" s="442" t="s">
        <v>116</v>
      </c>
      <c r="F363" s="443"/>
      <c r="G363" s="443"/>
      <c r="H363" s="443"/>
      <c r="I363" s="443"/>
      <c r="J363" s="443"/>
      <c r="K363" s="443"/>
      <c r="L363" s="100"/>
      <c r="M363" s="11"/>
      <c r="P363" s="11"/>
      <c r="Q363" s="11"/>
      <c r="R363" s="131">
        <f>IF(E363="地区代表者",COUNTA($D$1:$D363),0)</f>
        <v>0</v>
      </c>
      <c r="S363" s="131">
        <f>IF(F363="実施済",1,0)</f>
        <v>0</v>
      </c>
      <c r="T363" s="260"/>
      <c r="U363" s="131">
        <f>IF(AND(H363="実施済",I363="実施済"),S363*1,0)</f>
        <v>0</v>
      </c>
      <c r="V363" s="131">
        <f>IF(J363="実施済",$U363*1,0)</f>
        <v>0</v>
      </c>
      <c r="W363" s="260"/>
      <c r="X363" s="131">
        <f t="shared" si="179"/>
        <v>0</v>
      </c>
      <c r="Y363" s="131">
        <f>MIN($X$361:$X$365)+1</f>
        <v>1</v>
      </c>
      <c r="Z363" s="131">
        <f t="shared" si="180"/>
        <v>0</v>
      </c>
      <c r="AA363" s="131" t="str" cm="1">
        <f t="array" ref="AA363">_xlfn.IFS(Y363=4,"A",Y363=3,"B",Y363=2,"C",Y363=1,"D")</f>
        <v>D</v>
      </c>
      <c r="AB363" s="131"/>
    </row>
    <row r="364" spans="1:28" s="2" customFormat="1" ht="9" customHeight="1">
      <c r="A364"/>
      <c r="B364" s="65"/>
      <c r="C364" s="4"/>
      <c r="D364" s="309"/>
      <c r="E364" s="310"/>
      <c r="F364" s="310"/>
      <c r="G364" s="310"/>
      <c r="H364" s="310"/>
      <c r="I364" s="310"/>
      <c r="J364" s="310"/>
      <c r="K364" s="310"/>
      <c r="L364" s="9"/>
      <c r="M364"/>
      <c r="P364"/>
      <c r="Q364"/>
      <c r="R364" s="217">
        <f>IF(E364="地区代表者",COUNTA($D$1:$D364),0)</f>
        <v>0</v>
      </c>
      <c r="S364" s="217">
        <f t="shared" ref="S364:S365" si="181">IF(F364="実施済",1,0)</f>
        <v>0</v>
      </c>
      <c r="T364" s="318"/>
      <c r="U364" s="217">
        <f t="shared" ref="U364:U365" si="182">IF(AND(H364="実施済",I364="実施済"),S364*1,0)</f>
        <v>0</v>
      </c>
      <c r="V364" s="217">
        <f t="shared" ref="V364:V365" si="183">IF(J364="実施済",$U364*1,0)</f>
        <v>0</v>
      </c>
      <c r="W364" s="318"/>
      <c r="X364" s="217" t="str">
        <f t="shared" si="179"/>
        <v/>
      </c>
      <c r="Y364" s="217">
        <f>MIN($X$361:$X$365)+1</f>
        <v>1</v>
      </c>
      <c r="Z364" s="217">
        <f t="shared" si="180"/>
        <v>1</v>
      </c>
      <c r="AA364" s="217" t="str" cm="1">
        <f t="array" ref="AA364">_xlfn.IFS(Y364=4,"A",Y364=3,"B",Y364=2,"C",Y364=1,"D")</f>
        <v>D</v>
      </c>
      <c r="AB364" s="217"/>
    </row>
    <row r="365" spans="1:28" s="2" customFormat="1" ht="6" customHeight="1">
      <c r="A365"/>
      <c r="B365"/>
      <c r="C365"/>
      <c r="D365" s="311"/>
      <c r="E365" s="312"/>
      <c r="F365" s="312"/>
      <c r="G365" s="312"/>
      <c r="H365" s="312"/>
      <c r="I365" s="312"/>
      <c r="J365" s="312"/>
      <c r="K365" s="312"/>
      <c r="L365"/>
      <c r="M365"/>
      <c r="P365"/>
      <c r="Q365"/>
      <c r="R365" s="217">
        <f>IF(E365="地区代表者",COUNTA($D$1:$D365),0)</f>
        <v>0</v>
      </c>
      <c r="S365" s="217">
        <f t="shared" si="181"/>
        <v>0</v>
      </c>
      <c r="T365" s="318"/>
      <c r="U365" s="217">
        <f t="shared" si="182"/>
        <v>0</v>
      </c>
      <c r="V365" s="217">
        <f t="shared" si="183"/>
        <v>0</v>
      </c>
      <c r="W365" s="318"/>
      <c r="X365" s="217" t="str">
        <f t="shared" si="179"/>
        <v/>
      </c>
      <c r="Y365" s="217">
        <f>MIN($X$361:$X$365)+1</f>
        <v>1</v>
      </c>
      <c r="Z365" s="217">
        <f t="shared" si="180"/>
        <v>1</v>
      </c>
      <c r="AA365" s="217" t="str" cm="1">
        <f t="array" ref="AA365">_xlfn.IFS(Y365=4,"A",Y365=3,"B",Y365=2,"C",Y365=1,"D")</f>
        <v>D</v>
      </c>
      <c r="AB365" s="217"/>
    </row>
    <row r="366" spans="1:28" ht="96" customHeight="1">
      <c r="C366" s="78"/>
      <c r="D366" s="79"/>
      <c r="E366" s="72" t="s">
        <v>238</v>
      </c>
      <c r="F366" s="1057"/>
      <c r="G366" s="1057"/>
      <c r="H366" s="1057"/>
      <c r="I366" s="1057"/>
      <c r="J366" s="1057"/>
      <c r="K366" s="1057"/>
      <c r="L366" s="80" t="s">
        <v>132</v>
      </c>
      <c r="M366" s="292"/>
    </row>
    <row r="367" spans="1:28" ht="96" customHeight="1">
      <c r="C367" s="75"/>
      <c r="D367" s="68"/>
      <c r="E367" s="72" t="s">
        <v>239</v>
      </c>
      <c r="F367" s="1058"/>
      <c r="G367" s="1059"/>
      <c r="H367" s="1059"/>
      <c r="I367" s="1059"/>
      <c r="J367" s="1059"/>
      <c r="K367" s="1060"/>
    </row>
    <row r="368" spans="1:28" ht="18.5" thickBot="1">
      <c r="A368" s="81"/>
      <c r="B368" s="81"/>
      <c r="C368" s="81"/>
      <c r="D368" s="81"/>
      <c r="E368" s="313"/>
      <c r="F368" s="81"/>
      <c r="G368" s="81"/>
      <c r="H368" s="81"/>
      <c r="I368" s="81"/>
      <c r="J368" s="81"/>
      <c r="K368" s="81"/>
      <c r="L368" s="81"/>
      <c r="M368" s="82"/>
    </row>
    <row r="370" spans="1:28" ht="9" customHeight="1">
      <c r="B370" s="10"/>
      <c r="C370" s="5"/>
      <c r="D370" s="5"/>
      <c r="E370" s="307"/>
      <c r="F370" s="5"/>
      <c r="G370" s="5"/>
      <c r="H370" s="5"/>
      <c r="I370" s="5"/>
      <c r="J370" s="5"/>
      <c r="K370" s="5"/>
      <c r="L370" s="6"/>
      <c r="M370"/>
      <c r="N370"/>
      <c r="O370"/>
      <c r="R370" t="str">
        <f>D371</f>
        <v>(選択してください)</v>
      </c>
    </row>
    <row r="371" spans="1:28">
      <c r="B371" s="7"/>
      <c r="C371" s="77" t="str">
        <f ca="1">IFERROR(OFFSET('4.2民生電力需要量'!$C$1,MATCH(D371,'4.2民生電力需要量'!$E:$E,0)-1,0),"")</f>
        <v/>
      </c>
      <c r="D371" s="96" t="s">
        <v>130</v>
      </c>
      <c r="E371" s="72" t="s">
        <v>131</v>
      </c>
      <c r="F371" s="1061" t="str">
        <f ca="1">IFERROR(OFFSET('4.2民生電力需要量'!$G$1,MATCH($D371,'4.2民生電力需要量'!$E:$E,0)-1,0),"")</f>
        <v/>
      </c>
      <c r="G371" s="1061"/>
      <c r="H371" s="1061"/>
      <c r="I371" s="1061"/>
      <c r="J371" s="1061"/>
      <c r="K371" s="1061"/>
      <c r="L371" s="8"/>
      <c r="M371"/>
      <c r="N371"/>
      <c r="O371"/>
      <c r="R371" s="177" t="str">
        <f ca="1">IFERROR(OFFSET('4.2民生電力需要量'!$G$1,MATCH($D371,'4.2民生電力需要量'!$E:$E,0)-1,0),"")</f>
        <v/>
      </c>
      <c r="S371" s="177"/>
      <c r="T371" s="177"/>
      <c r="U371" s="177"/>
      <c r="V371" s="177"/>
      <c r="W371" s="177"/>
      <c r="X371" s="177"/>
      <c r="Y371" s="177"/>
      <c r="Z371" s="177"/>
      <c r="AA371" s="177"/>
      <c r="AB371" s="177">
        <f ca="1">(F371=R371)*1</f>
        <v>1</v>
      </c>
    </row>
    <row r="372" spans="1:28">
      <c r="B372" s="7"/>
      <c r="C372" s="74"/>
      <c r="D372" s="66"/>
      <c r="E372" s="72" t="s">
        <v>221</v>
      </c>
      <c r="F372" s="1062" t="str">
        <f ca="1">IFERROR(OFFSET('4.2民生電力需要量'!$I$1,MATCH($D371,'4.2民生電力需要量'!$E:$E,0)-1,0),"")</f>
        <v/>
      </c>
      <c r="G372" s="1062"/>
      <c r="H372" s="1062"/>
      <c r="I372" s="1062"/>
      <c r="J372" s="1062"/>
      <c r="K372" s="1062"/>
      <c r="L372" s="8"/>
      <c r="M372"/>
      <c r="N372"/>
      <c r="O372"/>
      <c r="R372" s="177" t="str">
        <f ca="1">IFERROR(OFFSET('4.2民生電力需要量'!$I$1,MATCH($D371,'4.2民生電力需要量'!$E:$E,0)-1,0),"")</f>
        <v/>
      </c>
      <c r="S372" s="177"/>
      <c r="T372" s="177"/>
      <c r="U372" s="177"/>
      <c r="V372" s="177"/>
      <c r="W372" s="177"/>
      <c r="X372" s="177"/>
      <c r="Y372" s="177"/>
      <c r="Z372" s="177"/>
      <c r="AA372" s="177"/>
      <c r="AB372" s="177">
        <f ca="1">(F372=R372)*1</f>
        <v>1</v>
      </c>
    </row>
    <row r="373" spans="1:28">
      <c r="B373" s="7"/>
      <c r="C373" s="74"/>
      <c r="D373" s="66"/>
      <c r="E373" s="72" t="s">
        <v>175</v>
      </c>
      <c r="F373" s="1063" t="str">
        <f>_xlfn.IFNA(R373,"")</f>
        <v/>
      </c>
      <c r="G373" s="1063"/>
      <c r="H373" s="1063"/>
      <c r="I373" s="1063"/>
      <c r="J373" s="1063"/>
      <c r="K373" s="1063"/>
      <c r="L373" s="8"/>
      <c r="M373"/>
      <c r="N373"/>
      <c r="O373"/>
      <c r="R373" s="217" t="str">
        <f>IF(PRODUCT($Z375:$Z379)=1,AA375,"")</f>
        <v/>
      </c>
      <c r="S373" s="177"/>
      <c r="T373" s="177"/>
      <c r="U373" s="177"/>
      <c r="V373" s="177"/>
      <c r="W373" s="177"/>
      <c r="X373" s="177"/>
      <c r="Y373" s="177"/>
      <c r="Z373" s="177"/>
      <c r="AA373" s="177"/>
      <c r="AB373" s="177">
        <f>(F373=R373)*1</f>
        <v>1</v>
      </c>
    </row>
    <row r="374" spans="1:28" s="2" customFormat="1" ht="60">
      <c r="A374"/>
      <c r="B374" s="7"/>
      <c r="C374" s="74"/>
      <c r="D374" s="66"/>
      <c r="E374" s="308"/>
      <c r="F374" s="314" t="s">
        <v>302</v>
      </c>
      <c r="G374" s="315" t="s">
        <v>303</v>
      </c>
      <c r="H374" s="315" t="s">
        <v>304</v>
      </c>
      <c r="I374" s="315" t="s">
        <v>305</v>
      </c>
      <c r="J374" s="315" t="s">
        <v>435</v>
      </c>
      <c r="K374" s="315" t="s">
        <v>272</v>
      </c>
      <c r="L374" s="8"/>
      <c r="M374"/>
      <c r="P374"/>
      <c r="Q374"/>
      <c r="R374" s="296" t="s">
        <v>301</v>
      </c>
      <c r="S374" s="296" t="s">
        <v>302</v>
      </c>
      <c r="T374" s="316" t="s">
        <v>429</v>
      </c>
      <c r="U374" s="296" t="s">
        <v>430</v>
      </c>
      <c r="V374" s="296" t="s">
        <v>428</v>
      </c>
      <c r="W374" s="317" t="s">
        <v>272</v>
      </c>
      <c r="X374" s="296" t="s">
        <v>432</v>
      </c>
      <c r="Y374" s="217" t="s">
        <v>408</v>
      </c>
      <c r="Z374" s="217" t="s">
        <v>436</v>
      </c>
      <c r="AA374" s="296" t="s">
        <v>431</v>
      </c>
      <c r="AB374" s="296"/>
    </row>
    <row r="375" spans="1:28" s="101" customFormat="1" ht="18.75" hidden="1" customHeight="1">
      <c r="A375" s="11"/>
      <c r="B375" s="97"/>
      <c r="C375" s="98"/>
      <c r="D375" s="99"/>
      <c r="E375" s="440"/>
      <c r="F375" s="441"/>
      <c r="G375" s="441"/>
      <c r="H375" s="441"/>
      <c r="I375" s="441"/>
      <c r="J375" s="441"/>
      <c r="K375" s="441"/>
      <c r="L375" s="100"/>
      <c r="M375" s="11"/>
      <c r="Q375" s="11"/>
      <c r="R375" s="131">
        <f>IF(E375="地区代表者",COUNTA($D$1:$D375),0)</f>
        <v>0</v>
      </c>
      <c r="S375" s="131">
        <f t="shared" ref="S375:S376" si="184">IF(F375="実施済",1,0)</f>
        <v>0</v>
      </c>
      <c r="T375" s="260"/>
      <c r="U375" s="131">
        <f t="shared" ref="U375:U376" si="185">IF(AND(H375="実施済",I375="実施済"),S375*1,0)</f>
        <v>0</v>
      </c>
      <c r="V375" s="131">
        <f>IF(J375="実施済",$U375*1,0)</f>
        <v>0</v>
      </c>
      <c r="W375" s="260"/>
      <c r="X375" s="131" t="str">
        <f>IF(E375="","",IF(R375*S375&gt;0,3,SUM(S375,U375,V375)))</f>
        <v/>
      </c>
      <c r="Y375" s="131">
        <f>MIN($X$375:$X$379)+1</f>
        <v>1</v>
      </c>
      <c r="Z375" s="131">
        <f>IF(E375="",1,IF(R375&gt;0,IF(COUNTA($F375:$K375)=2,1,0),IF(COUNTA($F375:$K375)=6,1,0)))</f>
        <v>1</v>
      </c>
      <c r="AA375" s="131" t="str" cm="1">
        <f t="array" ref="AA375">_xlfn.IFS(Y375=4,"A",Y375=3,"B",Y375=2,"C",Y375=1,"D")</f>
        <v>D</v>
      </c>
      <c r="AB375" s="131" t="str" cm="1">
        <f t="array" ref="AB375">_xlfn.IFS(Z375=4,"A",Z375=3,"B",Z375=2,"C",Z375=1,"D")</f>
        <v>D</v>
      </c>
    </row>
    <row r="376" spans="1:28" s="101" customFormat="1" ht="18.75" customHeight="1">
      <c r="A376" s="11"/>
      <c r="B376" s="97"/>
      <c r="C376" s="98"/>
      <c r="D376" s="99"/>
      <c r="E376" s="442" t="s">
        <v>301</v>
      </c>
      <c r="F376" s="443"/>
      <c r="G376" s="846"/>
      <c r="H376" s="846"/>
      <c r="I376" s="846"/>
      <c r="J376" s="846"/>
      <c r="K376" s="443"/>
      <c r="L376" s="100"/>
      <c r="M376" s="11"/>
      <c r="Q376" s="11"/>
      <c r="R376" s="131">
        <f>IF(E376="地区代表者",COUNTA($D$1:$D376),0)</f>
        <v>27</v>
      </c>
      <c r="S376" s="131">
        <f t="shared" si="184"/>
        <v>0</v>
      </c>
      <c r="T376" s="260"/>
      <c r="U376" s="131">
        <f t="shared" si="185"/>
        <v>0</v>
      </c>
      <c r="V376" s="131">
        <f>IF(J376="実施済",$U376*1,0)</f>
        <v>0</v>
      </c>
      <c r="W376" s="260"/>
      <c r="X376" s="131">
        <f t="shared" ref="X376:X379" si="186">IF(E376="","",IF(R376*S376&gt;0,3,SUM(S376,U376,V376)))</f>
        <v>0</v>
      </c>
      <c r="Y376" s="131">
        <f>MIN($X$375:$X$379)+1</f>
        <v>1</v>
      </c>
      <c r="Z376" s="131">
        <f t="shared" ref="Z376:Z379" si="187">IF(E376="",1,IF(R376&gt;0,IF(COUNTA($F376:$K376)=2,1,0),IF(COUNTA($F376:$K376)=6,1,0)))</f>
        <v>0</v>
      </c>
      <c r="AA376" s="131" t="str" cm="1">
        <f t="array" ref="AA376">_xlfn.IFS(Y376=4,"A",Y376=3,"B",Y376=2,"C",Y376=1,"D")</f>
        <v>D</v>
      </c>
      <c r="AB376" s="131"/>
    </row>
    <row r="377" spans="1:28" s="101" customFormat="1" ht="18.75" customHeight="1">
      <c r="A377" s="11"/>
      <c r="B377" s="97"/>
      <c r="C377" s="98"/>
      <c r="D377" s="99"/>
      <c r="E377" s="442" t="s">
        <v>116</v>
      </c>
      <c r="F377" s="443"/>
      <c r="G377" s="443"/>
      <c r="H377" s="443"/>
      <c r="I377" s="443"/>
      <c r="J377" s="443"/>
      <c r="K377" s="443"/>
      <c r="L377" s="100"/>
      <c r="M377" s="11"/>
      <c r="P377" s="11"/>
      <c r="Q377" s="11"/>
      <c r="R377" s="131">
        <f>IF(E377="地区代表者",COUNTA($D$1:$D377),0)</f>
        <v>0</v>
      </c>
      <c r="S377" s="131">
        <f>IF(F377="実施済",1,0)</f>
        <v>0</v>
      </c>
      <c r="T377" s="260"/>
      <c r="U377" s="131">
        <f>IF(AND(H377="実施済",I377="実施済"),S377*1,0)</f>
        <v>0</v>
      </c>
      <c r="V377" s="131">
        <f>IF(J377="実施済",$U377*1,0)</f>
        <v>0</v>
      </c>
      <c r="W377" s="260"/>
      <c r="X377" s="131">
        <f t="shared" si="186"/>
        <v>0</v>
      </c>
      <c r="Y377" s="131">
        <f>MIN($X$375:$X$379)+1</f>
        <v>1</v>
      </c>
      <c r="Z377" s="131">
        <f t="shared" si="187"/>
        <v>0</v>
      </c>
      <c r="AA377" s="131" t="str" cm="1">
        <f t="array" ref="AA377">_xlfn.IFS(Y377=4,"A",Y377=3,"B",Y377=2,"C",Y377=1,"D")</f>
        <v>D</v>
      </c>
      <c r="AB377" s="131"/>
    </row>
    <row r="378" spans="1:28" s="2" customFormat="1" ht="9" customHeight="1">
      <c r="A378"/>
      <c r="B378" s="65"/>
      <c r="C378" s="4"/>
      <c r="D378" s="309"/>
      <c r="E378" s="310"/>
      <c r="F378" s="310"/>
      <c r="G378" s="310"/>
      <c r="H378" s="310"/>
      <c r="I378" s="310"/>
      <c r="J378" s="310"/>
      <c r="K378" s="310"/>
      <c r="L378" s="9"/>
      <c r="M378"/>
      <c r="P378"/>
      <c r="Q378"/>
      <c r="R378" s="217">
        <f>IF(E378="地区代表者",COUNTA($D$1:$D378),0)</f>
        <v>0</v>
      </c>
      <c r="S378" s="217">
        <f t="shared" ref="S378:S379" si="188">IF(F378="実施済",1,0)</f>
        <v>0</v>
      </c>
      <c r="T378" s="318"/>
      <c r="U378" s="217">
        <f t="shared" ref="U378:U379" si="189">IF(AND(H378="実施済",I378="実施済"),S378*1,0)</f>
        <v>0</v>
      </c>
      <c r="V378" s="217">
        <f t="shared" ref="V378:V379" si="190">IF(J378="実施済",$U378*1,0)</f>
        <v>0</v>
      </c>
      <c r="W378" s="318"/>
      <c r="X378" s="217" t="str">
        <f t="shared" si="186"/>
        <v/>
      </c>
      <c r="Y378" s="217">
        <f>MIN($X$375:$X$379)+1</f>
        <v>1</v>
      </c>
      <c r="Z378" s="217">
        <f t="shared" si="187"/>
        <v>1</v>
      </c>
      <c r="AA378" s="217" t="str" cm="1">
        <f t="array" ref="AA378">_xlfn.IFS(Y378=4,"A",Y378=3,"B",Y378=2,"C",Y378=1,"D")</f>
        <v>D</v>
      </c>
      <c r="AB378" s="217"/>
    </row>
    <row r="379" spans="1:28" s="2" customFormat="1" ht="6" customHeight="1">
      <c r="A379"/>
      <c r="B379"/>
      <c r="C379"/>
      <c r="D379" s="311"/>
      <c r="E379" s="312"/>
      <c r="F379" s="312"/>
      <c r="G379" s="312"/>
      <c r="H379" s="312"/>
      <c r="I379" s="312"/>
      <c r="J379" s="312"/>
      <c r="K379" s="312"/>
      <c r="L379"/>
      <c r="M379"/>
      <c r="P379"/>
      <c r="Q379"/>
      <c r="R379" s="217">
        <f>IF(E379="地区代表者",COUNTA($D$1:$D379),0)</f>
        <v>0</v>
      </c>
      <c r="S379" s="217">
        <f t="shared" si="188"/>
        <v>0</v>
      </c>
      <c r="T379" s="318"/>
      <c r="U379" s="217">
        <f t="shared" si="189"/>
        <v>0</v>
      </c>
      <c r="V379" s="217">
        <f t="shared" si="190"/>
        <v>0</v>
      </c>
      <c r="W379" s="318"/>
      <c r="X379" s="217" t="str">
        <f t="shared" si="186"/>
        <v/>
      </c>
      <c r="Y379" s="217">
        <f>MIN($X$375:$X$379)+1</f>
        <v>1</v>
      </c>
      <c r="Z379" s="217">
        <f t="shared" si="187"/>
        <v>1</v>
      </c>
      <c r="AA379" s="217" t="str" cm="1">
        <f t="array" ref="AA379">_xlfn.IFS(Y379=4,"A",Y379=3,"B",Y379=2,"C",Y379=1,"D")</f>
        <v>D</v>
      </c>
      <c r="AB379" s="217"/>
    </row>
    <row r="380" spans="1:28" ht="96" customHeight="1">
      <c r="C380" s="78"/>
      <c r="D380" s="79"/>
      <c r="E380" s="72" t="s">
        <v>238</v>
      </c>
      <c r="F380" s="1057"/>
      <c r="G380" s="1057"/>
      <c r="H380" s="1057"/>
      <c r="I380" s="1057"/>
      <c r="J380" s="1057"/>
      <c r="K380" s="1057"/>
      <c r="L380" s="80" t="s">
        <v>132</v>
      </c>
      <c r="M380" s="292"/>
    </row>
    <row r="381" spans="1:28" ht="96" customHeight="1">
      <c r="C381" s="75"/>
      <c r="D381" s="68"/>
      <c r="E381" s="72" t="s">
        <v>239</v>
      </c>
      <c r="F381" s="1058"/>
      <c r="G381" s="1059"/>
      <c r="H381" s="1059"/>
      <c r="I381" s="1059"/>
      <c r="J381" s="1059"/>
      <c r="K381" s="1060"/>
    </row>
    <row r="382" spans="1:28" ht="18.5" thickBot="1">
      <c r="A382" s="81"/>
      <c r="B382" s="81"/>
      <c r="C382" s="81"/>
      <c r="D382" s="81"/>
      <c r="E382" s="313"/>
      <c r="F382" s="81"/>
      <c r="G382" s="81"/>
      <c r="H382" s="81"/>
      <c r="I382" s="81"/>
      <c r="J382" s="81"/>
      <c r="K382" s="81"/>
      <c r="L382" s="81"/>
      <c r="M382" s="82"/>
    </row>
    <row r="384" spans="1:28" ht="9" customHeight="1">
      <c r="B384" s="10"/>
      <c r="C384" s="5"/>
      <c r="D384" s="5"/>
      <c r="E384" s="307"/>
      <c r="F384" s="5"/>
      <c r="G384" s="5"/>
      <c r="H384" s="5"/>
      <c r="I384" s="5"/>
      <c r="J384" s="5"/>
      <c r="K384" s="5"/>
      <c r="L384" s="6"/>
      <c r="M384"/>
      <c r="N384"/>
      <c r="O384"/>
      <c r="R384" t="str">
        <f>D385</f>
        <v>(選択してください)</v>
      </c>
    </row>
    <row r="385" spans="1:28">
      <c r="B385" s="7"/>
      <c r="C385" s="77" t="str">
        <f ca="1">IFERROR(OFFSET('4.2民生電力需要量'!$C$1,MATCH(D385,'4.2民生電力需要量'!$E:$E,0)-1,0),"")</f>
        <v/>
      </c>
      <c r="D385" s="96" t="s">
        <v>130</v>
      </c>
      <c r="E385" s="72" t="s">
        <v>131</v>
      </c>
      <c r="F385" s="1061" t="str">
        <f ca="1">IFERROR(OFFSET('4.2民生電力需要量'!$G$1,MATCH($D385,'4.2民生電力需要量'!$E:$E,0)-1,0),"")</f>
        <v/>
      </c>
      <c r="G385" s="1061"/>
      <c r="H385" s="1061"/>
      <c r="I385" s="1061"/>
      <c r="J385" s="1061"/>
      <c r="K385" s="1061"/>
      <c r="L385" s="8"/>
      <c r="M385"/>
      <c r="N385"/>
      <c r="O385"/>
      <c r="R385" s="177" t="str">
        <f ca="1">IFERROR(OFFSET('4.2民生電力需要量'!$G$1,MATCH($D385,'4.2民生電力需要量'!$E:$E,0)-1,0),"")</f>
        <v/>
      </c>
      <c r="S385" s="177"/>
      <c r="T385" s="177"/>
      <c r="U385" s="177"/>
      <c r="V385" s="177"/>
      <c r="W385" s="177"/>
      <c r="X385" s="177"/>
      <c r="Y385" s="177"/>
      <c r="Z385" s="177"/>
      <c r="AA385" s="177"/>
      <c r="AB385" s="177">
        <f ca="1">(F385=R385)*1</f>
        <v>1</v>
      </c>
    </row>
    <row r="386" spans="1:28">
      <c r="B386" s="7"/>
      <c r="C386" s="74"/>
      <c r="D386" s="66"/>
      <c r="E386" s="72" t="s">
        <v>221</v>
      </c>
      <c r="F386" s="1062" t="str">
        <f ca="1">IFERROR(OFFSET('4.2民生電力需要量'!$I$1,MATCH($D385,'4.2民生電力需要量'!$E:$E,0)-1,0),"")</f>
        <v/>
      </c>
      <c r="G386" s="1062"/>
      <c r="H386" s="1062"/>
      <c r="I386" s="1062"/>
      <c r="J386" s="1062"/>
      <c r="K386" s="1062"/>
      <c r="L386" s="8"/>
      <c r="M386"/>
      <c r="N386"/>
      <c r="O386"/>
      <c r="R386" s="177" t="str">
        <f ca="1">IFERROR(OFFSET('4.2民生電力需要量'!$I$1,MATCH($D385,'4.2民生電力需要量'!$E:$E,0)-1,0),"")</f>
        <v/>
      </c>
      <c r="S386" s="177"/>
      <c r="T386" s="177"/>
      <c r="U386" s="177"/>
      <c r="V386" s="177"/>
      <c r="W386" s="177"/>
      <c r="X386" s="177"/>
      <c r="Y386" s="177"/>
      <c r="Z386" s="177"/>
      <c r="AA386" s="177"/>
      <c r="AB386" s="177">
        <f ca="1">(F386=R386)*1</f>
        <v>1</v>
      </c>
    </row>
    <row r="387" spans="1:28">
      <c r="B387" s="7"/>
      <c r="C387" s="74"/>
      <c r="D387" s="66"/>
      <c r="E387" s="72" t="s">
        <v>175</v>
      </c>
      <c r="F387" s="1063" t="str">
        <f>_xlfn.IFNA(R387,"")</f>
        <v/>
      </c>
      <c r="G387" s="1063"/>
      <c r="H387" s="1063"/>
      <c r="I387" s="1063"/>
      <c r="J387" s="1063"/>
      <c r="K387" s="1063"/>
      <c r="L387" s="8"/>
      <c r="M387"/>
      <c r="N387"/>
      <c r="O387"/>
      <c r="R387" s="217" t="str">
        <f>IF(PRODUCT($Z389:$Z393)=1,AA389,"")</f>
        <v/>
      </c>
      <c r="S387" s="177"/>
      <c r="T387" s="177"/>
      <c r="U387" s="177"/>
      <c r="V387" s="177"/>
      <c r="W387" s="177"/>
      <c r="X387" s="177"/>
      <c r="Y387" s="177"/>
      <c r="Z387" s="177"/>
      <c r="AA387" s="177"/>
      <c r="AB387" s="177">
        <f>(F387=R387)*1</f>
        <v>1</v>
      </c>
    </row>
    <row r="388" spans="1:28" s="2" customFormat="1" ht="60">
      <c r="A388"/>
      <c r="B388" s="7"/>
      <c r="C388" s="74"/>
      <c r="D388" s="66"/>
      <c r="E388" s="308"/>
      <c r="F388" s="314" t="s">
        <v>302</v>
      </c>
      <c r="G388" s="315" t="s">
        <v>303</v>
      </c>
      <c r="H388" s="315" t="s">
        <v>304</v>
      </c>
      <c r="I388" s="315" t="s">
        <v>305</v>
      </c>
      <c r="J388" s="315" t="s">
        <v>435</v>
      </c>
      <c r="K388" s="315" t="s">
        <v>272</v>
      </c>
      <c r="L388" s="8"/>
      <c r="M388"/>
      <c r="P388"/>
      <c r="Q388"/>
      <c r="R388" s="296" t="s">
        <v>301</v>
      </c>
      <c r="S388" s="296" t="s">
        <v>302</v>
      </c>
      <c r="T388" s="316" t="s">
        <v>429</v>
      </c>
      <c r="U388" s="296" t="s">
        <v>430</v>
      </c>
      <c r="V388" s="296" t="s">
        <v>428</v>
      </c>
      <c r="W388" s="317" t="s">
        <v>272</v>
      </c>
      <c r="X388" s="296" t="s">
        <v>432</v>
      </c>
      <c r="Y388" s="217" t="s">
        <v>408</v>
      </c>
      <c r="Z388" s="217" t="s">
        <v>436</v>
      </c>
      <c r="AA388" s="296" t="s">
        <v>431</v>
      </c>
      <c r="AB388" s="296"/>
    </row>
    <row r="389" spans="1:28" s="101" customFormat="1" ht="18.75" hidden="1" customHeight="1">
      <c r="A389" s="11"/>
      <c r="B389" s="97"/>
      <c r="C389" s="98"/>
      <c r="D389" s="99"/>
      <c r="E389" s="440"/>
      <c r="F389" s="441"/>
      <c r="G389" s="441"/>
      <c r="H389" s="441"/>
      <c r="I389" s="441"/>
      <c r="J389" s="441"/>
      <c r="K389" s="441"/>
      <c r="L389" s="100"/>
      <c r="M389" s="11"/>
      <c r="Q389" s="11"/>
      <c r="R389" s="131">
        <f>IF(E389="地区代表者",COUNTA($D$1:$D389),0)</f>
        <v>0</v>
      </c>
      <c r="S389" s="131">
        <f t="shared" ref="S389:S390" si="191">IF(F389="実施済",1,0)</f>
        <v>0</v>
      </c>
      <c r="T389" s="260"/>
      <c r="U389" s="131">
        <f t="shared" ref="U389:U390" si="192">IF(AND(H389="実施済",I389="実施済"),S389*1,0)</f>
        <v>0</v>
      </c>
      <c r="V389" s="131">
        <f>IF(J389="実施済",$U389*1,0)</f>
        <v>0</v>
      </c>
      <c r="W389" s="260"/>
      <c r="X389" s="131" t="str">
        <f>IF(E389="","",IF(R389*S389&gt;0,3,SUM(S389,U389,V389)))</f>
        <v/>
      </c>
      <c r="Y389" s="131">
        <f>MIN($X$389:$X$393)+1</f>
        <v>1</v>
      </c>
      <c r="Z389" s="131">
        <f>IF(E389="",1,IF(R389&gt;0,IF(COUNTA($F389:$K389)=2,1,0),IF(COUNTA($F389:$K389)=6,1,0)))</f>
        <v>1</v>
      </c>
      <c r="AA389" s="131" t="str" cm="1">
        <f t="array" ref="AA389">_xlfn.IFS(Y389=4,"A",Y389=3,"B",Y389=2,"C",Y389=1,"D")</f>
        <v>D</v>
      </c>
      <c r="AB389" s="131" t="str" cm="1">
        <f t="array" ref="AB389">_xlfn.IFS(Z389=4,"A",Z389=3,"B",Z389=2,"C",Z389=1,"D")</f>
        <v>D</v>
      </c>
    </row>
    <row r="390" spans="1:28" s="101" customFormat="1" ht="18.75" customHeight="1">
      <c r="A390" s="11"/>
      <c r="B390" s="97"/>
      <c r="C390" s="98"/>
      <c r="D390" s="99"/>
      <c r="E390" s="442" t="s">
        <v>301</v>
      </c>
      <c r="F390" s="443"/>
      <c r="G390" s="846"/>
      <c r="H390" s="846"/>
      <c r="I390" s="846"/>
      <c r="J390" s="846"/>
      <c r="K390" s="443"/>
      <c r="L390" s="100"/>
      <c r="M390" s="11"/>
      <c r="Q390" s="11"/>
      <c r="R390" s="131">
        <f>IF(E390="地区代表者",COUNTA($D$1:$D390),0)</f>
        <v>28</v>
      </c>
      <c r="S390" s="131">
        <f t="shared" si="191"/>
        <v>0</v>
      </c>
      <c r="T390" s="260"/>
      <c r="U390" s="131">
        <f t="shared" si="192"/>
        <v>0</v>
      </c>
      <c r="V390" s="131">
        <f>IF(J390="実施済",$U390*1,0)</f>
        <v>0</v>
      </c>
      <c r="W390" s="260"/>
      <c r="X390" s="131">
        <f t="shared" ref="X390:X393" si="193">IF(E390="","",IF(R390*S390&gt;0,3,SUM(S390,U390,V390)))</f>
        <v>0</v>
      </c>
      <c r="Y390" s="131">
        <f>MIN($X$389:$X$393)+1</f>
        <v>1</v>
      </c>
      <c r="Z390" s="131">
        <f t="shared" ref="Z390:Z393" si="194">IF(E390="",1,IF(R390&gt;0,IF(COUNTA($F390:$K390)=2,1,0),IF(COUNTA($F390:$K390)=6,1,0)))</f>
        <v>0</v>
      </c>
      <c r="AA390" s="131" t="str" cm="1">
        <f t="array" ref="AA390">_xlfn.IFS(Y390=4,"A",Y390=3,"B",Y390=2,"C",Y390=1,"D")</f>
        <v>D</v>
      </c>
      <c r="AB390" s="131"/>
    </row>
    <row r="391" spans="1:28" s="101" customFormat="1" ht="18.75" customHeight="1">
      <c r="A391" s="11"/>
      <c r="B391" s="97"/>
      <c r="C391" s="98"/>
      <c r="D391" s="99"/>
      <c r="E391" s="442" t="s">
        <v>116</v>
      </c>
      <c r="F391" s="443"/>
      <c r="G391" s="443"/>
      <c r="H391" s="443"/>
      <c r="I391" s="443"/>
      <c r="J391" s="443"/>
      <c r="K391" s="443"/>
      <c r="L391" s="100"/>
      <c r="M391" s="11"/>
      <c r="P391" s="11"/>
      <c r="Q391" s="11"/>
      <c r="R391" s="131">
        <f>IF(E391="地区代表者",COUNTA($D$1:$D391),0)</f>
        <v>0</v>
      </c>
      <c r="S391" s="131">
        <f>IF(F391="実施済",1,0)</f>
        <v>0</v>
      </c>
      <c r="T391" s="260"/>
      <c r="U391" s="131">
        <f>IF(AND(H391="実施済",I391="実施済"),S391*1,0)</f>
        <v>0</v>
      </c>
      <c r="V391" s="131">
        <f>IF(J391="実施済",$U391*1,0)</f>
        <v>0</v>
      </c>
      <c r="W391" s="260"/>
      <c r="X391" s="131">
        <f t="shared" si="193"/>
        <v>0</v>
      </c>
      <c r="Y391" s="131">
        <f>MIN($X$389:$X$393)+1</f>
        <v>1</v>
      </c>
      <c r="Z391" s="131">
        <f t="shared" si="194"/>
        <v>0</v>
      </c>
      <c r="AA391" s="131" t="str" cm="1">
        <f t="array" ref="AA391">_xlfn.IFS(Y391=4,"A",Y391=3,"B",Y391=2,"C",Y391=1,"D")</f>
        <v>D</v>
      </c>
      <c r="AB391" s="131"/>
    </row>
    <row r="392" spans="1:28" s="2" customFormat="1" ht="9" customHeight="1">
      <c r="A392"/>
      <c r="B392" s="65"/>
      <c r="C392" s="4"/>
      <c r="D392" s="309"/>
      <c r="E392" s="310"/>
      <c r="F392" s="310"/>
      <c r="G392" s="310"/>
      <c r="H392" s="310"/>
      <c r="I392" s="310"/>
      <c r="J392" s="310"/>
      <c r="K392" s="310"/>
      <c r="L392" s="9"/>
      <c r="M392"/>
      <c r="P392"/>
      <c r="Q392"/>
      <c r="R392" s="217">
        <f>IF(E392="地区代表者",COUNTA($D$1:$D392),0)</f>
        <v>0</v>
      </c>
      <c r="S392" s="217">
        <f t="shared" ref="S392:S393" si="195">IF(F392="実施済",1,0)</f>
        <v>0</v>
      </c>
      <c r="T392" s="318"/>
      <c r="U392" s="217">
        <f t="shared" ref="U392:U393" si="196">IF(AND(H392="実施済",I392="実施済"),S392*1,0)</f>
        <v>0</v>
      </c>
      <c r="V392" s="217">
        <f t="shared" ref="V392:V393" si="197">IF(J392="実施済",$U392*1,0)</f>
        <v>0</v>
      </c>
      <c r="W392" s="318"/>
      <c r="X392" s="217" t="str">
        <f t="shared" si="193"/>
        <v/>
      </c>
      <c r="Y392" s="217">
        <f>MIN($X$389:$X$393)+1</f>
        <v>1</v>
      </c>
      <c r="Z392" s="217">
        <f t="shared" si="194"/>
        <v>1</v>
      </c>
      <c r="AA392" s="217" t="str" cm="1">
        <f t="array" ref="AA392">_xlfn.IFS(Y392=4,"A",Y392=3,"B",Y392=2,"C",Y392=1,"D")</f>
        <v>D</v>
      </c>
      <c r="AB392" s="217"/>
    </row>
    <row r="393" spans="1:28" s="2" customFormat="1" ht="6" customHeight="1">
      <c r="A393"/>
      <c r="B393"/>
      <c r="C393"/>
      <c r="D393" s="311"/>
      <c r="E393" s="312"/>
      <c r="F393" s="312"/>
      <c r="G393" s="312"/>
      <c r="H393" s="312"/>
      <c r="I393" s="312"/>
      <c r="J393" s="312"/>
      <c r="K393" s="312"/>
      <c r="L393"/>
      <c r="M393"/>
      <c r="P393"/>
      <c r="Q393"/>
      <c r="R393" s="217">
        <f>IF(E393="地区代表者",COUNTA($D$1:$D393),0)</f>
        <v>0</v>
      </c>
      <c r="S393" s="217">
        <f t="shared" si="195"/>
        <v>0</v>
      </c>
      <c r="T393" s="318"/>
      <c r="U393" s="217">
        <f t="shared" si="196"/>
        <v>0</v>
      </c>
      <c r="V393" s="217">
        <f t="shared" si="197"/>
        <v>0</v>
      </c>
      <c r="W393" s="318"/>
      <c r="X393" s="217" t="str">
        <f t="shared" si="193"/>
        <v/>
      </c>
      <c r="Y393" s="217">
        <f>MIN($X$389:$X$393)+1</f>
        <v>1</v>
      </c>
      <c r="Z393" s="217">
        <f t="shared" si="194"/>
        <v>1</v>
      </c>
      <c r="AA393" s="217" t="str" cm="1">
        <f t="array" ref="AA393">_xlfn.IFS(Y393=4,"A",Y393=3,"B",Y393=2,"C",Y393=1,"D")</f>
        <v>D</v>
      </c>
      <c r="AB393" s="217"/>
    </row>
    <row r="394" spans="1:28" ht="96" customHeight="1">
      <c r="C394" s="78"/>
      <c r="D394" s="79"/>
      <c r="E394" s="72" t="s">
        <v>238</v>
      </c>
      <c r="F394" s="1057"/>
      <c r="G394" s="1057"/>
      <c r="H394" s="1057"/>
      <c r="I394" s="1057"/>
      <c r="J394" s="1057"/>
      <c r="K394" s="1057"/>
      <c r="L394" s="80" t="s">
        <v>132</v>
      </c>
      <c r="M394" s="292"/>
    </row>
    <row r="395" spans="1:28" ht="96" customHeight="1">
      <c r="C395" s="75"/>
      <c r="D395" s="68"/>
      <c r="E395" s="72" t="s">
        <v>239</v>
      </c>
      <c r="F395" s="1058"/>
      <c r="G395" s="1059"/>
      <c r="H395" s="1059"/>
      <c r="I395" s="1059"/>
      <c r="J395" s="1059"/>
      <c r="K395" s="1060"/>
    </row>
    <row r="396" spans="1:28" ht="18.5" thickBot="1">
      <c r="A396" s="81"/>
      <c r="B396" s="81"/>
      <c r="C396" s="81"/>
      <c r="D396" s="81"/>
      <c r="E396" s="313"/>
      <c r="F396" s="81"/>
      <c r="G396" s="81"/>
      <c r="H396" s="81"/>
      <c r="I396" s="81"/>
      <c r="J396" s="81"/>
      <c r="K396" s="81"/>
      <c r="L396" s="81"/>
      <c r="M396" s="82"/>
    </row>
    <row r="398" spans="1:28" ht="9" customHeight="1">
      <c r="B398" s="10"/>
      <c r="C398" s="5"/>
      <c r="D398" s="5"/>
      <c r="E398" s="307"/>
      <c r="F398" s="5"/>
      <c r="G398" s="5"/>
      <c r="H398" s="5"/>
      <c r="I398" s="5"/>
      <c r="J398" s="5"/>
      <c r="K398" s="5"/>
      <c r="L398" s="6"/>
      <c r="M398"/>
      <c r="N398"/>
      <c r="O398"/>
      <c r="R398" t="str">
        <f>D399</f>
        <v>(選択してください)</v>
      </c>
    </row>
    <row r="399" spans="1:28">
      <c r="B399" s="7"/>
      <c r="C399" s="77" t="str">
        <f ca="1">IFERROR(OFFSET('4.2民生電力需要量'!$C$1,MATCH(D399,'4.2民生電力需要量'!$E:$E,0)-1,0),"")</f>
        <v/>
      </c>
      <c r="D399" s="96" t="s">
        <v>130</v>
      </c>
      <c r="E399" s="72" t="s">
        <v>131</v>
      </c>
      <c r="F399" s="1061" t="str">
        <f ca="1">IFERROR(OFFSET('4.2民生電力需要量'!$G$1,MATCH($D399,'4.2民生電力需要量'!$E:$E,0)-1,0),"")</f>
        <v/>
      </c>
      <c r="G399" s="1061"/>
      <c r="H399" s="1061"/>
      <c r="I399" s="1061"/>
      <c r="J399" s="1061"/>
      <c r="K399" s="1061"/>
      <c r="L399" s="8"/>
      <c r="M399"/>
      <c r="N399"/>
      <c r="O399"/>
      <c r="R399" s="177" t="str">
        <f ca="1">IFERROR(OFFSET('4.2民生電力需要量'!$G$1,MATCH($D399,'4.2民生電力需要量'!$E:$E,0)-1,0),"")</f>
        <v/>
      </c>
      <c r="S399" s="177"/>
      <c r="T399" s="177"/>
      <c r="U399" s="177"/>
      <c r="V399" s="177"/>
      <c r="W399" s="177"/>
      <c r="X399" s="177"/>
      <c r="Y399" s="177"/>
      <c r="Z399" s="177"/>
      <c r="AA399" s="177"/>
      <c r="AB399" s="177">
        <f ca="1">(F399=R399)*1</f>
        <v>1</v>
      </c>
    </row>
    <row r="400" spans="1:28">
      <c r="B400" s="7"/>
      <c r="C400" s="74"/>
      <c r="D400" s="66"/>
      <c r="E400" s="72" t="s">
        <v>221</v>
      </c>
      <c r="F400" s="1062" t="str">
        <f ca="1">IFERROR(OFFSET('4.2民生電力需要量'!$I$1,MATCH($D399,'4.2民生電力需要量'!$E:$E,0)-1,0),"")</f>
        <v/>
      </c>
      <c r="G400" s="1062"/>
      <c r="H400" s="1062"/>
      <c r="I400" s="1062"/>
      <c r="J400" s="1062"/>
      <c r="K400" s="1062"/>
      <c r="L400" s="8"/>
      <c r="M400"/>
      <c r="N400"/>
      <c r="O400"/>
      <c r="R400" s="177" t="str">
        <f ca="1">IFERROR(OFFSET('4.2民生電力需要量'!$I$1,MATCH($D399,'4.2民生電力需要量'!$E:$E,0)-1,0),"")</f>
        <v/>
      </c>
      <c r="S400" s="177"/>
      <c r="T400" s="177"/>
      <c r="U400" s="177"/>
      <c r="V400" s="177"/>
      <c r="W400" s="177"/>
      <c r="X400" s="177"/>
      <c r="Y400" s="177"/>
      <c r="Z400" s="177"/>
      <c r="AA400" s="177"/>
      <c r="AB400" s="177">
        <f ca="1">(F400=R400)*1</f>
        <v>1</v>
      </c>
    </row>
    <row r="401" spans="1:28">
      <c r="B401" s="7"/>
      <c r="C401" s="74"/>
      <c r="D401" s="66"/>
      <c r="E401" s="72" t="s">
        <v>175</v>
      </c>
      <c r="F401" s="1063" t="str">
        <f>_xlfn.IFNA(R401,"")</f>
        <v/>
      </c>
      <c r="G401" s="1063"/>
      <c r="H401" s="1063"/>
      <c r="I401" s="1063"/>
      <c r="J401" s="1063"/>
      <c r="K401" s="1063"/>
      <c r="L401" s="8"/>
      <c r="M401"/>
      <c r="N401"/>
      <c r="O401"/>
      <c r="R401" s="217" t="str">
        <f>IF(PRODUCT($Z403:$Z407)=1,AA403,"")</f>
        <v/>
      </c>
      <c r="S401" s="177"/>
      <c r="T401" s="177"/>
      <c r="U401" s="177"/>
      <c r="V401" s="177"/>
      <c r="W401" s="177"/>
      <c r="X401" s="177"/>
      <c r="Y401" s="177"/>
      <c r="Z401" s="177"/>
      <c r="AA401" s="177"/>
      <c r="AB401" s="177">
        <f>(F401=R401)*1</f>
        <v>1</v>
      </c>
    </row>
    <row r="402" spans="1:28" s="2" customFormat="1" ht="60">
      <c r="A402"/>
      <c r="B402" s="7"/>
      <c r="C402" s="74"/>
      <c r="D402" s="66"/>
      <c r="E402" s="308"/>
      <c r="F402" s="314" t="s">
        <v>302</v>
      </c>
      <c r="G402" s="315" t="s">
        <v>303</v>
      </c>
      <c r="H402" s="315" t="s">
        <v>304</v>
      </c>
      <c r="I402" s="315" t="s">
        <v>305</v>
      </c>
      <c r="J402" s="315" t="s">
        <v>435</v>
      </c>
      <c r="K402" s="315" t="s">
        <v>272</v>
      </c>
      <c r="L402" s="8"/>
      <c r="M402"/>
      <c r="P402"/>
      <c r="Q402"/>
      <c r="R402" s="296" t="s">
        <v>301</v>
      </c>
      <c r="S402" s="296" t="s">
        <v>302</v>
      </c>
      <c r="T402" s="316" t="s">
        <v>429</v>
      </c>
      <c r="U402" s="296" t="s">
        <v>430</v>
      </c>
      <c r="V402" s="296" t="s">
        <v>428</v>
      </c>
      <c r="W402" s="317" t="s">
        <v>272</v>
      </c>
      <c r="X402" s="296" t="s">
        <v>432</v>
      </c>
      <c r="Y402" s="217" t="s">
        <v>408</v>
      </c>
      <c r="Z402" s="217" t="s">
        <v>436</v>
      </c>
      <c r="AA402" s="296" t="s">
        <v>431</v>
      </c>
      <c r="AB402" s="296"/>
    </row>
    <row r="403" spans="1:28" s="101" customFormat="1" ht="18.75" hidden="1" customHeight="1">
      <c r="A403" s="11"/>
      <c r="B403" s="97"/>
      <c r="C403" s="98"/>
      <c r="D403" s="99"/>
      <c r="E403" s="440"/>
      <c r="F403" s="441"/>
      <c r="G403" s="441"/>
      <c r="H403" s="441"/>
      <c r="I403" s="441"/>
      <c r="J403" s="441"/>
      <c r="K403" s="441"/>
      <c r="L403" s="100"/>
      <c r="M403" s="11"/>
      <c r="Q403" s="11"/>
      <c r="R403" s="131">
        <f>IF(E403="地区代表者",COUNTA($D$1:$D403),0)</f>
        <v>0</v>
      </c>
      <c r="S403" s="131">
        <f t="shared" ref="S403:S404" si="198">IF(F403="実施済",1,0)</f>
        <v>0</v>
      </c>
      <c r="T403" s="260"/>
      <c r="U403" s="131">
        <f t="shared" ref="U403:U404" si="199">IF(AND(H403="実施済",I403="実施済"),S403*1,0)</f>
        <v>0</v>
      </c>
      <c r="V403" s="131">
        <f>IF(J403="実施済",$U403*1,0)</f>
        <v>0</v>
      </c>
      <c r="W403" s="260"/>
      <c r="X403" s="131" t="str">
        <f>IF(E403="","",IF(R403*S403&gt;0,3,SUM(S403,U403,V403)))</f>
        <v/>
      </c>
      <c r="Y403" s="131">
        <f>MIN($X$403:$X$407)+1</f>
        <v>1</v>
      </c>
      <c r="Z403" s="131">
        <f>IF(E403="",1,IF(R403&gt;0,IF(COUNTA($F403:$K403)=2,1,0),IF(COUNTA($F403:$K403)=6,1,0)))</f>
        <v>1</v>
      </c>
      <c r="AA403" s="131" t="str" cm="1">
        <f t="array" ref="AA403">_xlfn.IFS(Y403=4,"A",Y403=3,"B",Y403=2,"C",Y403=1,"D")</f>
        <v>D</v>
      </c>
      <c r="AB403" s="131" t="str" cm="1">
        <f t="array" ref="AB403">_xlfn.IFS(Z403=4,"A",Z403=3,"B",Z403=2,"C",Z403=1,"D")</f>
        <v>D</v>
      </c>
    </row>
    <row r="404" spans="1:28" s="101" customFormat="1" ht="18.75" customHeight="1">
      <c r="A404" s="11"/>
      <c r="B404" s="97"/>
      <c r="C404" s="98"/>
      <c r="D404" s="99"/>
      <c r="E404" s="442" t="s">
        <v>301</v>
      </c>
      <c r="F404" s="443"/>
      <c r="G404" s="846"/>
      <c r="H404" s="846"/>
      <c r="I404" s="846"/>
      <c r="J404" s="846"/>
      <c r="K404" s="443"/>
      <c r="L404" s="100"/>
      <c r="M404" s="11"/>
      <c r="Q404" s="11"/>
      <c r="R404" s="131">
        <f>IF(E404="地区代表者",COUNTA($D$1:$D404),0)</f>
        <v>29</v>
      </c>
      <c r="S404" s="131">
        <f t="shared" si="198"/>
        <v>0</v>
      </c>
      <c r="T404" s="260"/>
      <c r="U404" s="131">
        <f t="shared" si="199"/>
        <v>0</v>
      </c>
      <c r="V404" s="131">
        <f>IF(J404="実施済",$U404*1,0)</f>
        <v>0</v>
      </c>
      <c r="W404" s="260"/>
      <c r="X404" s="131">
        <f t="shared" ref="X404:X407" si="200">IF(E404="","",IF(R404*S404&gt;0,3,SUM(S404,U404,V404)))</f>
        <v>0</v>
      </c>
      <c r="Y404" s="131">
        <f>MIN($X$403:$X$407)+1</f>
        <v>1</v>
      </c>
      <c r="Z404" s="131">
        <f t="shared" ref="Z404:Z407" si="201">IF(E404="",1,IF(R404&gt;0,IF(COUNTA($F404:$K404)=2,1,0),IF(COUNTA($F404:$K404)=6,1,0)))</f>
        <v>0</v>
      </c>
      <c r="AA404" s="131" t="str" cm="1">
        <f t="array" ref="AA404">_xlfn.IFS(Y404=4,"A",Y404=3,"B",Y404=2,"C",Y404=1,"D")</f>
        <v>D</v>
      </c>
      <c r="AB404" s="131"/>
    </row>
    <row r="405" spans="1:28" s="101" customFormat="1" ht="18.75" customHeight="1">
      <c r="A405" s="11"/>
      <c r="B405" s="97"/>
      <c r="C405" s="98"/>
      <c r="D405" s="99"/>
      <c r="E405" s="442" t="s">
        <v>116</v>
      </c>
      <c r="F405" s="443"/>
      <c r="G405" s="443"/>
      <c r="H405" s="443"/>
      <c r="I405" s="443"/>
      <c r="J405" s="443"/>
      <c r="K405" s="443"/>
      <c r="L405" s="100"/>
      <c r="M405" s="11"/>
      <c r="P405" s="11"/>
      <c r="Q405" s="11"/>
      <c r="R405" s="131">
        <f>IF(E405="地区代表者",COUNTA($D$1:$D405),0)</f>
        <v>0</v>
      </c>
      <c r="S405" s="131">
        <f>IF(F405="実施済",1,0)</f>
        <v>0</v>
      </c>
      <c r="T405" s="260"/>
      <c r="U405" s="131">
        <f>IF(AND(H405="実施済",I405="実施済"),S405*1,0)</f>
        <v>0</v>
      </c>
      <c r="V405" s="131">
        <f>IF(J405="実施済",$U405*1,0)</f>
        <v>0</v>
      </c>
      <c r="W405" s="260"/>
      <c r="X405" s="131">
        <f t="shared" si="200"/>
        <v>0</v>
      </c>
      <c r="Y405" s="131">
        <f>MIN($X$403:$X$407)+1</f>
        <v>1</v>
      </c>
      <c r="Z405" s="131">
        <f t="shared" si="201"/>
        <v>0</v>
      </c>
      <c r="AA405" s="131" t="str" cm="1">
        <f t="array" ref="AA405">_xlfn.IFS(Y405=4,"A",Y405=3,"B",Y405=2,"C",Y405=1,"D")</f>
        <v>D</v>
      </c>
      <c r="AB405" s="131"/>
    </row>
    <row r="406" spans="1:28" s="2" customFormat="1" ht="9" customHeight="1">
      <c r="A406"/>
      <c r="B406" s="65"/>
      <c r="C406" s="4"/>
      <c r="D406" s="309"/>
      <c r="E406" s="310"/>
      <c r="F406" s="310"/>
      <c r="G406" s="310"/>
      <c r="H406" s="310"/>
      <c r="I406" s="310"/>
      <c r="J406" s="310"/>
      <c r="K406" s="310"/>
      <c r="L406" s="9"/>
      <c r="M406"/>
      <c r="P406"/>
      <c r="Q406"/>
      <c r="R406" s="217">
        <f>IF(E406="地区代表者",COUNTA($D$1:$D406),0)</f>
        <v>0</v>
      </c>
      <c r="S406" s="217">
        <f t="shared" ref="S406:S407" si="202">IF(F406="実施済",1,0)</f>
        <v>0</v>
      </c>
      <c r="T406" s="318"/>
      <c r="U406" s="217">
        <f t="shared" ref="U406:U407" si="203">IF(AND(H406="実施済",I406="実施済"),S406*1,0)</f>
        <v>0</v>
      </c>
      <c r="V406" s="217">
        <f t="shared" ref="V406:V407" si="204">IF(J406="実施済",$U406*1,0)</f>
        <v>0</v>
      </c>
      <c r="W406" s="318"/>
      <c r="X406" s="217" t="str">
        <f t="shared" si="200"/>
        <v/>
      </c>
      <c r="Y406" s="217">
        <f>MIN($X$403:$X$407)+1</f>
        <v>1</v>
      </c>
      <c r="Z406" s="217">
        <f t="shared" si="201"/>
        <v>1</v>
      </c>
      <c r="AA406" s="217" t="str" cm="1">
        <f t="array" ref="AA406">_xlfn.IFS(Y406=4,"A",Y406=3,"B",Y406=2,"C",Y406=1,"D")</f>
        <v>D</v>
      </c>
      <c r="AB406" s="217"/>
    </row>
    <row r="407" spans="1:28" s="2" customFormat="1" ht="6" customHeight="1">
      <c r="A407"/>
      <c r="B407"/>
      <c r="C407"/>
      <c r="D407" s="311"/>
      <c r="E407" s="312"/>
      <c r="F407" s="312"/>
      <c r="G407" s="312"/>
      <c r="H407" s="312"/>
      <c r="I407" s="312"/>
      <c r="J407" s="312"/>
      <c r="K407" s="312"/>
      <c r="L407"/>
      <c r="M407"/>
      <c r="P407"/>
      <c r="Q407"/>
      <c r="R407" s="217">
        <f>IF(E407="地区代表者",COUNTA($D$1:$D407),0)</f>
        <v>0</v>
      </c>
      <c r="S407" s="217">
        <f t="shared" si="202"/>
        <v>0</v>
      </c>
      <c r="T407" s="318"/>
      <c r="U407" s="217">
        <f t="shared" si="203"/>
        <v>0</v>
      </c>
      <c r="V407" s="217">
        <f t="shared" si="204"/>
        <v>0</v>
      </c>
      <c r="W407" s="318"/>
      <c r="X407" s="217" t="str">
        <f t="shared" si="200"/>
        <v/>
      </c>
      <c r="Y407" s="217">
        <f>MIN($X$403:$X$407)+1</f>
        <v>1</v>
      </c>
      <c r="Z407" s="217">
        <f t="shared" si="201"/>
        <v>1</v>
      </c>
      <c r="AA407" s="217" t="str" cm="1">
        <f t="array" ref="AA407">_xlfn.IFS(Y407=4,"A",Y407=3,"B",Y407=2,"C",Y407=1,"D")</f>
        <v>D</v>
      </c>
      <c r="AB407" s="217"/>
    </row>
    <row r="408" spans="1:28" ht="96" customHeight="1">
      <c r="C408" s="78"/>
      <c r="D408" s="79"/>
      <c r="E408" s="72" t="s">
        <v>238</v>
      </c>
      <c r="F408" s="1057"/>
      <c r="G408" s="1057"/>
      <c r="H408" s="1057"/>
      <c r="I408" s="1057"/>
      <c r="J408" s="1057"/>
      <c r="K408" s="1057"/>
      <c r="L408" s="80" t="s">
        <v>132</v>
      </c>
      <c r="M408" s="292"/>
    </row>
    <row r="409" spans="1:28" ht="96" customHeight="1">
      <c r="C409" s="75"/>
      <c r="D409" s="68"/>
      <c r="E409" s="72" t="s">
        <v>239</v>
      </c>
      <c r="F409" s="1058"/>
      <c r="G409" s="1059"/>
      <c r="H409" s="1059"/>
      <c r="I409" s="1059"/>
      <c r="J409" s="1059"/>
      <c r="K409" s="1060"/>
    </row>
    <row r="410" spans="1:28" ht="18.5" thickBot="1">
      <c r="A410" s="81"/>
      <c r="B410" s="81"/>
      <c r="C410" s="81"/>
      <c r="D410" s="81"/>
      <c r="E410" s="313"/>
      <c r="F410" s="81"/>
      <c r="G410" s="81"/>
      <c r="H410" s="81"/>
      <c r="I410" s="81"/>
      <c r="J410" s="81"/>
      <c r="K410" s="81"/>
      <c r="L410" s="81"/>
      <c r="M410" s="82"/>
    </row>
    <row r="412" spans="1:28" ht="9" customHeight="1">
      <c r="B412" s="10"/>
      <c r="C412" s="5"/>
      <c r="D412" s="5"/>
      <c r="E412" s="307"/>
      <c r="F412" s="5"/>
      <c r="G412" s="5"/>
      <c r="H412" s="5"/>
      <c r="I412" s="5"/>
      <c r="J412" s="5"/>
      <c r="K412" s="5"/>
      <c r="L412" s="6"/>
      <c r="M412"/>
      <c r="N412"/>
      <c r="O412"/>
      <c r="R412" t="str">
        <f>D413</f>
        <v>(選択してください)</v>
      </c>
    </row>
    <row r="413" spans="1:28">
      <c r="B413" s="7"/>
      <c r="C413" s="77" t="str">
        <f ca="1">IFERROR(OFFSET('4.2民生電力需要量'!$C$1,MATCH(D413,'4.2民生電力需要量'!$E:$E,0)-1,0),"")</f>
        <v/>
      </c>
      <c r="D413" s="96" t="s">
        <v>130</v>
      </c>
      <c r="E413" s="72" t="s">
        <v>131</v>
      </c>
      <c r="F413" s="1061" t="str">
        <f ca="1">IFERROR(OFFSET('4.2民生電力需要量'!$G$1,MATCH($D413,'4.2民生電力需要量'!$E:$E,0)-1,0),"")</f>
        <v/>
      </c>
      <c r="G413" s="1061"/>
      <c r="H413" s="1061"/>
      <c r="I413" s="1061"/>
      <c r="J413" s="1061"/>
      <c r="K413" s="1061"/>
      <c r="L413" s="8"/>
      <c r="M413"/>
      <c r="N413"/>
      <c r="O413"/>
      <c r="R413" s="177" t="str">
        <f ca="1">IFERROR(OFFSET('4.2民生電力需要量'!$G$1,MATCH($D413,'4.2民生電力需要量'!$E:$E,0)-1,0),"")</f>
        <v/>
      </c>
      <c r="S413" s="177"/>
      <c r="T413" s="177"/>
      <c r="U413" s="177"/>
      <c r="V413" s="177"/>
      <c r="W413" s="177"/>
      <c r="X413" s="177"/>
      <c r="Y413" s="177"/>
      <c r="Z413" s="177"/>
      <c r="AA413" s="177"/>
      <c r="AB413" s="177">
        <f ca="1">(F413=R413)*1</f>
        <v>1</v>
      </c>
    </row>
    <row r="414" spans="1:28">
      <c r="B414" s="7"/>
      <c r="C414" s="74"/>
      <c r="D414" s="66"/>
      <c r="E414" s="72" t="s">
        <v>221</v>
      </c>
      <c r="F414" s="1062" t="str">
        <f ca="1">IFERROR(OFFSET('4.2民生電力需要量'!$I$1,MATCH($D413,'4.2民生電力需要量'!$E:$E,0)-1,0),"")</f>
        <v/>
      </c>
      <c r="G414" s="1062"/>
      <c r="H414" s="1062"/>
      <c r="I414" s="1062"/>
      <c r="J414" s="1062"/>
      <c r="K414" s="1062"/>
      <c r="L414" s="8"/>
      <c r="M414"/>
      <c r="N414"/>
      <c r="O414"/>
      <c r="R414" s="177" t="str">
        <f ca="1">IFERROR(OFFSET('4.2民生電力需要量'!$I$1,MATCH($D413,'4.2民生電力需要量'!$E:$E,0)-1,0),"")</f>
        <v/>
      </c>
      <c r="S414" s="177"/>
      <c r="T414" s="177"/>
      <c r="U414" s="177"/>
      <c r="V414" s="177"/>
      <c r="W414" s="177"/>
      <c r="X414" s="177"/>
      <c r="Y414" s="177"/>
      <c r="Z414" s="177"/>
      <c r="AA414" s="177"/>
      <c r="AB414" s="177">
        <f ca="1">(F414=R414)*1</f>
        <v>1</v>
      </c>
    </row>
    <row r="415" spans="1:28">
      <c r="B415" s="7"/>
      <c r="C415" s="74"/>
      <c r="D415" s="66"/>
      <c r="E415" s="72" t="s">
        <v>175</v>
      </c>
      <c r="F415" s="1063" t="str">
        <f>_xlfn.IFNA(R415,"")</f>
        <v/>
      </c>
      <c r="G415" s="1063"/>
      <c r="H415" s="1063"/>
      <c r="I415" s="1063"/>
      <c r="J415" s="1063"/>
      <c r="K415" s="1063"/>
      <c r="L415" s="8"/>
      <c r="M415"/>
      <c r="N415"/>
      <c r="O415"/>
      <c r="R415" s="217" t="str">
        <f>IF(PRODUCT($Z417:$Z421)=1,AA417,"")</f>
        <v/>
      </c>
      <c r="S415" s="177"/>
      <c r="T415" s="177"/>
      <c r="U415" s="177"/>
      <c r="V415" s="177"/>
      <c r="W415" s="177"/>
      <c r="X415" s="177"/>
      <c r="Y415" s="177"/>
      <c r="Z415" s="177"/>
      <c r="AA415" s="177"/>
      <c r="AB415" s="177">
        <f>(F415=R415)*1</f>
        <v>1</v>
      </c>
    </row>
    <row r="416" spans="1:28" s="2" customFormat="1" ht="60">
      <c r="A416"/>
      <c r="B416" s="7"/>
      <c r="C416" s="74"/>
      <c r="D416" s="66"/>
      <c r="E416" s="308"/>
      <c r="F416" s="314" t="s">
        <v>302</v>
      </c>
      <c r="G416" s="315" t="s">
        <v>303</v>
      </c>
      <c r="H416" s="315" t="s">
        <v>304</v>
      </c>
      <c r="I416" s="315" t="s">
        <v>305</v>
      </c>
      <c r="J416" s="315" t="s">
        <v>435</v>
      </c>
      <c r="K416" s="315" t="s">
        <v>272</v>
      </c>
      <c r="L416" s="8"/>
      <c r="M416"/>
      <c r="P416"/>
      <c r="Q416"/>
      <c r="R416" s="296" t="s">
        <v>301</v>
      </c>
      <c r="S416" s="296" t="s">
        <v>302</v>
      </c>
      <c r="T416" s="316" t="s">
        <v>429</v>
      </c>
      <c r="U416" s="296" t="s">
        <v>430</v>
      </c>
      <c r="V416" s="296" t="s">
        <v>428</v>
      </c>
      <c r="W416" s="317" t="s">
        <v>272</v>
      </c>
      <c r="X416" s="296" t="s">
        <v>432</v>
      </c>
      <c r="Y416" s="217" t="s">
        <v>408</v>
      </c>
      <c r="Z416" s="217" t="s">
        <v>436</v>
      </c>
      <c r="AA416" s="296" t="s">
        <v>431</v>
      </c>
      <c r="AB416" s="296"/>
    </row>
    <row r="417" spans="1:28" s="101" customFormat="1" ht="18.75" hidden="1" customHeight="1">
      <c r="A417" s="11"/>
      <c r="B417" s="97"/>
      <c r="C417" s="98"/>
      <c r="D417" s="99"/>
      <c r="E417" s="440"/>
      <c r="F417" s="441"/>
      <c r="G417" s="441"/>
      <c r="H417" s="441"/>
      <c r="I417" s="441"/>
      <c r="J417" s="441"/>
      <c r="K417" s="441"/>
      <c r="L417" s="100"/>
      <c r="M417" s="11"/>
      <c r="Q417" s="11"/>
      <c r="R417" s="131">
        <f>IF(E417="地区代表者",COUNTA($D$1:$D417),0)</f>
        <v>0</v>
      </c>
      <c r="S417" s="131">
        <f t="shared" ref="S417:S418" si="205">IF(F417="実施済",1,0)</f>
        <v>0</v>
      </c>
      <c r="T417" s="260"/>
      <c r="U417" s="131">
        <f t="shared" ref="U417:U418" si="206">IF(AND(H417="実施済",I417="実施済"),S417*1,0)</f>
        <v>0</v>
      </c>
      <c r="V417" s="131">
        <f>IF(J417="実施済",$U417*1,0)</f>
        <v>0</v>
      </c>
      <c r="W417" s="260"/>
      <c r="X417" s="131" t="str">
        <f>IF(E417="","",IF(R417*S417&gt;0,3,SUM(S417,U417,V417)))</f>
        <v/>
      </c>
      <c r="Y417" s="131">
        <f>MIN($X$417:$X$421)+1</f>
        <v>1</v>
      </c>
      <c r="Z417" s="131">
        <f>IF(E417="",1,IF(R417&gt;0,IF(COUNTA($F417:$K417)=2,1,0),IF(COUNTA($F417:$K417)=6,1,0)))</f>
        <v>1</v>
      </c>
      <c r="AA417" s="131" t="str" cm="1">
        <f t="array" ref="AA417">_xlfn.IFS(Y417=4,"A",Y417=3,"B",Y417=2,"C",Y417=1,"D")</f>
        <v>D</v>
      </c>
      <c r="AB417" s="131" t="str" cm="1">
        <f t="array" ref="AB417">_xlfn.IFS(Z417=4,"A",Z417=3,"B",Z417=2,"C",Z417=1,"D")</f>
        <v>D</v>
      </c>
    </row>
    <row r="418" spans="1:28" s="101" customFormat="1" ht="18.75" customHeight="1">
      <c r="A418" s="11"/>
      <c r="B418" s="97"/>
      <c r="C418" s="98"/>
      <c r="D418" s="99"/>
      <c r="E418" s="442" t="s">
        <v>301</v>
      </c>
      <c r="F418" s="443"/>
      <c r="G418" s="846"/>
      <c r="H418" s="846"/>
      <c r="I418" s="846"/>
      <c r="J418" s="846"/>
      <c r="K418" s="443"/>
      <c r="L418" s="100"/>
      <c r="M418" s="11"/>
      <c r="Q418" s="11"/>
      <c r="R418" s="131">
        <f>IF(E418="地区代表者",COUNTA($D$1:$D418),0)</f>
        <v>30</v>
      </c>
      <c r="S418" s="131">
        <f t="shared" si="205"/>
        <v>0</v>
      </c>
      <c r="T418" s="260"/>
      <c r="U418" s="131">
        <f t="shared" si="206"/>
        <v>0</v>
      </c>
      <c r="V418" s="131">
        <f>IF(J418="実施済",$U418*1,0)</f>
        <v>0</v>
      </c>
      <c r="W418" s="260"/>
      <c r="X418" s="131">
        <f t="shared" ref="X418:X421" si="207">IF(E418="","",IF(R418*S418&gt;0,3,SUM(S418,U418,V418)))</f>
        <v>0</v>
      </c>
      <c r="Y418" s="131">
        <f>MIN($X$417:$X$421)+1</f>
        <v>1</v>
      </c>
      <c r="Z418" s="131">
        <f t="shared" ref="Z418:Z421" si="208">IF(E418="",1,IF(R418&gt;0,IF(COUNTA($F418:$K418)=2,1,0),IF(COUNTA($F418:$K418)=6,1,0)))</f>
        <v>0</v>
      </c>
      <c r="AA418" s="131" t="str" cm="1">
        <f t="array" ref="AA418">_xlfn.IFS(Y418=4,"A",Y418=3,"B",Y418=2,"C",Y418=1,"D")</f>
        <v>D</v>
      </c>
      <c r="AB418" s="131"/>
    </row>
    <row r="419" spans="1:28" s="101" customFormat="1" ht="18.75" customHeight="1">
      <c r="A419" s="11"/>
      <c r="B419" s="97"/>
      <c r="C419" s="98"/>
      <c r="D419" s="99"/>
      <c r="E419" s="442" t="s">
        <v>116</v>
      </c>
      <c r="F419" s="443"/>
      <c r="G419" s="443"/>
      <c r="H419" s="443"/>
      <c r="I419" s="443"/>
      <c r="J419" s="443"/>
      <c r="K419" s="443"/>
      <c r="L419" s="100"/>
      <c r="M419" s="11"/>
      <c r="P419" s="11"/>
      <c r="Q419" s="11"/>
      <c r="R419" s="131">
        <f>IF(E419="地区代表者",COUNTA($D$1:$D419),0)</f>
        <v>0</v>
      </c>
      <c r="S419" s="131">
        <f>IF(F419="実施済",1,0)</f>
        <v>0</v>
      </c>
      <c r="T419" s="260"/>
      <c r="U419" s="131">
        <f>IF(AND(H419="実施済",I419="実施済"),S419*1,0)</f>
        <v>0</v>
      </c>
      <c r="V419" s="131">
        <f>IF(J419="実施済",$U419*1,0)</f>
        <v>0</v>
      </c>
      <c r="W419" s="260"/>
      <c r="X419" s="131">
        <f t="shared" si="207"/>
        <v>0</v>
      </c>
      <c r="Y419" s="131">
        <f>MIN($X$417:$X$421)+1</f>
        <v>1</v>
      </c>
      <c r="Z419" s="131">
        <f t="shared" si="208"/>
        <v>0</v>
      </c>
      <c r="AA419" s="131" t="str" cm="1">
        <f t="array" ref="AA419">_xlfn.IFS(Y419=4,"A",Y419=3,"B",Y419=2,"C",Y419=1,"D")</f>
        <v>D</v>
      </c>
      <c r="AB419" s="131"/>
    </row>
    <row r="420" spans="1:28" s="2" customFormat="1" ht="9" customHeight="1">
      <c r="A420"/>
      <c r="B420" s="65"/>
      <c r="C420" s="4"/>
      <c r="D420" s="309"/>
      <c r="E420" s="310"/>
      <c r="F420" s="310"/>
      <c r="G420" s="310"/>
      <c r="H420" s="310"/>
      <c r="I420" s="310"/>
      <c r="J420" s="310"/>
      <c r="K420" s="310"/>
      <c r="L420" s="9"/>
      <c r="M420"/>
      <c r="P420"/>
      <c r="Q420"/>
      <c r="R420" s="217">
        <f>IF(E420="地区代表者",COUNTA($D$1:$D420),0)</f>
        <v>0</v>
      </c>
      <c r="S420" s="217">
        <f t="shared" ref="S420:S421" si="209">IF(F420="実施済",1,0)</f>
        <v>0</v>
      </c>
      <c r="T420" s="318"/>
      <c r="U420" s="217">
        <f t="shared" ref="U420:U421" si="210">IF(AND(H420="実施済",I420="実施済"),S420*1,0)</f>
        <v>0</v>
      </c>
      <c r="V420" s="217">
        <f t="shared" ref="V420:V421" si="211">IF(J420="実施済",$U420*1,0)</f>
        <v>0</v>
      </c>
      <c r="W420" s="318"/>
      <c r="X420" s="217" t="str">
        <f t="shared" si="207"/>
        <v/>
      </c>
      <c r="Y420" s="217">
        <f>MIN($X$417:$X$421)+1</f>
        <v>1</v>
      </c>
      <c r="Z420" s="217">
        <f t="shared" si="208"/>
        <v>1</v>
      </c>
      <c r="AA420" s="217" t="str" cm="1">
        <f t="array" ref="AA420">_xlfn.IFS(Y420=4,"A",Y420=3,"B",Y420=2,"C",Y420=1,"D")</f>
        <v>D</v>
      </c>
      <c r="AB420" s="217"/>
    </row>
    <row r="421" spans="1:28" s="2" customFormat="1" ht="6" customHeight="1">
      <c r="A421"/>
      <c r="B421"/>
      <c r="C421"/>
      <c r="D421" s="311"/>
      <c r="E421" s="312"/>
      <c r="F421" s="312"/>
      <c r="G421" s="312"/>
      <c r="H421" s="312"/>
      <c r="I421" s="312"/>
      <c r="J421" s="312"/>
      <c r="K421" s="312"/>
      <c r="L421"/>
      <c r="M421"/>
      <c r="P421"/>
      <c r="Q421"/>
      <c r="R421" s="217">
        <f>IF(E421="地区代表者",COUNTA($D$1:$D421),0)</f>
        <v>0</v>
      </c>
      <c r="S421" s="217">
        <f t="shared" si="209"/>
        <v>0</v>
      </c>
      <c r="T421" s="318"/>
      <c r="U421" s="217">
        <f t="shared" si="210"/>
        <v>0</v>
      </c>
      <c r="V421" s="217">
        <f t="shared" si="211"/>
        <v>0</v>
      </c>
      <c r="W421" s="318"/>
      <c r="X421" s="217" t="str">
        <f t="shared" si="207"/>
        <v/>
      </c>
      <c r="Y421" s="217">
        <f>MIN($X$417:$X$421)+1</f>
        <v>1</v>
      </c>
      <c r="Z421" s="217">
        <f t="shared" si="208"/>
        <v>1</v>
      </c>
      <c r="AA421" s="217" t="str" cm="1">
        <f t="array" ref="AA421">_xlfn.IFS(Y421=4,"A",Y421=3,"B",Y421=2,"C",Y421=1,"D")</f>
        <v>D</v>
      </c>
      <c r="AB421" s="217"/>
    </row>
    <row r="422" spans="1:28" ht="96" customHeight="1">
      <c r="C422" s="78"/>
      <c r="D422" s="79"/>
      <c r="E422" s="72" t="s">
        <v>238</v>
      </c>
      <c r="F422" s="1057"/>
      <c r="G422" s="1057"/>
      <c r="H422" s="1057"/>
      <c r="I422" s="1057"/>
      <c r="J422" s="1057"/>
      <c r="K422" s="1057"/>
      <c r="L422" s="80" t="s">
        <v>132</v>
      </c>
      <c r="M422" s="292"/>
    </row>
    <row r="423" spans="1:28" ht="96" customHeight="1">
      <c r="C423" s="75"/>
      <c r="D423" s="68"/>
      <c r="E423" s="72" t="s">
        <v>239</v>
      </c>
      <c r="F423" s="1058"/>
      <c r="G423" s="1059"/>
      <c r="H423" s="1059"/>
      <c r="I423" s="1059"/>
      <c r="J423" s="1059"/>
      <c r="K423" s="1060"/>
    </row>
    <row r="424" spans="1:28" ht="18.5" thickBot="1">
      <c r="A424" s="81"/>
      <c r="B424" s="81"/>
      <c r="C424" s="81"/>
      <c r="D424" s="81"/>
      <c r="E424" s="313"/>
      <c r="F424" s="81"/>
      <c r="G424" s="81"/>
      <c r="H424" s="81"/>
      <c r="I424" s="81"/>
      <c r="J424" s="81"/>
      <c r="K424" s="81"/>
      <c r="L424" s="81"/>
      <c r="M424" s="82"/>
    </row>
  </sheetData>
  <sheetProtection algorithmName="SHA-512" hashValue="pEJSXcLPEmgYvIRw7U1ovoGN8fcHBNI+6Y238hwKu4p14R+KGnrG6OEizQKh2/rpTV6QP+q+APnp649C2dFUpA==" saltValue="z3NoDdGunKrsJuzRGAQnPg==" spinCount="100000" sheet="1" formatCells="0" insertRows="0" deleteRows="0"/>
  <mergeCells count="150">
    <mergeCell ref="F50:K50"/>
    <mergeCell ref="F51:K51"/>
    <mergeCell ref="F49:K49"/>
    <mergeCell ref="F16:K16"/>
    <mergeCell ref="F17:K17"/>
    <mergeCell ref="F7:K7"/>
    <mergeCell ref="F8:K8"/>
    <mergeCell ref="F9:K9"/>
    <mergeCell ref="F35:K35"/>
    <mergeCell ref="F36:K36"/>
    <mergeCell ref="F37:K37"/>
    <mergeCell ref="F44:K44"/>
    <mergeCell ref="F45:K45"/>
    <mergeCell ref="F21:K21"/>
    <mergeCell ref="F22:K22"/>
    <mergeCell ref="F23:K23"/>
    <mergeCell ref="F30:K30"/>
    <mergeCell ref="F31:K31"/>
    <mergeCell ref="F72:K72"/>
    <mergeCell ref="F73:K73"/>
    <mergeCell ref="F77:K77"/>
    <mergeCell ref="F78:K78"/>
    <mergeCell ref="F79:K79"/>
    <mergeCell ref="F58:K58"/>
    <mergeCell ref="F59:K59"/>
    <mergeCell ref="F63:K63"/>
    <mergeCell ref="F64:K64"/>
    <mergeCell ref="F65:K65"/>
    <mergeCell ref="F100:K100"/>
    <mergeCell ref="F101:K101"/>
    <mergeCell ref="F105:K105"/>
    <mergeCell ref="F106:K106"/>
    <mergeCell ref="F107:K107"/>
    <mergeCell ref="F86:K86"/>
    <mergeCell ref="F87:K87"/>
    <mergeCell ref="F91:K91"/>
    <mergeCell ref="F92:K92"/>
    <mergeCell ref="F93:K93"/>
    <mergeCell ref="F128:K128"/>
    <mergeCell ref="F129:K129"/>
    <mergeCell ref="F133:K133"/>
    <mergeCell ref="F134:K134"/>
    <mergeCell ref="F135:K135"/>
    <mergeCell ref="F114:K114"/>
    <mergeCell ref="F115:K115"/>
    <mergeCell ref="F119:K119"/>
    <mergeCell ref="F120:K120"/>
    <mergeCell ref="F121:K121"/>
    <mergeCell ref="F156:K156"/>
    <mergeCell ref="F157:K157"/>
    <mergeCell ref="F161:K161"/>
    <mergeCell ref="F162:K162"/>
    <mergeCell ref="F163:K163"/>
    <mergeCell ref="F142:K142"/>
    <mergeCell ref="F143:K143"/>
    <mergeCell ref="F147:K147"/>
    <mergeCell ref="F148:K148"/>
    <mergeCell ref="F149:K149"/>
    <mergeCell ref="F184:K184"/>
    <mergeCell ref="F185:K185"/>
    <mergeCell ref="F189:K189"/>
    <mergeCell ref="F190:K190"/>
    <mergeCell ref="F191:K191"/>
    <mergeCell ref="F170:K170"/>
    <mergeCell ref="F171:K171"/>
    <mergeCell ref="F175:K175"/>
    <mergeCell ref="F176:K176"/>
    <mergeCell ref="F177:K177"/>
    <mergeCell ref="F212:K212"/>
    <mergeCell ref="F213:K213"/>
    <mergeCell ref="F217:K217"/>
    <mergeCell ref="F218:K218"/>
    <mergeCell ref="F219:K219"/>
    <mergeCell ref="F198:K198"/>
    <mergeCell ref="F199:K199"/>
    <mergeCell ref="F203:K203"/>
    <mergeCell ref="F204:K204"/>
    <mergeCell ref="F205:K205"/>
    <mergeCell ref="F240:K240"/>
    <mergeCell ref="F241:K241"/>
    <mergeCell ref="F245:K245"/>
    <mergeCell ref="F246:K246"/>
    <mergeCell ref="F247:K247"/>
    <mergeCell ref="F226:K226"/>
    <mergeCell ref="F227:K227"/>
    <mergeCell ref="F231:K231"/>
    <mergeCell ref="F232:K232"/>
    <mergeCell ref="F233:K233"/>
    <mergeCell ref="F268:K268"/>
    <mergeCell ref="F269:K269"/>
    <mergeCell ref="F273:K273"/>
    <mergeCell ref="F274:K274"/>
    <mergeCell ref="F275:K275"/>
    <mergeCell ref="F254:K254"/>
    <mergeCell ref="F255:K255"/>
    <mergeCell ref="F259:K259"/>
    <mergeCell ref="F260:K260"/>
    <mergeCell ref="F261:K261"/>
    <mergeCell ref="F296:K296"/>
    <mergeCell ref="F297:K297"/>
    <mergeCell ref="F301:K301"/>
    <mergeCell ref="F302:K302"/>
    <mergeCell ref="F303:K303"/>
    <mergeCell ref="F282:K282"/>
    <mergeCell ref="F283:K283"/>
    <mergeCell ref="F287:K287"/>
    <mergeCell ref="F288:K288"/>
    <mergeCell ref="F289:K289"/>
    <mergeCell ref="F324:K324"/>
    <mergeCell ref="F325:K325"/>
    <mergeCell ref="F329:K329"/>
    <mergeCell ref="F330:K330"/>
    <mergeCell ref="F331:K331"/>
    <mergeCell ref="F310:K310"/>
    <mergeCell ref="F311:K311"/>
    <mergeCell ref="F315:K315"/>
    <mergeCell ref="F316:K316"/>
    <mergeCell ref="F317:K317"/>
    <mergeCell ref="F352:K352"/>
    <mergeCell ref="F353:K353"/>
    <mergeCell ref="F357:K357"/>
    <mergeCell ref="F358:K358"/>
    <mergeCell ref="F359:K359"/>
    <mergeCell ref="F338:K338"/>
    <mergeCell ref="F339:K339"/>
    <mergeCell ref="F343:K343"/>
    <mergeCell ref="F344:K344"/>
    <mergeCell ref="F345:K345"/>
    <mergeCell ref="F380:K380"/>
    <mergeCell ref="F381:K381"/>
    <mergeCell ref="F385:K385"/>
    <mergeCell ref="F386:K386"/>
    <mergeCell ref="F387:K387"/>
    <mergeCell ref="F366:K366"/>
    <mergeCell ref="F367:K367"/>
    <mergeCell ref="F371:K371"/>
    <mergeCell ref="F372:K372"/>
    <mergeCell ref="F373:K373"/>
    <mergeCell ref="F422:K422"/>
    <mergeCell ref="F423:K423"/>
    <mergeCell ref="F408:K408"/>
    <mergeCell ref="F409:K409"/>
    <mergeCell ref="F413:K413"/>
    <mergeCell ref="F414:K414"/>
    <mergeCell ref="F415:K415"/>
    <mergeCell ref="F394:K394"/>
    <mergeCell ref="F395:K395"/>
    <mergeCell ref="F399:K399"/>
    <mergeCell ref="F400:K400"/>
    <mergeCell ref="F401:K401"/>
  </mergeCells>
  <phoneticPr fontId="1"/>
  <conditionalFormatting sqref="C7">
    <cfRule type="containsBlanks" dxfId="1285" priority="1735">
      <formula>LEN(TRIM(C7))=0</formula>
    </cfRule>
  </conditionalFormatting>
  <conditionalFormatting sqref="C21">
    <cfRule type="containsBlanks" dxfId="1284" priority="1219">
      <formula>LEN(TRIM(C21))=0</formula>
    </cfRule>
  </conditionalFormatting>
  <conditionalFormatting sqref="C35">
    <cfRule type="containsBlanks" dxfId="1283" priority="1210">
      <formula>LEN(TRIM(C35))=0</formula>
    </cfRule>
  </conditionalFormatting>
  <conditionalFormatting sqref="C49">
    <cfRule type="containsBlanks" dxfId="1282" priority="1204">
      <formula>LEN(TRIM(C49))=0</formula>
    </cfRule>
  </conditionalFormatting>
  <conditionalFormatting sqref="C63">
    <cfRule type="containsBlanks" dxfId="1281" priority="1198">
      <formula>LEN(TRIM(C63))=0</formula>
    </cfRule>
  </conditionalFormatting>
  <conditionalFormatting sqref="C77">
    <cfRule type="containsBlanks" dxfId="1280" priority="1192">
      <formula>LEN(TRIM(C77))=0</formula>
    </cfRule>
  </conditionalFormatting>
  <conditionalFormatting sqref="C91">
    <cfRule type="containsBlanks" dxfId="1279" priority="1186">
      <formula>LEN(TRIM(C91))=0</formula>
    </cfRule>
  </conditionalFormatting>
  <conditionalFormatting sqref="C105">
    <cfRule type="containsBlanks" dxfId="1278" priority="1180">
      <formula>LEN(TRIM(C105))=0</formula>
    </cfRule>
  </conditionalFormatting>
  <conditionalFormatting sqref="C119">
    <cfRule type="containsBlanks" dxfId="1277" priority="1174">
      <formula>LEN(TRIM(C119))=0</formula>
    </cfRule>
  </conditionalFormatting>
  <conditionalFormatting sqref="C133">
    <cfRule type="containsBlanks" dxfId="1276" priority="1168">
      <formula>LEN(TRIM(C133))=0</formula>
    </cfRule>
  </conditionalFormatting>
  <conditionalFormatting sqref="C147">
    <cfRule type="containsBlanks" dxfId="1275" priority="1162">
      <formula>LEN(TRIM(C147))=0</formula>
    </cfRule>
  </conditionalFormatting>
  <conditionalFormatting sqref="C161">
    <cfRule type="containsBlanks" dxfId="1274" priority="1156">
      <formula>LEN(TRIM(C161))=0</formula>
    </cfRule>
  </conditionalFormatting>
  <conditionalFormatting sqref="C175">
    <cfRule type="containsBlanks" dxfId="1273" priority="1150">
      <formula>LEN(TRIM(C175))=0</formula>
    </cfRule>
  </conditionalFormatting>
  <conditionalFormatting sqref="C189">
    <cfRule type="containsBlanks" dxfId="1272" priority="1144">
      <formula>LEN(TRIM(C189))=0</formula>
    </cfRule>
  </conditionalFormatting>
  <conditionalFormatting sqref="C203">
    <cfRule type="containsBlanks" dxfId="1271" priority="1138">
      <formula>LEN(TRIM(C203))=0</formula>
    </cfRule>
  </conditionalFormatting>
  <conditionalFormatting sqref="C217">
    <cfRule type="containsBlanks" dxfId="1270" priority="1132">
      <formula>LEN(TRIM(C217))=0</formula>
    </cfRule>
  </conditionalFormatting>
  <conditionalFormatting sqref="C231">
    <cfRule type="containsBlanks" dxfId="1269" priority="1126">
      <formula>LEN(TRIM(C231))=0</formula>
    </cfRule>
  </conditionalFormatting>
  <conditionalFormatting sqref="C245">
    <cfRule type="containsBlanks" dxfId="1268" priority="1120">
      <formula>LEN(TRIM(C245))=0</formula>
    </cfRule>
  </conditionalFormatting>
  <conditionalFormatting sqref="C259">
    <cfRule type="containsBlanks" dxfId="1267" priority="1114">
      <formula>LEN(TRIM(C259))=0</formula>
    </cfRule>
  </conditionalFormatting>
  <conditionalFormatting sqref="C273">
    <cfRule type="containsBlanks" dxfId="1266" priority="1108">
      <formula>LEN(TRIM(C273))=0</formula>
    </cfRule>
  </conditionalFormatting>
  <conditionalFormatting sqref="C287">
    <cfRule type="containsBlanks" dxfId="1265" priority="1102">
      <formula>LEN(TRIM(C287))=0</formula>
    </cfRule>
  </conditionalFormatting>
  <conditionalFormatting sqref="C301">
    <cfRule type="containsBlanks" dxfId="1264" priority="1096">
      <formula>LEN(TRIM(C301))=0</formula>
    </cfRule>
  </conditionalFormatting>
  <conditionalFormatting sqref="C315">
    <cfRule type="containsBlanks" dxfId="1263" priority="1090">
      <formula>LEN(TRIM(C315))=0</formula>
    </cfRule>
  </conditionalFormatting>
  <conditionalFormatting sqref="C329">
    <cfRule type="containsBlanks" dxfId="1262" priority="1084">
      <formula>LEN(TRIM(C329))=0</formula>
    </cfRule>
  </conditionalFormatting>
  <conditionalFormatting sqref="C343">
    <cfRule type="containsBlanks" dxfId="1261" priority="1078">
      <formula>LEN(TRIM(C343))=0</formula>
    </cfRule>
  </conditionalFormatting>
  <conditionalFormatting sqref="C357">
    <cfRule type="containsBlanks" dxfId="1260" priority="1072">
      <formula>LEN(TRIM(C357))=0</formula>
    </cfRule>
  </conditionalFormatting>
  <conditionalFormatting sqref="C371">
    <cfRule type="containsBlanks" dxfId="1259" priority="1066">
      <formula>LEN(TRIM(C371))=0</formula>
    </cfRule>
  </conditionalFormatting>
  <conditionalFormatting sqref="C385">
    <cfRule type="containsBlanks" dxfId="1258" priority="1060">
      <formula>LEN(TRIM(C385))=0</formula>
    </cfRule>
  </conditionalFormatting>
  <conditionalFormatting sqref="C399">
    <cfRule type="containsBlanks" dxfId="1257" priority="1054">
      <formula>LEN(TRIM(C399))=0</formula>
    </cfRule>
  </conditionalFormatting>
  <conditionalFormatting sqref="C413">
    <cfRule type="containsBlanks" dxfId="1256" priority="1048">
      <formula>LEN(TRIM(C413))=0</formula>
    </cfRule>
  </conditionalFormatting>
  <conditionalFormatting sqref="C14:D14">
    <cfRule type="expression" dxfId="1255" priority="206">
      <formula>$E16="懸念事項"</formula>
    </cfRule>
  </conditionalFormatting>
  <conditionalFormatting sqref="C28:D28">
    <cfRule type="expression" dxfId="1254" priority="203">
      <formula>$E30="懸念事項"</formula>
    </cfRule>
  </conditionalFormatting>
  <conditionalFormatting sqref="C42:D42">
    <cfRule type="expression" dxfId="1253" priority="200">
      <formula>$E44="懸念事項"</formula>
    </cfRule>
  </conditionalFormatting>
  <conditionalFormatting sqref="C56:D56">
    <cfRule type="expression" dxfId="1252" priority="197">
      <formula>$E58="懸念事項"</formula>
    </cfRule>
  </conditionalFormatting>
  <conditionalFormatting sqref="C70:D70">
    <cfRule type="expression" dxfId="1251" priority="194">
      <formula>$E72="懸念事項"</formula>
    </cfRule>
  </conditionalFormatting>
  <conditionalFormatting sqref="C84:D84">
    <cfRule type="expression" dxfId="1250" priority="191">
      <formula>$E86="懸念事項"</formula>
    </cfRule>
  </conditionalFormatting>
  <conditionalFormatting sqref="C98:D98">
    <cfRule type="expression" dxfId="1249" priority="188">
      <formula>$E100="懸念事項"</formula>
    </cfRule>
  </conditionalFormatting>
  <conditionalFormatting sqref="C112:D112">
    <cfRule type="expression" dxfId="1248" priority="185">
      <formula>$E114="懸念事項"</formula>
    </cfRule>
  </conditionalFormatting>
  <conditionalFormatting sqref="C126:D126">
    <cfRule type="expression" dxfId="1247" priority="182">
      <formula>$E128="懸念事項"</formula>
    </cfRule>
  </conditionalFormatting>
  <conditionalFormatting sqref="C140:D140">
    <cfRule type="expression" dxfId="1246" priority="179">
      <formula>$E142="懸念事項"</formula>
    </cfRule>
  </conditionalFormatting>
  <conditionalFormatting sqref="C154:D154">
    <cfRule type="expression" dxfId="1245" priority="176">
      <formula>$E156="懸念事項"</formula>
    </cfRule>
  </conditionalFormatting>
  <conditionalFormatting sqref="C168:D168">
    <cfRule type="expression" dxfId="1244" priority="173">
      <formula>$E170="懸念事項"</formula>
    </cfRule>
  </conditionalFormatting>
  <conditionalFormatting sqref="C182:D182">
    <cfRule type="expression" dxfId="1243" priority="170">
      <formula>$E184="懸念事項"</formula>
    </cfRule>
  </conditionalFormatting>
  <conditionalFormatting sqref="C196:D196">
    <cfRule type="expression" dxfId="1242" priority="167">
      <formula>$E198="懸念事項"</formula>
    </cfRule>
  </conditionalFormatting>
  <conditionalFormatting sqref="C210:D210">
    <cfRule type="expression" dxfId="1241" priority="164">
      <formula>$E212="懸念事項"</formula>
    </cfRule>
  </conditionalFormatting>
  <conditionalFormatting sqref="C224:D224">
    <cfRule type="expression" dxfId="1240" priority="161">
      <formula>$E226="懸念事項"</formula>
    </cfRule>
  </conditionalFormatting>
  <conditionalFormatting sqref="C238:D238">
    <cfRule type="expression" dxfId="1239" priority="158">
      <formula>$E240="懸念事項"</formula>
    </cfRule>
  </conditionalFormatting>
  <conditionalFormatting sqref="C252:D252">
    <cfRule type="expression" dxfId="1238" priority="155">
      <formula>$E254="懸念事項"</formula>
    </cfRule>
  </conditionalFormatting>
  <conditionalFormatting sqref="C266:D266">
    <cfRule type="expression" dxfId="1237" priority="152">
      <formula>$E268="懸念事項"</formula>
    </cfRule>
  </conditionalFormatting>
  <conditionalFormatting sqref="C280:D280">
    <cfRule type="expression" dxfId="1236" priority="149">
      <formula>$E282="懸念事項"</formula>
    </cfRule>
  </conditionalFormatting>
  <conditionalFormatting sqref="C294:D294">
    <cfRule type="expression" dxfId="1235" priority="146">
      <formula>$E296="懸念事項"</formula>
    </cfRule>
  </conditionalFormatting>
  <conditionalFormatting sqref="C308:D308">
    <cfRule type="expression" dxfId="1234" priority="143">
      <formula>$E310="懸念事項"</formula>
    </cfRule>
  </conditionalFormatting>
  <conditionalFormatting sqref="C322:D322">
    <cfRule type="expression" dxfId="1233" priority="140">
      <formula>$E324="懸念事項"</formula>
    </cfRule>
  </conditionalFormatting>
  <conditionalFormatting sqref="C336:D336">
    <cfRule type="expression" dxfId="1232" priority="137">
      <formula>$E338="懸念事項"</formula>
    </cfRule>
  </conditionalFormatting>
  <conditionalFormatting sqref="C350:D350">
    <cfRule type="expression" dxfId="1231" priority="134">
      <formula>$E352="懸念事項"</formula>
    </cfRule>
  </conditionalFormatting>
  <conditionalFormatting sqref="C364:D364">
    <cfRule type="expression" dxfId="1230" priority="131">
      <formula>$E366="懸念事項"</formula>
    </cfRule>
  </conditionalFormatting>
  <conditionalFormatting sqref="C378:D378">
    <cfRule type="expression" dxfId="1229" priority="128">
      <formula>$E380="懸念事項"</formula>
    </cfRule>
  </conditionalFormatting>
  <conditionalFormatting sqref="C392:D392">
    <cfRule type="expression" dxfId="1228" priority="125">
      <formula>$E394="懸念事項"</formula>
    </cfRule>
  </conditionalFormatting>
  <conditionalFormatting sqref="C406:D406">
    <cfRule type="expression" dxfId="1227" priority="122">
      <formula>$E408="懸念事項"</formula>
    </cfRule>
  </conditionalFormatting>
  <conditionalFormatting sqref="C420:D420">
    <cfRule type="expression" dxfId="1226" priority="119">
      <formula>$E422="懸念事項"</formula>
    </cfRule>
  </conditionalFormatting>
  <conditionalFormatting sqref="C10:K14">
    <cfRule type="expression" dxfId="1225" priority="579">
      <formula>$R10=""</formula>
    </cfRule>
  </conditionalFormatting>
  <conditionalFormatting sqref="C24:K28">
    <cfRule type="expression" dxfId="1224" priority="205">
      <formula>$R24=""</formula>
    </cfRule>
  </conditionalFormatting>
  <conditionalFormatting sqref="C38:K42">
    <cfRule type="expression" dxfId="1223" priority="202">
      <formula>$R38=""</formula>
    </cfRule>
  </conditionalFormatting>
  <conditionalFormatting sqref="C52:K56">
    <cfRule type="expression" dxfId="1222" priority="199">
      <formula>$R52=""</formula>
    </cfRule>
  </conditionalFormatting>
  <conditionalFormatting sqref="C66:K70">
    <cfRule type="expression" dxfId="1221" priority="196">
      <formula>$R66=""</formula>
    </cfRule>
  </conditionalFormatting>
  <conditionalFormatting sqref="C80:K84">
    <cfRule type="expression" dxfId="1220" priority="193">
      <formula>$R80=""</formula>
    </cfRule>
  </conditionalFormatting>
  <conditionalFormatting sqref="C94:K98">
    <cfRule type="expression" dxfId="1219" priority="190">
      <formula>$R94=""</formula>
    </cfRule>
  </conditionalFormatting>
  <conditionalFormatting sqref="C108:K112">
    <cfRule type="expression" dxfId="1218" priority="187">
      <formula>$R108=""</formula>
    </cfRule>
  </conditionalFormatting>
  <conditionalFormatting sqref="C122:K126">
    <cfRule type="expression" dxfId="1217" priority="184">
      <formula>$R122=""</formula>
    </cfRule>
  </conditionalFormatting>
  <conditionalFormatting sqref="C136:K140">
    <cfRule type="expression" dxfId="1216" priority="181">
      <formula>$R136=""</formula>
    </cfRule>
  </conditionalFormatting>
  <conditionalFormatting sqref="C150:K154">
    <cfRule type="expression" dxfId="1215" priority="178">
      <formula>$R150=""</formula>
    </cfRule>
  </conditionalFormatting>
  <conditionalFormatting sqref="C164:K168">
    <cfRule type="expression" dxfId="1214" priority="175">
      <formula>$R164=""</formula>
    </cfRule>
  </conditionalFormatting>
  <conditionalFormatting sqref="C178:K182">
    <cfRule type="expression" dxfId="1213" priority="172">
      <formula>$R178=""</formula>
    </cfRule>
  </conditionalFormatting>
  <conditionalFormatting sqref="C192:K196">
    <cfRule type="expression" dxfId="1212" priority="169">
      <formula>$R192=""</formula>
    </cfRule>
  </conditionalFormatting>
  <conditionalFormatting sqref="C206:K210">
    <cfRule type="expression" dxfId="1211" priority="166">
      <formula>$R206=""</formula>
    </cfRule>
  </conditionalFormatting>
  <conditionalFormatting sqref="C220:K224">
    <cfRule type="expression" dxfId="1210" priority="163">
      <formula>$R220=""</formula>
    </cfRule>
  </conditionalFormatting>
  <conditionalFormatting sqref="C234:K238">
    <cfRule type="expression" dxfId="1209" priority="160">
      <formula>$R234=""</formula>
    </cfRule>
  </conditionalFormatting>
  <conditionalFormatting sqref="C248:K252">
    <cfRule type="expression" dxfId="1208" priority="157">
      <formula>$R248=""</formula>
    </cfRule>
  </conditionalFormatting>
  <conditionalFormatting sqref="C262:K266">
    <cfRule type="expression" dxfId="1207" priority="154">
      <formula>$R262=""</formula>
    </cfRule>
  </conditionalFormatting>
  <conditionalFormatting sqref="C276:K280">
    <cfRule type="expression" dxfId="1206" priority="151">
      <formula>$R276=""</formula>
    </cfRule>
  </conditionalFormatting>
  <conditionalFormatting sqref="C290:K294">
    <cfRule type="expression" dxfId="1205" priority="148">
      <formula>$R290=""</formula>
    </cfRule>
  </conditionalFormatting>
  <conditionalFormatting sqref="C304:K308">
    <cfRule type="expression" dxfId="1204" priority="145">
      <formula>$R304=""</formula>
    </cfRule>
  </conditionalFormatting>
  <conditionalFormatting sqref="C318:K322">
    <cfRule type="expression" dxfId="1203" priority="142">
      <formula>$R318=""</formula>
    </cfRule>
  </conditionalFormatting>
  <conditionalFormatting sqref="C332:K336">
    <cfRule type="expression" dxfId="1202" priority="139">
      <formula>$R332=""</formula>
    </cfRule>
  </conditionalFormatting>
  <conditionalFormatting sqref="C346:K350">
    <cfRule type="expression" dxfId="1201" priority="136">
      <formula>$R346=""</formula>
    </cfRule>
  </conditionalFormatting>
  <conditionalFormatting sqref="C360:K364">
    <cfRule type="expression" dxfId="1200" priority="133">
      <formula>$R360=""</formula>
    </cfRule>
  </conditionalFormatting>
  <conditionalFormatting sqref="C374:K378">
    <cfRule type="expression" dxfId="1199" priority="130">
      <formula>$R374=""</formula>
    </cfRule>
  </conditionalFormatting>
  <conditionalFormatting sqref="C388:K392">
    <cfRule type="expression" dxfId="1198" priority="127">
      <formula>$R388=""</formula>
    </cfRule>
  </conditionalFormatting>
  <conditionalFormatting sqref="C402:K406">
    <cfRule type="expression" dxfId="1197" priority="124">
      <formula>$R402=""</formula>
    </cfRule>
  </conditionalFormatting>
  <conditionalFormatting sqref="C416:K420">
    <cfRule type="expression" dxfId="1196" priority="121">
      <formula>$R416=""</formula>
    </cfRule>
  </conditionalFormatting>
  <conditionalFormatting sqref="D7">
    <cfRule type="containsText" dxfId="1195" priority="577" operator="containsText" text="選択してください">
      <formula>NOT(ISERROR(SEARCH("選択してください",D7)))</formula>
    </cfRule>
  </conditionalFormatting>
  <conditionalFormatting sqref="D21">
    <cfRule type="containsText" dxfId="1194" priority="483" operator="containsText" text="選択してください">
      <formula>NOT(ISERROR(SEARCH("選択してください",D21)))</formula>
    </cfRule>
  </conditionalFormatting>
  <conditionalFormatting sqref="D35">
    <cfRule type="containsText" dxfId="1193" priority="482" operator="containsText" text="選択してください">
      <formula>NOT(ISERROR(SEARCH("選択してください",D35)))</formula>
    </cfRule>
  </conditionalFormatting>
  <conditionalFormatting sqref="D49">
    <cfRule type="containsText" dxfId="1192" priority="481" operator="containsText" text="選択してください">
      <formula>NOT(ISERROR(SEARCH("選択してください",D49)))</formula>
    </cfRule>
  </conditionalFormatting>
  <conditionalFormatting sqref="D63">
    <cfRule type="containsText" dxfId="1191" priority="480" operator="containsText" text="選択してください">
      <formula>NOT(ISERROR(SEARCH("選択してください",D63)))</formula>
    </cfRule>
  </conditionalFormatting>
  <conditionalFormatting sqref="D77">
    <cfRule type="containsText" dxfId="1190" priority="479" operator="containsText" text="選択してください">
      <formula>NOT(ISERROR(SEARCH("選択してください",D77)))</formula>
    </cfRule>
  </conditionalFormatting>
  <conditionalFormatting sqref="D91">
    <cfRule type="containsText" dxfId="1189" priority="478" operator="containsText" text="選択してください">
      <formula>NOT(ISERROR(SEARCH("選択してください",D91)))</formula>
    </cfRule>
  </conditionalFormatting>
  <conditionalFormatting sqref="D105">
    <cfRule type="containsText" dxfId="1188" priority="477" operator="containsText" text="選択してください">
      <formula>NOT(ISERROR(SEARCH("選択してください",D105)))</formula>
    </cfRule>
  </conditionalFormatting>
  <conditionalFormatting sqref="D119">
    <cfRule type="containsText" dxfId="1187" priority="476" operator="containsText" text="選択してください">
      <formula>NOT(ISERROR(SEARCH("選択してください",D119)))</formula>
    </cfRule>
  </conditionalFormatting>
  <conditionalFormatting sqref="D133">
    <cfRule type="containsText" dxfId="1186" priority="475" operator="containsText" text="選択してください">
      <formula>NOT(ISERROR(SEARCH("選択してください",D133)))</formula>
    </cfRule>
  </conditionalFormatting>
  <conditionalFormatting sqref="D147">
    <cfRule type="containsText" dxfId="1185" priority="474" operator="containsText" text="選択してください">
      <formula>NOT(ISERROR(SEARCH("選択してください",D147)))</formula>
    </cfRule>
  </conditionalFormatting>
  <conditionalFormatting sqref="D161">
    <cfRule type="containsText" dxfId="1184" priority="473" operator="containsText" text="選択してください">
      <formula>NOT(ISERROR(SEARCH("選択してください",D161)))</formula>
    </cfRule>
  </conditionalFormatting>
  <conditionalFormatting sqref="D175">
    <cfRule type="containsText" dxfId="1183" priority="472" operator="containsText" text="選択してください">
      <formula>NOT(ISERROR(SEARCH("選択してください",D175)))</formula>
    </cfRule>
  </conditionalFormatting>
  <conditionalFormatting sqref="D189">
    <cfRule type="containsText" dxfId="1182" priority="471" operator="containsText" text="選択してください">
      <formula>NOT(ISERROR(SEARCH("選択してください",D189)))</formula>
    </cfRule>
  </conditionalFormatting>
  <conditionalFormatting sqref="D203">
    <cfRule type="containsText" dxfId="1181" priority="470" operator="containsText" text="選択してください">
      <formula>NOT(ISERROR(SEARCH("選択してください",D203)))</formula>
    </cfRule>
  </conditionalFormatting>
  <conditionalFormatting sqref="D217">
    <cfRule type="containsText" dxfId="1180" priority="469" operator="containsText" text="選択してください">
      <formula>NOT(ISERROR(SEARCH("選択してください",D217)))</formula>
    </cfRule>
  </conditionalFormatting>
  <conditionalFormatting sqref="D231">
    <cfRule type="containsText" dxfId="1179" priority="468" operator="containsText" text="選択してください">
      <formula>NOT(ISERROR(SEARCH("選択してください",D231)))</formula>
    </cfRule>
  </conditionalFormatting>
  <conditionalFormatting sqref="D245">
    <cfRule type="containsText" dxfId="1178" priority="467" operator="containsText" text="選択してください">
      <formula>NOT(ISERROR(SEARCH("選択してください",D245)))</formula>
    </cfRule>
  </conditionalFormatting>
  <conditionalFormatting sqref="D259">
    <cfRule type="containsText" dxfId="1177" priority="466" operator="containsText" text="選択してください">
      <formula>NOT(ISERROR(SEARCH("選択してください",D259)))</formula>
    </cfRule>
  </conditionalFormatting>
  <conditionalFormatting sqref="D273">
    <cfRule type="containsText" dxfId="1176" priority="465" operator="containsText" text="選択してください">
      <formula>NOT(ISERROR(SEARCH("選択してください",D273)))</formula>
    </cfRule>
  </conditionalFormatting>
  <conditionalFormatting sqref="D287">
    <cfRule type="containsText" dxfId="1175" priority="464" operator="containsText" text="選択してください">
      <formula>NOT(ISERROR(SEARCH("選択してください",D287)))</formula>
    </cfRule>
  </conditionalFormatting>
  <conditionalFormatting sqref="D301">
    <cfRule type="containsText" dxfId="1174" priority="463" operator="containsText" text="選択してください">
      <formula>NOT(ISERROR(SEARCH("選択してください",D301)))</formula>
    </cfRule>
  </conditionalFormatting>
  <conditionalFormatting sqref="D315">
    <cfRule type="containsText" dxfId="1173" priority="462" operator="containsText" text="選択してください">
      <formula>NOT(ISERROR(SEARCH("選択してください",D315)))</formula>
    </cfRule>
  </conditionalFormatting>
  <conditionalFormatting sqref="D329">
    <cfRule type="containsText" dxfId="1172" priority="461" operator="containsText" text="選択してください">
      <formula>NOT(ISERROR(SEARCH("選択してください",D329)))</formula>
    </cfRule>
  </conditionalFormatting>
  <conditionalFormatting sqref="D343">
    <cfRule type="containsText" dxfId="1171" priority="460" operator="containsText" text="選択してください">
      <formula>NOT(ISERROR(SEARCH("選択してください",D343)))</formula>
    </cfRule>
  </conditionalFormatting>
  <conditionalFormatting sqref="D357">
    <cfRule type="containsText" dxfId="1170" priority="459" operator="containsText" text="選択してください">
      <formula>NOT(ISERROR(SEARCH("選択してください",D357)))</formula>
    </cfRule>
  </conditionalFormatting>
  <conditionalFormatting sqref="D371">
    <cfRule type="containsText" dxfId="1169" priority="458" operator="containsText" text="選択してください">
      <formula>NOT(ISERROR(SEARCH("選択してください",D371)))</formula>
    </cfRule>
  </conditionalFormatting>
  <conditionalFormatting sqref="D385">
    <cfRule type="containsText" dxfId="1168" priority="457" operator="containsText" text="選択してください">
      <formula>NOT(ISERROR(SEARCH("選択してください",D385)))</formula>
    </cfRule>
  </conditionalFormatting>
  <conditionalFormatting sqref="D399">
    <cfRule type="containsText" dxfId="1167" priority="456" operator="containsText" text="選択してください">
      <formula>NOT(ISERROR(SEARCH("選択してください",D399)))</formula>
    </cfRule>
  </conditionalFormatting>
  <conditionalFormatting sqref="D413">
    <cfRule type="containsText" dxfId="1166" priority="455" operator="containsText" text="選択してください">
      <formula>NOT(ISERROR(SEARCH("選択してください",D413)))</formula>
    </cfRule>
  </conditionalFormatting>
  <conditionalFormatting sqref="E30:E31">
    <cfRule type="containsBlanks" dxfId="1165" priority="1221">
      <formula>LEN(TRIM(E30))=0</formula>
    </cfRule>
  </conditionalFormatting>
  <conditionalFormatting sqref="E44:E45">
    <cfRule type="containsBlanks" dxfId="1164" priority="1212">
      <formula>LEN(TRIM(E44))=0</formula>
    </cfRule>
  </conditionalFormatting>
  <conditionalFormatting sqref="E58:E59">
    <cfRule type="containsBlanks" dxfId="1163" priority="1206">
      <formula>LEN(TRIM(E58))=0</formula>
    </cfRule>
  </conditionalFormatting>
  <conditionalFormatting sqref="E72:E73">
    <cfRule type="containsBlanks" dxfId="1162" priority="1200">
      <formula>LEN(TRIM(E72))=0</formula>
    </cfRule>
  </conditionalFormatting>
  <conditionalFormatting sqref="E86:E87">
    <cfRule type="containsBlanks" dxfId="1161" priority="1194">
      <formula>LEN(TRIM(E86))=0</formula>
    </cfRule>
  </conditionalFormatting>
  <conditionalFormatting sqref="E100:E101">
    <cfRule type="containsBlanks" dxfId="1160" priority="1188">
      <formula>LEN(TRIM(E100))=0</formula>
    </cfRule>
  </conditionalFormatting>
  <conditionalFormatting sqref="E114:E115">
    <cfRule type="containsBlanks" dxfId="1159" priority="1182">
      <formula>LEN(TRIM(E114))=0</formula>
    </cfRule>
  </conditionalFormatting>
  <conditionalFormatting sqref="E128:E129">
    <cfRule type="containsBlanks" dxfId="1158" priority="1176">
      <formula>LEN(TRIM(E128))=0</formula>
    </cfRule>
  </conditionalFormatting>
  <conditionalFormatting sqref="E142:E143">
    <cfRule type="containsBlanks" dxfId="1157" priority="1170">
      <formula>LEN(TRIM(E142))=0</formula>
    </cfRule>
  </conditionalFormatting>
  <conditionalFormatting sqref="E156:E157">
    <cfRule type="containsBlanks" dxfId="1156" priority="1164">
      <formula>LEN(TRIM(E156))=0</formula>
    </cfRule>
  </conditionalFormatting>
  <conditionalFormatting sqref="E170:E171">
    <cfRule type="containsBlanks" dxfId="1155" priority="1158">
      <formula>LEN(TRIM(E170))=0</formula>
    </cfRule>
  </conditionalFormatting>
  <conditionalFormatting sqref="E184:E185">
    <cfRule type="containsBlanks" dxfId="1154" priority="1152">
      <formula>LEN(TRIM(E184))=0</formula>
    </cfRule>
  </conditionalFormatting>
  <conditionalFormatting sqref="E198:E199">
    <cfRule type="containsBlanks" dxfId="1153" priority="1146">
      <formula>LEN(TRIM(E198))=0</formula>
    </cfRule>
  </conditionalFormatting>
  <conditionalFormatting sqref="E212:E213">
    <cfRule type="containsBlanks" dxfId="1152" priority="1140">
      <formula>LEN(TRIM(E212))=0</formula>
    </cfRule>
  </conditionalFormatting>
  <conditionalFormatting sqref="E226:E227">
    <cfRule type="containsBlanks" dxfId="1151" priority="1134">
      <formula>LEN(TRIM(E226))=0</formula>
    </cfRule>
  </conditionalFormatting>
  <conditionalFormatting sqref="E240:E241">
    <cfRule type="containsBlanks" dxfId="1150" priority="1128">
      <formula>LEN(TRIM(E240))=0</formula>
    </cfRule>
  </conditionalFormatting>
  <conditionalFormatting sqref="E254:E255">
    <cfRule type="containsBlanks" dxfId="1149" priority="1122">
      <formula>LEN(TRIM(E254))=0</formula>
    </cfRule>
  </conditionalFormatting>
  <conditionalFormatting sqref="E268:E269">
    <cfRule type="containsBlanks" dxfId="1148" priority="1116">
      <formula>LEN(TRIM(E268))=0</formula>
    </cfRule>
  </conditionalFormatting>
  <conditionalFormatting sqref="E282:E283">
    <cfRule type="containsBlanks" dxfId="1147" priority="1110">
      <formula>LEN(TRIM(E282))=0</formula>
    </cfRule>
  </conditionalFormatting>
  <conditionalFormatting sqref="E296:E297">
    <cfRule type="containsBlanks" dxfId="1146" priority="1104">
      <formula>LEN(TRIM(E296))=0</formula>
    </cfRule>
  </conditionalFormatting>
  <conditionalFormatting sqref="E310:E311">
    <cfRule type="containsBlanks" dxfId="1145" priority="1098">
      <formula>LEN(TRIM(E310))=0</formula>
    </cfRule>
  </conditionalFormatting>
  <conditionalFormatting sqref="E324:E325">
    <cfRule type="containsBlanks" dxfId="1144" priority="1092">
      <formula>LEN(TRIM(E324))=0</formula>
    </cfRule>
  </conditionalFormatting>
  <conditionalFormatting sqref="E338:E339">
    <cfRule type="containsBlanks" dxfId="1143" priority="1086">
      <formula>LEN(TRIM(E338))=0</formula>
    </cfRule>
  </conditionalFormatting>
  <conditionalFormatting sqref="E352:E353">
    <cfRule type="containsBlanks" dxfId="1142" priority="1080">
      <formula>LEN(TRIM(E352))=0</formula>
    </cfRule>
  </conditionalFormatting>
  <conditionalFormatting sqref="E366:E367">
    <cfRule type="containsBlanks" dxfId="1141" priority="1074">
      <formula>LEN(TRIM(E366))=0</formula>
    </cfRule>
  </conditionalFormatting>
  <conditionalFormatting sqref="E380:E381">
    <cfRule type="containsBlanks" dxfId="1140" priority="1068">
      <formula>LEN(TRIM(E380))=0</formula>
    </cfRule>
  </conditionalFormatting>
  <conditionalFormatting sqref="E394:E395">
    <cfRule type="containsBlanks" dxfId="1139" priority="1062">
      <formula>LEN(TRIM(E394))=0</formula>
    </cfRule>
  </conditionalFormatting>
  <conditionalFormatting sqref="E408:E409">
    <cfRule type="containsBlanks" dxfId="1138" priority="1056">
      <formula>LEN(TRIM(E408))=0</formula>
    </cfRule>
  </conditionalFormatting>
  <conditionalFormatting sqref="E422:E423">
    <cfRule type="containsBlanks" dxfId="1137" priority="1050">
      <formula>LEN(TRIM(E422))=0</formula>
    </cfRule>
  </conditionalFormatting>
  <conditionalFormatting sqref="E11:K14">
    <cfRule type="notContainsBlanks" dxfId="1136" priority="454">
      <formula>LEN(TRIM(E11))&gt;0</formula>
    </cfRule>
  </conditionalFormatting>
  <conditionalFormatting sqref="E25:K28">
    <cfRule type="notContainsBlanks" dxfId="1135" priority="204">
      <formula>LEN(TRIM(E25))&gt;0</formula>
    </cfRule>
  </conditionalFormatting>
  <conditionalFormatting sqref="E39:K42">
    <cfRule type="notContainsBlanks" dxfId="1134" priority="201">
      <formula>LEN(TRIM(E39))&gt;0</formula>
    </cfRule>
  </conditionalFormatting>
  <conditionalFormatting sqref="E53:K56">
    <cfRule type="notContainsBlanks" dxfId="1133" priority="198">
      <formula>LEN(TRIM(E53))&gt;0</formula>
    </cfRule>
  </conditionalFormatting>
  <conditionalFormatting sqref="E67:K70">
    <cfRule type="notContainsBlanks" dxfId="1132" priority="195">
      <formula>LEN(TRIM(E67))&gt;0</formula>
    </cfRule>
  </conditionalFormatting>
  <conditionalFormatting sqref="E81:K84">
    <cfRule type="notContainsBlanks" dxfId="1131" priority="192">
      <formula>LEN(TRIM(E81))&gt;0</formula>
    </cfRule>
  </conditionalFormatting>
  <conditionalFormatting sqref="E95:K98">
    <cfRule type="notContainsBlanks" dxfId="1130" priority="189">
      <formula>LEN(TRIM(E95))&gt;0</formula>
    </cfRule>
  </conditionalFormatting>
  <conditionalFormatting sqref="E109:K112">
    <cfRule type="notContainsBlanks" dxfId="1129" priority="186">
      <formula>LEN(TRIM(E109))&gt;0</formula>
    </cfRule>
  </conditionalFormatting>
  <conditionalFormatting sqref="E123:K126">
    <cfRule type="notContainsBlanks" dxfId="1128" priority="183">
      <formula>LEN(TRIM(E123))&gt;0</formula>
    </cfRule>
  </conditionalFormatting>
  <conditionalFormatting sqref="E137:K140">
    <cfRule type="notContainsBlanks" dxfId="1127" priority="180">
      <formula>LEN(TRIM(E137))&gt;0</formula>
    </cfRule>
  </conditionalFormatting>
  <conditionalFormatting sqref="E151:K154">
    <cfRule type="notContainsBlanks" dxfId="1126" priority="177">
      <formula>LEN(TRIM(E151))&gt;0</formula>
    </cfRule>
  </conditionalFormatting>
  <conditionalFormatting sqref="E165:K168">
    <cfRule type="notContainsBlanks" dxfId="1125" priority="174">
      <formula>LEN(TRIM(E165))&gt;0</formula>
    </cfRule>
  </conditionalFormatting>
  <conditionalFormatting sqref="E179:K182">
    <cfRule type="notContainsBlanks" dxfId="1124" priority="171">
      <formula>LEN(TRIM(E179))&gt;0</formula>
    </cfRule>
  </conditionalFormatting>
  <conditionalFormatting sqref="E193:K196">
    <cfRule type="notContainsBlanks" dxfId="1123" priority="168">
      <formula>LEN(TRIM(E193))&gt;0</formula>
    </cfRule>
  </conditionalFormatting>
  <conditionalFormatting sqref="E207:K210">
    <cfRule type="notContainsBlanks" dxfId="1122" priority="165">
      <formula>LEN(TRIM(E207))&gt;0</formula>
    </cfRule>
  </conditionalFormatting>
  <conditionalFormatting sqref="E221:K224">
    <cfRule type="notContainsBlanks" dxfId="1121" priority="162">
      <formula>LEN(TRIM(E221))&gt;0</formula>
    </cfRule>
  </conditionalFormatting>
  <conditionalFormatting sqref="E235:K238">
    <cfRule type="notContainsBlanks" dxfId="1120" priority="159">
      <formula>LEN(TRIM(E235))&gt;0</formula>
    </cfRule>
  </conditionalFormatting>
  <conditionalFormatting sqref="E249:K252">
    <cfRule type="notContainsBlanks" dxfId="1119" priority="156">
      <formula>LEN(TRIM(E249))&gt;0</formula>
    </cfRule>
  </conditionalFormatting>
  <conditionalFormatting sqref="E263:K266">
    <cfRule type="notContainsBlanks" dxfId="1118" priority="153">
      <formula>LEN(TRIM(E263))&gt;0</formula>
    </cfRule>
  </conditionalFormatting>
  <conditionalFormatting sqref="E277:K280">
    <cfRule type="notContainsBlanks" dxfId="1117" priority="150">
      <formula>LEN(TRIM(E277))&gt;0</formula>
    </cfRule>
  </conditionalFormatting>
  <conditionalFormatting sqref="E291:K294">
    <cfRule type="notContainsBlanks" dxfId="1116" priority="147">
      <formula>LEN(TRIM(E291))&gt;0</formula>
    </cfRule>
  </conditionalFormatting>
  <conditionalFormatting sqref="E305:K308">
    <cfRule type="notContainsBlanks" dxfId="1115" priority="144">
      <formula>LEN(TRIM(E305))&gt;0</formula>
    </cfRule>
  </conditionalFormatting>
  <conditionalFormatting sqref="E319:K322">
    <cfRule type="notContainsBlanks" dxfId="1114" priority="141">
      <formula>LEN(TRIM(E319))&gt;0</formula>
    </cfRule>
  </conditionalFormatting>
  <conditionalFormatting sqref="E333:K336">
    <cfRule type="notContainsBlanks" dxfId="1113" priority="138">
      <formula>LEN(TRIM(E333))&gt;0</formula>
    </cfRule>
  </conditionalFormatting>
  <conditionalFormatting sqref="E347:K350">
    <cfRule type="notContainsBlanks" dxfId="1112" priority="135">
      <formula>LEN(TRIM(E347))&gt;0</formula>
    </cfRule>
  </conditionalFormatting>
  <conditionalFormatting sqref="E361:K364">
    <cfRule type="notContainsBlanks" dxfId="1111" priority="132">
      <formula>LEN(TRIM(E361))&gt;0</formula>
    </cfRule>
  </conditionalFormatting>
  <conditionalFormatting sqref="E375:K378">
    <cfRule type="notContainsBlanks" dxfId="1110" priority="129">
      <formula>LEN(TRIM(E375))&gt;0</formula>
    </cfRule>
  </conditionalFormatting>
  <conditionalFormatting sqref="E389:K392">
    <cfRule type="notContainsBlanks" dxfId="1109" priority="126">
      <formula>LEN(TRIM(E389))&gt;0</formula>
    </cfRule>
  </conditionalFormatting>
  <conditionalFormatting sqref="E403:K406">
    <cfRule type="notContainsBlanks" dxfId="1108" priority="123">
      <formula>LEN(TRIM(E403))&gt;0</formula>
    </cfRule>
  </conditionalFormatting>
  <conditionalFormatting sqref="E417:K420">
    <cfRule type="notContainsBlanks" dxfId="1107" priority="120">
      <formula>LEN(TRIM(E417))&gt;0</formula>
    </cfRule>
  </conditionalFormatting>
  <conditionalFormatting sqref="F7:F9">
    <cfRule type="containsBlanks" dxfId="1106" priority="1736">
      <formula>LEN(TRIM(F7))=0</formula>
    </cfRule>
  </conditionalFormatting>
  <conditionalFormatting sqref="F21:F23">
    <cfRule type="containsBlanks" dxfId="1105" priority="861">
      <formula>LEN(TRIM(F21))=0</formula>
    </cfRule>
  </conditionalFormatting>
  <conditionalFormatting sqref="F35:F37">
    <cfRule type="containsBlanks" dxfId="1104" priority="859">
      <formula>LEN(TRIM(F35))=0</formula>
    </cfRule>
  </conditionalFormatting>
  <conditionalFormatting sqref="F49:F51">
    <cfRule type="containsBlanks" dxfId="1103" priority="857">
      <formula>LEN(TRIM(F49))=0</formula>
    </cfRule>
  </conditionalFormatting>
  <conditionalFormatting sqref="F63:F65">
    <cfRule type="containsBlanks" dxfId="1102" priority="855">
      <formula>LEN(TRIM(F63))=0</formula>
    </cfRule>
  </conditionalFormatting>
  <conditionalFormatting sqref="F77:F79">
    <cfRule type="containsBlanks" dxfId="1101" priority="853">
      <formula>LEN(TRIM(F77))=0</formula>
    </cfRule>
  </conditionalFormatting>
  <conditionalFormatting sqref="F91:F93">
    <cfRule type="containsBlanks" dxfId="1100" priority="851">
      <formula>LEN(TRIM(F91))=0</formula>
    </cfRule>
  </conditionalFormatting>
  <conditionalFormatting sqref="F105:F107">
    <cfRule type="containsBlanks" dxfId="1099" priority="849">
      <formula>LEN(TRIM(F105))=0</formula>
    </cfRule>
  </conditionalFormatting>
  <conditionalFormatting sqref="F119:F121">
    <cfRule type="containsBlanks" dxfId="1098" priority="847">
      <formula>LEN(TRIM(F119))=0</formula>
    </cfRule>
  </conditionalFormatting>
  <conditionalFormatting sqref="F133:F135">
    <cfRule type="containsBlanks" dxfId="1097" priority="845">
      <formula>LEN(TRIM(F133))=0</formula>
    </cfRule>
  </conditionalFormatting>
  <conditionalFormatting sqref="F147:F149">
    <cfRule type="containsBlanks" dxfId="1096" priority="843">
      <formula>LEN(TRIM(F147))=0</formula>
    </cfRule>
  </conditionalFormatting>
  <conditionalFormatting sqref="F161:F163">
    <cfRule type="containsBlanks" dxfId="1095" priority="841">
      <formula>LEN(TRIM(F161))=0</formula>
    </cfRule>
  </conditionalFormatting>
  <conditionalFormatting sqref="F175:F177">
    <cfRule type="containsBlanks" dxfId="1094" priority="839">
      <formula>LEN(TRIM(F175))=0</formula>
    </cfRule>
  </conditionalFormatting>
  <conditionalFormatting sqref="F189:F191">
    <cfRule type="containsBlanks" dxfId="1093" priority="837">
      <formula>LEN(TRIM(F189))=0</formula>
    </cfRule>
  </conditionalFormatting>
  <conditionalFormatting sqref="F203:F205">
    <cfRule type="containsBlanks" dxfId="1092" priority="835">
      <formula>LEN(TRIM(F203))=0</formula>
    </cfRule>
  </conditionalFormatting>
  <conditionalFormatting sqref="F217:F219">
    <cfRule type="containsBlanks" dxfId="1091" priority="833">
      <formula>LEN(TRIM(F217))=0</formula>
    </cfRule>
  </conditionalFormatting>
  <conditionalFormatting sqref="F231:F233">
    <cfRule type="containsBlanks" dxfId="1090" priority="831">
      <formula>LEN(TRIM(F231))=0</formula>
    </cfRule>
  </conditionalFormatting>
  <conditionalFormatting sqref="F245:F247">
    <cfRule type="containsBlanks" dxfId="1089" priority="829">
      <formula>LEN(TRIM(F245))=0</formula>
    </cfRule>
  </conditionalFormatting>
  <conditionalFormatting sqref="F259:F261">
    <cfRule type="containsBlanks" dxfId="1088" priority="827">
      <formula>LEN(TRIM(F259))=0</formula>
    </cfRule>
  </conditionalFormatting>
  <conditionalFormatting sqref="F273:F275">
    <cfRule type="containsBlanks" dxfId="1087" priority="825">
      <formula>LEN(TRIM(F273))=0</formula>
    </cfRule>
  </conditionalFormatting>
  <conditionalFormatting sqref="F287:F289">
    <cfRule type="containsBlanks" dxfId="1086" priority="823">
      <formula>LEN(TRIM(F287))=0</formula>
    </cfRule>
  </conditionalFormatting>
  <conditionalFormatting sqref="F301:F303">
    <cfRule type="containsBlanks" dxfId="1085" priority="821">
      <formula>LEN(TRIM(F301))=0</formula>
    </cfRule>
  </conditionalFormatting>
  <conditionalFormatting sqref="F315:F317">
    <cfRule type="containsBlanks" dxfId="1084" priority="819">
      <formula>LEN(TRIM(F315))=0</formula>
    </cfRule>
  </conditionalFormatting>
  <conditionalFormatting sqref="F329:F331">
    <cfRule type="containsBlanks" dxfId="1083" priority="817">
      <formula>LEN(TRIM(F329))=0</formula>
    </cfRule>
  </conditionalFormatting>
  <conditionalFormatting sqref="F343:F345">
    <cfRule type="containsBlanks" dxfId="1082" priority="815">
      <formula>LEN(TRIM(F343))=0</formula>
    </cfRule>
  </conditionalFormatting>
  <conditionalFormatting sqref="F357:F359">
    <cfRule type="containsBlanks" dxfId="1081" priority="813">
      <formula>LEN(TRIM(F357))=0</formula>
    </cfRule>
  </conditionalFormatting>
  <conditionalFormatting sqref="F371:F373">
    <cfRule type="containsBlanks" dxfId="1080" priority="811">
      <formula>LEN(TRIM(F371))=0</formula>
    </cfRule>
  </conditionalFormatting>
  <conditionalFormatting sqref="F385:F387">
    <cfRule type="containsBlanks" dxfId="1079" priority="809">
      <formula>LEN(TRIM(F385))=0</formula>
    </cfRule>
  </conditionalFormatting>
  <conditionalFormatting sqref="F399:F401">
    <cfRule type="containsBlanks" dxfId="1078" priority="807">
      <formula>LEN(TRIM(F399))=0</formula>
    </cfRule>
  </conditionalFormatting>
  <conditionalFormatting sqref="F413:F415">
    <cfRule type="containsBlanks" dxfId="1077" priority="805">
      <formula>LEN(TRIM(F413))=0</formula>
    </cfRule>
  </conditionalFormatting>
  <conditionalFormatting sqref="F7:K9">
    <cfRule type="expression" dxfId="1076" priority="868">
      <formula>$F7&lt;&gt;$R7</formula>
    </cfRule>
  </conditionalFormatting>
  <conditionalFormatting sqref="F16:K16">
    <cfRule type="expression" dxfId="1075" priority="1739">
      <formula>$C7&lt;&gt;""</formula>
    </cfRule>
  </conditionalFormatting>
  <conditionalFormatting sqref="F16:K17">
    <cfRule type="notContainsBlanks" dxfId="1074" priority="117">
      <formula>LEN(TRIM(F16))&gt;0</formula>
    </cfRule>
  </conditionalFormatting>
  <conditionalFormatting sqref="F17:K17">
    <cfRule type="expression" dxfId="1073" priority="1740">
      <formula>$C7&lt;&gt;""</formula>
    </cfRule>
  </conditionalFormatting>
  <conditionalFormatting sqref="F21:K23">
    <cfRule type="expression" dxfId="1072" priority="860">
      <formula>$F21&lt;&gt;$R21</formula>
    </cfRule>
  </conditionalFormatting>
  <conditionalFormatting sqref="F30:K30">
    <cfRule type="expression" dxfId="1071" priority="115">
      <formula>$C21&lt;&gt;""</formula>
    </cfRule>
  </conditionalFormatting>
  <conditionalFormatting sqref="F30:K31">
    <cfRule type="notContainsBlanks" dxfId="1070" priority="113">
      <formula>LEN(TRIM(F30))&gt;0</formula>
    </cfRule>
  </conditionalFormatting>
  <conditionalFormatting sqref="F31:K31">
    <cfRule type="expression" dxfId="1069" priority="116">
      <formula>$C21&lt;&gt;""</formula>
    </cfRule>
  </conditionalFormatting>
  <conditionalFormatting sqref="F35:K37">
    <cfRule type="expression" dxfId="1068" priority="858">
      <formula>$F35&lt;&gt;$R35</formula>
    </cfRule>
  </conditionalFormatting>
  <conditionalFormatting sqref="F44:K44">
    <cfRule type="expression" dxfId="1067" priority="111">
      <formula>$C35&lt;&gt;""</formula>
    </cfRule>
  </conditionalFormatting>
  <conditionalFormatting sqref="F44:K45">
    <cfRule type="notContainsBlanks" dxfId="1066" priority="109">
      <formula>LEN(TRIM(F44))&gt;0</formula>
    </cfRule>
  </conditionalFormatting>
  <conditionalFormatting sqref="F45:K45">
    <cfRule type="expression" dxfId="1065" priority="112">
      <formula>$C35&lt;&gt;""</formula>
    </cfRule>
  </conditionalFormatting>
  <conditionalFormatting sqref="F49:K51">
    <cfRule type="expression" dxfId="1064" priority="856">
      <formula>$F49&lt;&gt;$R49</formula>
    </cfRule>
  </conditionalFormatting>
  <conditionalFormatting sqref="F58:K58">
    <cfRule type="expression" dxfId="1063" priority="107">
      <formula>$C49&lt;&gt;""</formula>
    </cfRule>
  </conditionalFormatting>
  <conditionalFormatting sqref="F58:K59">
    <cfRule type="notContainsBlanks" dxfId="1062" priority="105">
      <formula>LEN(TRIM(F58))&gt;0</formula>
    </cfRule>
  </conditionalFormatting>
  <conditionalFormatting sqref="F59:K59">
    <cfRule type="expression" dxfId="1061" priority="108">
      <formula>$C49&lt;&gt;""</formula>
    </cfRule>
  </conditionalFormatting>
  <conditionalFormatting sqref="F63:K65">
    <cfRule type="expression" dxfId="1060" priority="854">
      <formula>$F63&lt;&gt;$R63</formula>
    </cfRule>
  </conditionalFormatting>
  <conditionalFormatting sqref="F72:K72">
    <cfRule type="expression" dxfId="1059" priority="103">
      <formula>$C63&lt;&gt;""</formula>
    </cfRule>
  </conditionalFormatting>
  <conditionalFormatting sqref="F72:K73">
    <cfRule type="notContainsBlanks" dxfId="1058" priority="101">
      <formula>LEN(TRIM(F72))&gt;0</formula>
    </cfRule>
  </conditionalFormatting>
  <conditionalFormatting sqref="F73:K73">
    <cfRule type="expression" dxfId="1057" priority="104">
      <formula>$C63&lt;&gt;""</formula>
    </cfRule>
  </conditionalFormatting>
  <conditionalFormatting sqref="F77:K79">
    <cfRule type="expression" dxfId="1056" priority="852">
      <formula>$F77&lt;&gt;$R77</formula>
    </cfRule>
  </conditionalFormatting>
  <conditionalFormatting sqref="F86:K86">
    <cfRule type="expression" dxfId="1055" priority="99">
      <formula>$C77&lt;&gt;""</formula>
    </cfRule>
  </conditionalFormatting>
  <conditionalFormatting sqref="F86:K87">
    <cfRule type="notContainsBlanks" dxfId="1054" priority="97">
      <formula>LEN(TRIM(F86))&gt;0</formula>
    </cfRule>
  </conditionalFormatting>
  <conditionalFormatting sqref="F87:K87">
    <cfRule type="expression" dxfId="1053" priority="100">
      <formula>$C77&lt;&gt;""</formula>
    </cfRule>
  </conditionalFormatting>
  <conditionalFormatting sqref="F91:K93">
    <cfRule type="expression" dxfId="1052" priority="850">
      <formula>$F91&lt;&gt;$R91</formula>
    </cfRule>
  </conditionalFormatting>
  <conditionalFormatting sqref="F100:K100">
    <cfRule type="expression" dxfId="1051" priority="95">
      <formula>$C91&lt;&gt;""</formula>
    </cfRule>
  </conditionalFormatting>
  <conditionalFormatting sqref="F100:K101">
    <cfRule type="notContainsBlanks" dxfId="1050" priority="93">
      <formula>LEN(TRIM(F100))&gt;0</formula>
    </cfRule>
  </conditionalFormatting>
  <conditionalFormatting sqref="F101:K101">
    <cfRule type="expression" dxfId="1049" priority="96">
      <formula>$C91&lt;&gt;""</formula>
    </cfRule>
  </conditionalFormatting>
  <conditionalFormatting sqref="F105:K107">
    <cfRule type="expression" dxfId="1048" priority="848">
      <formula>$F105&lt;&gt;$R105</formula>
    </cfRule>
  </conditionalFormatting>
  <conditionalFormatting sqref="F114:K114">
    <cfRule type="expression" dxfId="1047" priority="91">
      <formula>$C105&lt;&gt;""</formula>
    </cfRule>
  </conditionalFormatting>
  <conditionalFormatting sqref="F114:K115">
    <cfRule type="notContainsBlanks" dxfId="1046" priority="89">
      <formula>LEN(TRIM(F114))&gt;0</formula>
    </cfRule>
  </conditionalFormatting>
  <conditionalFormatting sqref="F115:K115">
    <cfRule type="expression" dxfId="1045" priority="92">
      <formula>$C105&lt;&gt;""</formula>
    </cfRule>
  </conditionalFormatting>
  <conditionalFormatting sqref="F119:K121">
    <cfRule type="expression" dxfId="1044" priority="846">
      <formula>$F119&lt;&gt;$R119</formula>
    </cfRule>
  </conditionalFormatting>
  <conditionalFormatting sqref="F128:K128">
    <cfRule type="expression" dxfId="1043" priority="87">
      <formula>$C119&lt;&gt;""</formula>
    </cfRule>
  </conditionalFormatting>
  <conditionalFormatting sqref="F128:K129">
    <cfRule type="notContainsBlanks" dxfId="1042" priority="85">
      <formula>LEN(TRIM(F128))&gt;0</formula>
    </cfRule>
  </conditionalFormatting>
  <conditionalFormatting sqref="F129:K129">
    <cfRule type="expression" dxfId="1041" priority="88">
      <formula>$C119&lt;&gt;""</formula>
    </cfRule>
  </conditionalFormatting>
  <conditionalFormatting sqref="F133:K135">
    <cfRule type="expression" dxfId="1040" priority="844">
      <formula>$F133&lt;&gt;$R133</formula>
    </cfRule>
  </conditionalFormatting>
  <conditionalFormatting sqref="F142:K142">
    <cfRule type="expression" dxfId="1039" priority="83">
      <formula>$C133&lt;&gt;""</formula>
    </cfRule>
  </conditionalFormatting>
  <conditionalFormatting sqref="F142:K143">
    <cfRule type="notContainsBlanks" dxfId="1038" priority="81">
      <formula>LEN(TRIM(F142))&gt;0</formula>
    </cfRule>
  </conditionalFormatting>
  <conditionalFormatting sqref="F143:K143">
    <cfRule type="expression" dxfId="1037" priority="84">
      <formula>$C133&lt;&gt;""</formula>
    </cfRule>
  </conditionalFormatting>
  <conditionalFormatting sqref="F147:K149">
    <cfRule type="expression" dxfId="1036" priority="842">
      <formula>$F147&lt;&gt;$R147</formula>
    </cfRule>
  </conditionalFormatting>
  <conditionalFormatting sqref="F156:K156">
    <cfRule type="expression" dxfId="1035" priority="79">
      <formula>$C147&lt;&gt;""</formula>
    </cfRule>
  </conditionalFormatting>
  <conditionalFormatting sqref="F156:K157">
    <cfRule type="notContainsBlanks" dxfId="1034" priority="77">
      <formula>LEN(TRIM(F156))&gt;0</formula>
    </cfRule>
  </conditionalFormatting>
  <conditionalFormatting sqref="F157:K157">
    <cfRule type="expression" dxfId="1033" priority="80">
      <formula>$C147&lt;&gt;""</formula>
    </cfRule>
  </conditionalFormatting>
  <conditionalFormatting sqref="F161:K163">
    <cfRule type="expression" dxfId="1032" priority="840">
      <formula>$F161&lt;&gt;$R161</formula>
    </cfRule>
  </conditionalFormatting>
  <conditionalFormatting sqref="F170:K170">
    <cfRule type="expression" dxfId="1031" priority="75">
      <formula>$C161&lt;&gt;""</formula>
    </cfRule>
  </conditionalFormatting>
  <conditionalFormatting sqref="F170:K171">
    <cfRule type="notContainsBlanks" dxfId="1030" priority="73">
      <formula>LEN(TRIM(F170))&gt;0</formula>
    </cfRule>
  </conditionalFormatting>
  <conditionalFormatting sqref="F171:K171">
    <cfRule type="expression" dxfId="1029" priority="76">
      <formula>$C161&lt;&gt;""</formula>
    </cfRule>
  </conditionalFormatting>
  <conditionalFormatting sqref="F175:K177">
    <cfRule type="expression" dxfId="1028" priority="838">
      <formula>$F175&lt;&gt;$R175</formula>
    </cfRule>
  </conditionalFormatting>
  <conditionalFormatting sqref="F184:K184">
    <cfRule type="expression" dxfId="1027" priority="71">
      <formula>$C175&lt;&gt;""</formula>
    </cfRule>
  </conditionalFormatting>
  <conditionalFormatting sqref="F184:K185">
    <cfRule type="notContainsBlanks" dxfId="1026" priority="69">
      <formula>LEN(TRIM(F184))&gt;0</formula>
    </cfRule>
  </conditionalFormatting>
  <conditionalFormatting sqref="F185:K185">
    <cfRule type="expression" dxfId="1025" priority="72">
      <formula>$C175&lt;&gt;""</formula>
    </cfRule>
  </conditionalFormatting>
  <conditionalFormatting sqref="F189:K191">
    <cfRule type="expression" dxfId="1024" priority="836">
      <formula>$F189&lt;&gt;$R189</formula>
    </cfRule>
  </conditionalFormatting>
  <conditionalFormatting sqref="F198:K198">
    <cfRule type="expression" dxfId="1023" priority="67">
      <formula>$C189&lt;&gt;""</formula>
    </cfRule>
  </conditionalFormatting>
  <conditionalFormatting sqref="F198:K199">
    <cfRule type="notContainsBlanks" dxfId="1022" priority="65">
      <formula>LEN(TRIM(F198))&gt;0</formula>
    </cfRule>
  </conditionalFormatting>
  <conditionalFormatting sqref="F199:K199">
    <cfRule type="expression" dxfId="1021" priority="68">
      <formula>$C189&lt;&gt;""</formula>
    </cfRule>
  </conditionalFormatting>
  <conditionalFormatting sqref="F203:K205">
    <cfRule type="expression" dxfId="1020" priority="834">
      <formula>$F203&lt;&gt;$R203</formula>
    </cfRule>
  </conditionalFormatting>
  <conditionalFormatting sqref="F212:K212">
    <cfRule type="expression" dxfId="1019" priority="63">
      <formula>$C203&lt;&gt;""</formula>
    </cfRule>
  </conditionalFormatting>
  <conditionalFormatting sqref="F212:K213">
    <cfRule type="notContainsBlanks" dxfId="1018" priority="61">
      <formula>LEN(TRIM(F212))&gt;0</formula>
    </cfRule>
  </conditionalFormatting>
  <conditionalFormatting sqref="F213:K213">
    <cfRule type="expression" dxfId="1017" priority="64">
      <formula>$C203&lt;&gt;""</formula>
    </cfRule>
  </conditionalFormatting>
  <conditionalFormatting sqref="F217:K219">
    <cfRule type="expression" dxfId="1016" priority="832">
      <formula>$F217&lt;&gt;$R217</formula>
    </cfRule>
  </conditionalFormatting>
  <conditionalFormatting sqref="F226:K226">
    <cfRule type="expression" dxfId="1015" priority="59">
      <formula>$C217&lt;&gt;""</formula>
    </cfRule>
  </conditionalFormatting>
  <conditionalFormatting sqref="F226:K227">
    <cfRule type="notContainsBlanks" dxfId="1014" priority="57">
      <formula>LEN(TRIM(F226))&gt;0</formula>
    </cfRule>
  </conditionalFormatting>
  <conditionalFormatting sqref="F227:K227">
    <cfRule type="expression" dxfId="1013" priority="60">
      <formula>$C217&lt;&gt;""</formula>
    </cfRule>
  </conditionalFormatting>
  <conditionalFormatting sqref="F231:K233">
    <cfRule type="expression" dxfId="1012" priority="830">
      <formula>$F231&lt;&gt;$R231</formula>
    </cfRule>
  </conditionalFormatting>
  <conditionalFormatting sqref="F240:K240">
    <cfRule type="expression" dxfId="1011" priority="55">
      <formula>$C231&lt;&gt;""</formula>
    </cfRule>
  </conditionalFormatting>
  <conditionalFormatting sqref="F240:K241">
    <cfRule type="notContainsBlanks" dxfId="1010" priority="53">
      <formula>LEN(TRIM(F240))&gt;0</formula>
    </cfRule>
  </conditionalFormatting>
  <conditionalFormatting sqref="F241:K241">
    <cfRule type="expression" dxfId="1009" priority="56">
      <formula>$C231&lt;&gt;""</formula>
    </cfRule>
  </conditionalFormatting>
  <conditionalFormatting sqref="F245:K247">
    <cfRule type="expression" dxfId="1008" priority="828">
      <formula>$F245&lt;&gt;$R245</formula>
    </cfRule>
  </conditionalFormatting>
  <conditionalFormatting sqref="F254:K254">
    <cfRule type="expression" dxfId="1007" priority="51">
      <formula>$C245&lt;&gt;""</formula>
    </cfRule>
  </conditionalFormatting>
  <conditionalFormatting sqref="F254:K255">
    <cfRule type="notContainsBlanks" dxfId="1006" priority="49">
      <formula>LEN(TRIM(F254))&gt;0</formula>
    </cfRule>
  </conditionalFormatting>
  <conditionalFormatting sqref="F255:K255">
    <cfRule type="expression" dxfId="1005" priority="52">
      <formula>$C245&lt;&gt;""</formula>
    </cfRule>
  </conditionalFormatting>
  <conditionalFormatting sqref="F259:K261">
    <cfRule type="expression" dxfId="1004" priority="826">
      <formula>$F259&lt;&gt;$R259</formula>
    </cfRule>
  </conditionalFormatting>
  <conditionalFormatting sqref="F268:K268">
    <cfRule type="expression" dxfId="1003" priority="47">
      <formula>$C259&lt;&gt;""</formula>
    </cfRule>
  </conditionalFormatting>
  <conditionalFormatting sqref="F268:K269">
    <cfRule type="notContainsBlanks" dxfId="1002" priority="45">
      <formula>LEN(TRIM(F268))&gt;0</formula>
    </cfRule>
  </conditionalFormatting>
  <conditionalFormatting sqref="F269:K269">
    <cfRule type="expression" dxfId="1001" priority="48">
      <formula>$C259&lt;&gt;""</formula>
    </cfRule>
  </conditionalFormatting>
  <conditionalFormatting sqref="F273:K275">
    <cfRule type="expression" dxfId="1000" priority="824">
      <formula>$F273&lt;&gt;$R273</formula>
    </cfRule>
  </conditionalFormatting>
  <conditionalFormatting sqref="F282:K282">
    <cfRule type="expression" dxfId="999" priority="43">
      <formula>$C273&lt;&gt;""</formula>
    </cfRule>
  </conditionalFormatting>
  <conditionalFormatting sqref="F282:K283">
    <cfRule type="notContainsBlanks" dxfId="998" priority="41">
      <formula>LEN(TRIM(F282))&gt;0</formula>
    </cfRule>
  </conditionalFormatting>
  <conditionalFormatting sqref="F283:K283">
    <cfRule type="expression" dxfId="997" priority="44">
      <formula>$C273&lt;&gt;""</formula>
    </cfRule>
  </conditionalFormatting>
  <conditionalFormatting sqref="F287:K289">
    <cfRule type="expression" dxfId="996" priority="822">
      <formula>$F287&lt;&gt;$R287</formula>
    </cfRule>
  </conditionalFormatting>
  <conditionalFormatting sqref="F296:K296">
    <cfRule type="expression" dxfId="995" priority="39">
      <formula>$C287&lt;&gt;""</formula>
    </cfRule>
  </conditionalFormatting>
  <conditionalFormatting sqref="F296:K297">
    <cfRule type="notContainsBlanks" dxfId="994" priority="37">
      <formula>LEN(TRIM(F296))&gt;0</formula>
    </cfRule>
  </conditionalFormatting>
  <conditionalFormatting sqref="F297:K297">
    <cfRule type="expression" dxfId="993" priority="40">
      <formula>$C287&lt;&gt;""</formula>
    </cfRule>
  </conditionalFormatting>
  <conditionalFormatting sqref="F301:K303">
    <cfRule type="expression" dxfId="992" priority="820">
      <formula>$F301&lt;&gt;$R301</formula>
    </cfRule>
  </conditionalFormatting>
  <conditionalFormatting sqref="F310:K310">
    <cfRule type="expression" dxfId="991" priority="35">
      <formula>$C301&lt;&gt;""</formula>
    </cfRule>
  </conditionalFormatting>
  <conditionalFormatting sqref="F310:K311">
    <cfRule type="notContainsBlanks" dxfId="990" priority="33">
      <formula>LEN(TRIM(F310))&gt;0</formula>
    </cfRule>
  </conditionalFormatting>
  <conditionalFormatting sqref="F311:K311">
    <cfRule type="expression" dxfId="989" priority="36">
      <formula>$C301&lt;&gt;""</formula>
    </cfRule>
  </conditionalFormatting>
  <conditionalFormatting sqref="F315:K317">
    <cfRule type="expression" dxfId="988" priority="818">
      <formula>$F315&lt;&gt;$R315</formula>
    </cfRule>
  </conditionalFormatting>
  <conditionalFormatting sqref="F324:K324">
    <cfRule type="expression" dxfId="987" priority="31">
      <formula>$C315&lt;&gt;""</formula>
    </cfRule>
  </conditionalFormatting>
  <conditionalFormatting sqref="F324:K325">
    <cfRule type="notContainsBlanks" dxfId="986" priority="29">
      <formula>LEN(TRIM(F324))&gt;0</formula>
    </cfRule>
  </conditionalFormatting>
  <conditionalFormatting sqref="F325:K325">
    <cfRule type="expression" dxfId="985" priority="32">
      <formula>$C315&lt;&gt;""</formula>
    </cfRule>
  </conditionalFormatting>
  <conditionalFormatting sqref="F329:K331">
    <cfRule type="expression" dxfId="984" priority="816">
      <formula>$F329&lt;&gt;$R329</formula>
    </cfRule>
  </conditionalFormatting>
  <conditionalFormatting sqref="F338:K338">
    <cfRule type="expression" dxfId="983" priority="27">
      <formula>$C329&lt;&gt;""</formula>
    </cfRule>
  </conditionalFormatting>
  <conditionalFormatting sqref="F338:K339">
    <cfRule type="notContainsBlanks" dxfId="982" priority="25">
      <formula>LEN(TRIM(F338))&gt;0</formula>
    </cfRule>
  </conditionalFormatting>
  <conditionalFormatting sqref="F339:K339">
    <cfRule type="expression" dxfId="981" priority="28">
      <formula>$C329&lt;&gt;""</formula>
    </cfRule>
  </conditionalFormatting>
  <conditionalFormatting sqref="F343:K345">
    <cfRule type="expression" dxfId="980" priority="814">
      <formula>$F343&lt;&gt;$R343</formula>
    </cfRule>
  </conditionalFormatting>
  <conditionalFormatting sqref="F352:K352">
    <cfRule type="expression" dxfId="979" priority="23">
      <formula>$C343&lt;&gt;""</formula>
    </cfRule>
  </conditionalFormatting>
  <conditionalFormatting sqref="F352:K353">
    <cfRule type="notContainsBlanks" dxfId="978" priority="21">
      <formula>LEN(TRIM(F352))&gt;0</formula>
    </cfRule>
  </conditionalFormatting>
  <conditionalFormatting sqref="F353:K353">
    <cfRule type="expression" dxfId="977" priority="24">
      <formula>$C343&lt;&gt;""</formula>
    </cfRule>
  </conditionalFormatting>
  <conditionalFormatting sqref="F357:K359">
    <cfRule type="expression" dxfId="976" priority="812">
      <formula>$F357&lt;&gt;$R357</formula>
    </cfRule>
  </conditionalFormatting>
  <conditionalFormatting sqref="F366:K366">
    <cfRule type="expression" dxfId="975" priority="19">
      <formula>$C357&lt;&gt;""</formula>
    </cfRule>
  </conditionalFormatting>
  <conditionalFormatting sqref="F366:K367">
    <cfRule type="notContainsBlanks" dxfId="974" priority="17">
      <formula>LEN(TRIM(F366))&gt;0</formula>
    </cfRule>
  </conditionalFormatting>
  <conditionalFormatting sqref="F367:K367">
    <cfRule type="expression" dxfId="973" priority="20">
      <formula>$C357&lt;&gt;""</formula>
    </cfRule>
  </conditionalFormatting>
  <conditionalFormatting sqref="F371:K373">
    <cfRule type="expression" dxfId="972" priority="810">
      <formula>$F371&lt;&gt;$R371</formula>
    </cfRule>
  </conditionalFormatting>
  <conditionalFormatting sqref="F380:K380">
    <cfRule type="expression" dxfId="971" priority="15">
      <formula>$C371&lt;&gt;""</formula>
    </cfRule>
  </conditionalFormatting>
  <conditionalFormatting sqref="F380:K381">
    <cfRule type="notContainsBlanks" dxfId="970" priority="13">
      <formula>LEN(TRIM(F380))&gt;0</formula>
    </cfRule>
  </conditionalFormatting>
  <conditionalFormatting sqref="F381:K381">
    <cfRule type="expression" dxfId="969" priority="16">
      <formula>$C371&lt;&gt;""</formula>
    </cfRule>
  </conditionalFormatting>
  <conditionalFormatting sqref="F385:K387">
    <cfRule type="expression" dxfId="968" priority="808">
      <formula>$F385&lt;&gt;$R385</formula>
    </cfRule>
  </conditionalFormatting>
  <conditionalFormatting sqref="F394:K394">
    <cfRule type="expression" dxfId="967" priority="11">
      <formula>$C385&lt;&gt;""</formula>
    </cfRule>
  </conditionalFormatting>
  <conditionalFormatting sqref="F394:K395">
    <cfRule type="notContainsBlanks" dxfId="966" priority="9">
      <formula>LEN(TRIM(F394))&gt;0</formula>
    </cfRule>
  </conditionalFormatting>
  <conditionalFormatting sqref="F395:K395">
    <cfRule type="expression" dxfId="965" priority="12">
      <formula>$C385&lt;&gt;""</formula>
    </cfRule>
  </conditionalFormatting>
  <conditionalFormatting sqref="F399:K401">
    <cfRule type="expression" dxfId="964" priority="806">
      <formula>$F399&lt;&gt;$R399</formula>
    </cfRule>
  </conditionalFormatting>
  <conditionalFormatting sqref="F408:K408">
    <cfRule type="expression" dxfId="963" priority="7">
      <formula>$C399&lt;&gt;""</formula>
    </cfRule>
  </conditionalFormatting>
  <conditionalFormatting sqref="F408:K409">
    <cfRule type="notContainsBlanks" dxfId="962" priority="5">
      <formula>LEN(TRIM(F408))&gt;0</formula>
    </cfRule>
  </conditionalFormatting>
  <conditionalFormatting sqref="F409:K409">
    <cfRule type="expression" dxfId="961" priority="8">
      <formula>$C399&lt;&gt;""</formula>
    </cfRule>
  </conditionalFormatting>
  <conditionalFormatting sqref="F413:K415">
    <cfRule type="expression" dxfId="960" priority="804">
      <formula>$F413&lt;&gt;$R413</formula>
    </cfRule>
  </conditionalFormatting>
  <conditionalFormatting sqref="F422:K422">
    <cfRule type="expression" dxfId="959" priority="3">
      <formula>$C413&lt;&gt;""</formula>
    </cfRule>
  </conditionalFormatting>
  <conditionalFormatting sqref="F422:K423">
    <cfRule type="notContainsBlanks" dxfId="958" priority="1">
      <formula>LEN(TRIM(F422))&gt;0</formula>
    </cfRule>
  </conditionalFormatting>
  <conditionalFormatting sqref="F423:K423">
    <cfRule type="expression" dxfId="957" priority="4">
      <formula>$C413&lt;&gt;""</formula>
    </cfRule>
  </conditionalFormatting>
  <dataValidations disablePrompts="1" count="2">
    <dataValidation type="list" allowBlank="1" showInputMessage="1" showErrorMessage="1" sqref="G334 G320 F319:F320 G12 F333:F334 F11:F12 G404 G362 F403:F404 G376 G11:J11 F361:F362 H12:J13 G390 G26 F25:F26 G110 F109:F110 G40 F39:F40 G54 F53:F54 G68 F67:F68 G82 F81:F82 G96 F95:F96 G124 F123:F124 G138 F137:F138 G152 F151:F152 G166 F165:F166 G180 F179:F180 G194 F193:F194 G208 F207:F208 G222 F221:F222 G236 F235:F236 G250 F249:F250 G264 F263:F264 G278 F277:F278 G292 F291:F292 G306 F305:F306 G348 F347:F348 F375:F376 F13:G13 G403:J403 H404:J405 F405:G405 G25:J25 H26:J27 F27:G27 G109:J109 H110:J111 F111:G111 G39:J39 H40:J41 F41:G41 G53:J53 H54:J55 F55:G55 G67:J67 H68:J69 F69:G69 G81:J81 H82:J83 F83:G83 G95:J95 H96:J97 F97:G97 G123:J123 H124:J125 F125:G125 G137:J137 H138:J139 F139:G139 G151:J151 H152:J153 F153:G153 G165:J165 H166:J167 F167:G167 G179:J179 H180:J181 F181:G181 G193:J193 H194:J195 F195:G195 G207:J207 H208:J209 F209:G209 G221:J221 H222:J223 F223:G223 G235:J235 H236:J237 F237:G237 G249:J249 H250:J251 F251:G251 G263:J263 H264:J265 F265:G265 G277:J277 H278:J279 F279:G279 G291:J291 H292:J293 F293:G293 G305:J305 H306:J307 F307:G307 G319:J319 H320:J321 F321:G321 G333:J333 H334:J335 F335:G335 G347:J347 H348:J349 F349:G349 G361:J361 H362:J363 F363:G363 G375:J375 H376:J377 F377:G377 F389:F390 G389:J389 H390:J391 F391:G391 G418 F417:F418 G417:J417 H418:J419 F419:G419" xr:uid="{E47D393A-BEC1-48DC-9394-9F241E9C0475}">
      <formula1>"未実施,実施中,実施済"</formula1>
    </dataValidation>
    <dataValidation type="list" allowBlank="1" showInputMessage="1" showErrorMessage="1" sqref="K319:K321 K333:K335 K361:K363 K403:K405 K347:K349 K11:K13 K375:K377 K389:K391 K25:K27 K109:K111 K39:K41 K53:K55 K67:K69 K81:K83 K95:K97 K123:K125 K137:K139 K151:K153 K165:K167 K179:K181 K193:K195 K207:K209 K221:K223 K235:K237 K249:K251 K263:K265 K277:K279 K291:K293 K305:K307 K417:K419" xr:uid="{22847654-E6FE-4DFA-ADBE-CF72A1A09987}">
      <formula1>"未完了,完了"</formula1>
    </dataValidation>
  </dataValidations>
  <pageMargins left="0.7" right="0.7" top="0.75" bottom="0.75" header="0.3" footer="0.3"/>
  <pageSetup paperSize="9" scale="35" fitToHeight="0" orientation="portrait"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disablePrompts="1" count="1">
        <x14:dataValidation type="list" showInputMessage="1" showErrorMessage="1" xr:uid="{8EEF95BA-9B4C-4F53-A02C-939A48CA6B44}">
          <x14:formula1>
            <xm:f>IF('4.2民生電力需要量'!$T$2=1,OFFSET('4.2民生電力需要量'!$X$8,1,0,'4.2民生電力需要量'!$T$3,1),OFFSET('4.2民生電力需要量'!$T$8,1,0,'4.2民生電力需要量'!$Q$3,1))</xm:f>
          </x14:formula1>
          <xm:sqref>D7 D413 D119 D21 D35 D63 D77 D105 D399 D133 D49 D147 D161 D175 D189 D203 D217 D231 D245 D259 D273 D287 D301 D315 D329 D343 D357 D371 D385 D91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1AA99-2AFB-40E0-91E4-7DB0A5171B92}">
  <sheetPr codeName="Sheet33">
    <tabColor theme="7" tint="0.79998168889431442"/>
    <pageSetUpPr autoPageBreaks="0" fitToPage="1"/>
  </sheetPr>
  <dimension ref="A1:AA454"/>
  <sheetViews>
    <sheetView showGridLines="0" zoomScaleNormal="100" zoomScaleSheetLayoutView="73" workbookViewId="0"/>
  </sheetViews>
  <sheetFormatPr defaultColWidth="9" defaultRowHeight="18"/>
  <cols>
    <col min="1" max="1" width="2.08203125" style="11" customWidth="1"/>
    <col min="2" max="2" width="2" style="11" customWidth="1"/>
    <col min="3" max="3" width="7.08203125" style="11" customWidth="1"/>
    <col min="4" max="4" width="21.5" style="11" customWidth="1"/>
    <col min="5" max="5" width="35" style="11" customWidth="1"/>
    <col min="6" max="12" width="15" style="11" customWidth="1"/>
    <col min="13" max="13" width="2" style="11" customWidth="1"/>
    <col min="14" max="14" width="4.08203125" style="101" customWidth="1"/>
    <col min="15" max="16" width="9" style="101"/>
    <col min="17" max="17" width="9" style="11"/>
    <col min="18" max="25" width="12.58203125" style="11" hidden="1" customWidth="1"/>
    <col min="26" max="26" width="9" style="11" hidden="1" customWidth="1"/>
    <col min="27" max="27" width="0" style="11" hidden="1" customWidth="1"/>
    <col min="28" max="16384" width="9" style="11"/>
  </cols>
  <sheetData>
    <row r="1" spans="1:27" customFormat="1">
      <c r="A1" s="44" t="s">
        <v>365</v>
      </c>
      <c r="B1" s="1"/>
      <c r="C1" s="1"/>
      <c r="N1" s="2"/>
      <c r="O1" s="2"/>
      <c r="P1" s="2"/>
    </row>
    <row r="2" spans="1:27" customFormat="1" ht="18.75" customHeight="1">
      <c r="B2" t="s">
        <v>433</v>
      </c>
    </row>
    <row r="3" spans="1:27" customFormat="1">
      <c r="B3" s="11"/>
      <c r="C3" t="s">
        <v>515</v>
      </c>
      <c r="N3" s="2"/>
      <c r="O3" s="2"/>
      <c r="P3" s="2"/>
    </row>
    <row r="4" spans="1:27" customFormat="1">
      <c r="B4" s="11"/>
      <c r="C4" t="s">
        <v>434</v>
      </c>
      <c r="N4" s="2"/>
      <c r="O4" s="2"/>
      <c r="P4" s="2"/>
      <c r="R4" t="s">
        <v>317</v>
      </c>
    </row>
    <row r="5" spans="1:27" customFormat="1" ht="13.5" customHeight="1">
      <c r="N5" s="2"/>
      <c r="O5" s="2"/>
      <c r="P5" s="2"/>
      <c r="Z5">
        <f ca="1">PRODUCT(AA:AA)</f>
        <v>1</v>
      </c>
    </row>
    <row r="6" spans="1:27" customFormat="1" ht="15" customHeight="1">
      <c r="B6" s="10"/>
      <c r="C6" s="5"/>
      <c r="D6" s="5"/>
      <c r="E6" s="5"/>
      <c r="F6" s="5"/>
      <c r="G6" s="5"/>
      <c r="H6" s="5"/>
      <c r="I6" s="5"/>
      <c r="J6" s="5"/>
      <c r="K6" s="5"/>
      <c r="L6" s="5"/>
      <c r="M6" s="6"/>
      <c r="R6" s="11" t="str">
        <f>D7</f>
        <v>(選択してください)</v>
      </c>
    </row>
    <row r="7" spans="1:27" customFormat="1">
      <c r="B7" s="7"/>
      <c r="C7" s="77" t="str">
        <f ca="1">IFERROR(OFFSET('4.2民生電力需要量'!$C$1,MATCH(D7,'4.2民生電力需要量'!$E:$E,0)-1,0),"")</f>
        <v/>
      </c>
      <c r="D7" s="96" t="s">
        <v>130</v>
      </c>
      <c r="E7" s="72" t="s">
        <v>131</v>
      </c>
      <c r="F7" s="1063" t="str">
        <f ca="1">IFERROR(OFFSET('4.2民生電力需要量'!$G$1,MATCH($D7,'4.2民生電力需要量'!$E:$E,0)-1,0),"")</f>
        <v/>
      </c>
      <c r="G7" s="1063"/>
      <c r="H7" s="1063"/>
      <c r="I7" s="1063"/>
      <c r="J7" s="1063"/>
      <c r="K7" s="1063"/>
      <c r="L7" s="1063"/>
      <c r="M7" s="8"/>
      <c r="R7" s="257" t="str">
        <f ca="1">IFERROR(OFFSET('4.2民生電力需要量'!$G$1,MATCH($D7,'4.2民生電力需要量'!$E:$E,0)-1,0),"")</f>
        <v/>
      </c>
      <c r="S7" s="177"/>
      <c r="T7" s="177"/>
      <c r="U7" s="177"/>
      <c r="V7" s="177"/>
      <c r="W7" s="177"/>
      <c r="X7" s="177"/>
      <c r="Y7" s="177"/>
      <c r="Z7" s="177"/>
      <c r="AA7" s="177">
        <f ca="1">(F7=R7)*1</f>
        <v>1</v>
      </c>
    </row>
    <row r="8" spans="1:27" customFormat="1">
      <c r="B8" s="7"/>
      <c r="C8" s="74"/>
      <c r="D8" s="66"/>
      <c r="E8" s="72" t="s">
        <v>221</v>
      </c>
      <c r="F8" s="1062" t="str">
        <f ca="1">IFERROR(OFFSET('4.2民生電力需要量'!$I$1,MATCH($D7,'4.2民生電力需要量'!$E:$E,0)-1,0),"")</f>
        <v/>
      </c>
      <c r="G8" s="1062"/>
      <c r="H8" s="1062"/>
      <c r="I8" s="1062"/>
      <c r="J8" s="1062"/>
      <c r="K8" s="1062"/>
      <c r="L8" s="1062"/>
      <c r="M8" s="8"/>
      <c r="R8" s="257" t="str">
        <f ca="1">IFERROR(OFFSET('4.2民生電力需要量'!$I$1,MATCH($D7,'4.2民生電力需要量'!$E:$E,0)-1,0),"")</f>
        <v/>
      </c>
      <c r="S8" s="177"/>
      <c r="T8" s="177"/>
      <c r="U8" s="177"/>
      <c r="V8" s="177"/>
      <c r="W8" s="177"/>
      <c r="X8" s="177"/>
      <c r="Y8" s="177"/>
      <c r="Z8" s="177"/>
      <c r="AA8" s="177">
        <f t="shared" ref="AA8:AA9" ca="1" si="0">(F8=R8)*1</f>
        <v>1</v>
      </c>
    </row>
    <row r="9" spans="1:27" customFormat="1">
      <c r="B9" s="7"/>
      <c r="C9" s="74"/>
      <c r="D9" s="66"/>
      <c r="E9" s="72" t="s">
        <v>176</v>
      </c>
      <c r="F9" s="1063" t="str">
        <f>_xlfn.IFNA(R9,"")</f>
        <v/>
      </c>
      <c r="G9" s="1063"/>
      <c r="H9" s="1063"/>
      <c r="I9" s="1063"/>
      <c r="J9" s="1063"/>
      <c r="K9" s="1063"/>
      <c r="L9" s="1063"/>
      <c r="M9" s="8"/>
      <c r="R9" s="131" t="str">
        <f>IF(OR(COUNTIF($E11:$E16,"&lt;&gt;〇〇(合意形成対象者名に書き換え)")=3,COUNTIF($E11:$E16,"")&gt;3),"",IF(PRODUCT($Y11:$Y16)=1,Z11,""))</f>
        <v/>
      </c>
      <c r="S9" s="177"/>
      <c r="T9" s="177"/>
      <c r="U9" s="177"/>
      <c r="V9" s="177"/>
      <c r="W9" s="177"/>
      <c r="X9" s="177"/>
      <c r="Y9" s="177"/>
      <c r="Z9" s="177"/>
      <c r="AA9" s="177">
        <f t="shared" si="0"/>
        <v>1</v>
      </c>
    </row>
    <row r="10" spans="1:27" ht="63.75" customHeight="1">
      <c r="B10" s="97"/>
      <c r="C10" s="98"/>
      <c r="D10" s="99"/>
      <c r="E10" s="374"/>
      <c r="F10" s="315" t="s">
        <v>270</v>
      </c>
      <c r="G10" s="315" t="s">
        <v>273</v>
      </c>
      <c r="H10" s="315" t="s">
        <v>274</v>
      </c>
      <c r="I10" s="315" t="s">
        <v>271</v>
      </c>
      <c r="J10" s="315" t="s">
        <v>440</v>
      </c>
      <c r="K10" s="315" t="s">
        <v>441</v>
      </c>
      <c r="L10" s="315" t="s">
        <v>272</v>
      </c>
      <c r="M10" s="100"/>
      <c r="N10" s="11"/>
      <c r="R10" s="128" t="s">
        <v>302</v>
      </c>
      <c r="S10" s="259" t="s">
        <v>429</v>
      </c>
      <c r="T10" s="128" t="s">
        <v>430</v>
      </c>
      <c r="U10" s="298" t="s">
        <v>442</v>
      </c>
      <c r="V10" s="258" t="s">
        <v>272</v>
      </c>
      <c r="W10" s="128" t="s">
        <v>432</v>
      </c>
      <c r="X10" s="131" t="s">
        <v>408</v>
      </c>
      <c r="Y10" s="131" t="s">
        <v>436</v>
      </c>
      <c r="Z10" s="128" t="s">
        <v>431</v>
      </c>
      <c r="AA10" s="257"/>
    </row>
    <row r="11" spans="1:27" hidden="1">
      <c r="B11" s="97"/>
      <c r="C11" s="98"/>
      <c r="D11" s="99"/>
      <c r="E11" s="444"/>
      <c r="F11" s="445"/>
      <c r="G11" s="441"/>
      <c r="H11" s="445"/>
      <c r="I11" s="441"/>
      <c r="J11" s="445"/>
      <c r="K11" s="441"/>
      <c r="L11" s="446"/>
      <c r="M11" s="100"/>
      <c r="N11" s="11"/>
      <c r="R11" s="131">
        <f t="shared" ref="R11:R16" si="1">IF(F11="実施済",1,0)</f>
        <v>0</v>
      </c>
      <c r="S11" s="260"/>
      <c r="T11" s="131">
        <f t="shared" ref="T11:T16" si="2">IF(AND(H11="実施済",I11="実施済"),R11*1,0)</f>
        <v>0</v>
      </c>
      <c r="U11" s="131">
        <f>IF(AND(J11="実施済",K11="実施済"),$T11*1,0)</f>
        <v>0</v>
      </c>
      <c r="V11" s="260"/>
      <c r="W11" s="131" t="str">
        <f>IF(OR(E11="〇〇(合意形成対象者名に書き換え)",E11=""),"",SUM(R11,T11,U11))</f>
        <v/>
      </c>
      <c r="X11" s="131">
        <f t="shared" ref="X11:X16" si="3">MIN($W$11:$W$16)+1</f>
        <v>1</v>
      </c>
      <c r="Y11" s="131">
        <f>IF(E11="",1,IF(AND(E11="〇〇(合意形成対象者名に書き換え)",COUNTA($F11:$L11)=0),1,IF(AND(E11&lt;&gt;"〇〇(合意形成対象者名に書き換え)",COUNTA($F11:$L11)=7),1,0)))</f>
        <v>1</v>
      </c>
      <c r="Z11" s="131" t="str" cm="1">
        <f t="array" ref="Z11">_xlfn.IFS(X11=4,"A",X11=3,"B",X11=2,"C",X11=1,"D")</f>
        <v>D</v>
      </c>
      <c r="AA11" s="257"/>
    </row>
    <row r="12" spans="1:27">
      <c r="B12" s="97"/>
      <c r="C12" s="98"/>
      <c r="D12" s="99"/>
      <c r="E12" s="450" t="s">
        <v>129</v>
      </c>
      <c r="F12" s="449"/>
      <c r="G12" s="443"/>
      <c r="H12" s="449"/>
      <c r="I12" s="443"/>
      <c r="J12" s="449"/>
      <c r="K12" s="443"/>
      <c r="L12" s="443"/>
      <c r="M12" s="100"/>
      <c r="N12" s="11"/>
      <c r="R12" s="131">
        <f t="shared" si="1"/>
        <v>0</v>
      </c>
      <c r="S12" s="260"/>
      <c r="T12" s="131">
        <f t="shared" si="2"/>
        <v>0</v>
      </c>
      <c r="U12" s="131">
        <f t="shared" ref="U12:U16" si="4">IF(AND(J12="実施済",K12="実施済"),$T12*1,0)</f>
        <v>0</v>
      </c>
      <c r="V12" s="260"/>
      <c r="W12" s="131" t="str">
        <f t="shared" ref="W12:W16" si="5">IF(OR(E12="〇〇(合意形成対象者名に書き換え)",E12=""),"",SUM(R12,T12,U12))</f>
        <v/>
      </c>
      <c r="X12" s="131">
        <f t="shared" si="3"/>
        <v>1</v>
      </c>
      <c r="Y12" s="131">
        <f t="shared" ref="Y12:Y16" si="6">IF(E12="",1,IF(AND(E12="〇〇(合意形成対象者名に書き換え)",COUNTA($F12:$L12)=0),1,IF(AND(E12&lt;&gt;"〇〇(合意形成対象者名に書き換え)",COUNTA($F12:$L12)=7),1,0)))</f>
        <v>1</v>
      </c>
      <c r="Z12" s="131" t="str" cm="1">
        <f t="array" ref="Z12">_xlfn.IFS(X12=4,"A",X12=3,"B",X12=2,"C",X12=1,"D")</f>
        <v>D</v>
      </c>
      <c r="AA12" s="257"/>
    </row>
    <row r="13" spans="1:27">
      <c r="B13" s="97"/>
      <c r="C13" s="98"/>
      <c r="D13" s="99"/>
      <c r="E13" s="450" t="s">
        <v>129</v>
      </c>
      <c r="F13" s="449"/>
      <c r="G13" s="443"/>
      <c r="H13" s="449"/>
      <c r="I13" s="443"/>
      <c r="J13" s="449"/>
      <c r="K13" s="443"/>
      <c r="L13" s="443"/>
      <c r="M13" s="100"/>
      <c r="N13" s="11"/>
      <c r="R13" s="131">
        <f t="shared" si="1"/>
        <v>0</v>
      </c>
      <c r="S13" s="260"/>
      <c r="T13" s="131">
        <f t="shared" si="2"/>
        <v>0</v>
      </c>
      <c r="U13" s="131">
        <f t="shared" si="4"/>
        <v>0</v>
      </c>
      <c r="V13" s="260"/>
      <c r="W13" s="131" t="str">
        <f t="shared" si="5"/>
        <v/>
      </c>
      <c r="X13" s="131">
        <f t="shared" si="3"/>
        <v>1</v>
      </c>
      <c r="Y13" s="131">
        <f t="shared" si="6"/>
        <v>1</v>
      </c>
      <c r="Z13" s="131" t="str" cm="1">
        <f t="array" ref="Z13">_xlfn.IFS(X13=4,"A",X13=3,"B",X13=2,"C",X13=1,"D")</f>
        <v>D</v>
      </c>
      <c r="AA13" s="257"/>
    </row>
    <row r="14" spans="1:27" s="101" customFormat="1">
      <c r="A14" s="11"/>
      <c r="B14" s="97"/>
      <c r="C14" s="98"/>
      <c r="D14" s="99"/>
      <c r="E14" s="450" t="s">
        <v>129</v>
      </c>
      <c r="F14" s="449"/>
      <c r="G14" s="443"/>
      <c r="H14" s="449"/>
      <c r="I14" s="443"/>
      <c r="J14" s="449"/>
      <c r="K14" s="443"/>
      <c r="L14" s="443"/>
      <c r="M14" s="100"/>
      <c r="N14" s="11"/>
      <c r="Q14" s="11"/>
      <c r="R14" s="131">
        <f t="shared" si="1"/>
        <v>0</v>
      </c>
      <c r="S14" s="260"/>
      <c r="T14" s="131">
        <f t="shared" si="2"/>
        <v>0</v>
      </c>
      <c r="U14" s="131">
        <f t="shared" si="4"/>
        <v>0</v>
      </c>
      <c r="V14" s="260"/>
      <c r="W14" s="131" t="str">
        <f t="shared" si="5"/>
        <v/>
      </c>
      <c r="X14" s="131">
        <f t="shared" si="3"/>
        <v>1</v>
      </c>
      <c r="Y14" s="131">
        <f t="shared" si="6"/>
        <v>1</v>
      </c>
      <c r="Z14" s="131" t="str" cm="1">
        <f t="array" ref="Z14">_xlfn.IFS(X14=4,"A",X14=3,"B",X14=2,"C",X14=1,"D")</f>
        <v>D</v>
      </c>
      <c r="AA14" s="131"/>
    </row>
    <row r="15" spans="1:27" customFormat="1" ht="7.5" customHeight="1">
      <c r="B15" s="65"/>
      <c r="C15" s="4"/>
      <c r="D15" s="4"/>
      <c r="E15" s="4"/>
      <c r="F15" s="4"/>
      <c r="G15" s="4"/>
      <c r="H15" s="4"/>
      <c r="I15" s="4"/>
      <c r="J15" s="4"/>
      <c r="K15" s="4"/>
      <c r="L15" s="4"/>
      <c r="M15" s="9"/>
      <c r="N15" s="2"/>
      <c r="O15" s="2"/>
      <c r="P15" s="2"/>
      <c r="R15" s="131">
        <f t="shared" si="1"/>
        <v>0</v>
      </c>
      <c r="S15" s="260"/>
      <c r="T15" s="131">
        <f t="shared" si="2"/>
        <v>0</v>
      </c>
      <c r="U15" s="131">
        <f>IF(AND(J15="実施済",K15="実施済"),$T15*1,0)</f>
        <v>0</v>
      </c>
      <c r="V15" s="260"/>
      <c r="W15" s="131" t="str">
        <f t="shared" si="5"/>
        <v/>
      </c>
      <c r="X15" s="131">
        <f t="shared" si="3"/>
        <v>1</v>
      </c>
      <c r="Y15" s="131">
        <f t="shared" si="6"/>
        <v>1</v>
      </c>
      <c r="Z15" s="131" t="str" cm="1">
        <f t="array" ref="Z15">_xlfn.IFS(X15=4,"A",X15=3,"B",X15=2,"C",X15=1,"D")</f>
        <v>D</v>
      </c>
      <c r="AA15" s="177"/>
    </row>
    <row r="16" spans="1:27" customFormat="1" ht="18" customHeight="1">
      <c r="N16" s="2"/>
      <c r="O16" s="2"/>
      <c r="P16" s="2"/>
      <c r="R16" s="131">
        <f t="shared" si="1"/>
        <v>0</v>
      </c>
      <c r="S16" s="260"/>
      <c r="T16" s="131">
        <f t="shared" si="2"/>
        <v>0</v>
      </c>
      <c r="U16" s="131">
        <f t="shared" si="4"/>
        <v>0</v>
      </c>
      <c r="V16" s="260"/>
      <c r="W16" s="131" t="str">
        <f t="shared" si="5"/>
        <v/>
      </c>
      <c r="X16" s="131">
        <f t="shared" si="3"/>
        <v>1</v>
      </c>
      <c r="Y16" s="131">
        <f t="shared" si="6"/>
        <v>1</v>
      </c>
      <c r="Z16" s="131" t="str" cm="1">
        <f t="array" ref="Z16">_xlfn.IFS(X16=4,"A",X16=3,"B",X16=2,"C",X16=1,"D")</f>
        <v>D</v>
      </c>
      <c r="AA16" s="177"/>
    </row>
    <row r="17" spans="1:27" customFormat="1" ht="103.5" customHeight="1">
      <c r="C17" s="78"/>
      <c r="D17" s="79"/>
      <c r="E17" s="71" t="s">
        <v>238</v>
      </c>
      <c r="F17" s="1057"/>
      <c r="G17" s="1057"/>
      <c r="H17" s="1057"/>
      <c r="I17" s="1057"/>
      <c r="J17" s="1057"/>
      <c r="K17" s="1057"/>
      <c r="L17" s="1057"/>
      <c r="M17" s="80" t="s">
        <v>132</v>
      </c>
      <c r="N17" s="80"/>
    </row>
    <row r="18" spans="1:27" customFormat="1" ht="146.25" customHeight="1">
      <c r="C18" s="75"/>
      <c r="D18" s="68"/>
      <c r="E18" s="71" t="s">
        <v>237</v>
      </c>
      <c r="F18" s="1057"/>
      <c r="G18" s="1057"/>
      <c r="H18" s="1057"/>
      <c r="I18" s="1057"/>
      <c r="J18" s="1057"/>
      <c r="K18" s="1057"/>
      <c r="L18" s="1057"/>
      <c r="N18" s="2"/>
      <c r="O18" s="2"/>
      <c r="P18" s="2"/>
    </row>
    <row r="19" spans="1:27" customFormat="1" ht="13.5" customHeight="1" thickBot="1">
      <c r="A19" s="81"/>
      <c r="B19" s="81"/>
      <c r="C19" s="81"/>
      <c r="D19" s="81"/>
      <c r="E19" s="81"/>
      <c r="F19" s="81"/>
      <c r="G19" s="81"/>
      <c r="H19" s="81"/>
      <c r="I19" s="81"/>
      <c r="J19" s="81"/>
      <c r="K19" s="81"/>
      <c r="L19" s="81"/>
      <c r="M19" s="81"/>
      <c r="N19" s="82"/>
      <c r="O19" s="2"/>
      <c r="P19" s="2"/>
    </row>
    <row r="20" spans="1:27" customFormat="1" ht="13.5" customHeight="1">
      <c r="A20" s="83"/>
      <c r="B20" s="83"/>
      <c r="C20" s="83"/>
      <c r="D20" s="83"/>
      <c r="E20" s="83"/>
      <c r="F20" s="83"/>
      <c r="G20" s="83"/>
      <c r="H20" s="83"/>
      <c r="I20" s="83"/>
      <c r="J20" s="83"/>
      <c r="K20" s="83"/>
      <c r="L20" s="83"/>
      <c r="M20" s="83"/>
      <c r="N20" s="84"/>
      <c r="O20" s="2"/>
      <c r="P20" s="2"/>
    </row>
    <row r="21" spans="1:27" customFormat="1" ht="15" customHeight="1">
      <c r="B21" s="10"/>
      <c r="C21" s="5"/>
      <c r="D21" s="5"/>
      <c r="E21" s="5"/>
      <c r="F21" s="5"/>
      <c r="G21" s="5"/>
      <c r="H21" s="5"/>
      <c r="I21" s="5"/>
      <c r="J21" s="5"/>
      <c r="K21" s="5"/>
      <c r="L21" s="5"/>
      <c r="M21" s="6"/>
      <c r="R21" s="11" t="str">
        <f>D22</f>
        <v>(選択してください)</v>
      </c>
    </row>
    <row r="22" spans="1:27" customFormat="1">
      <c r="B22" s="7"/>
      <c r="C22" s="77" t="str">
        <f ca="1">IFERROR(OFFSET('4.2民生電力需要量'!$C$1,MATCH(D22,'4.2民生電力需要量'!$E:$E,0)-1,0),"")</f>
        <v/>
      </c>
      <c r="D22" s="96" t="s">
        <v>130</v>
      </c>
      <c r="E22" s="72" t="s">
        <v>131</v>
      </c>
      <c r="F22" s="1063" t="str">
        <f ca="1">IFERROR(OFFSET('4.2民生電力需要量'!$G$1,MATCH($D22,'4.2民生電力需要量'!$E:$E,0)-1,0),"")</f>
        <v/>
      </c>
      <c r="G22" s="1063"/>
      <c r="H22" s="1063"/>
      <c r="I22" s="1063"/>
      <c r="J22" s="1063"/>
      <c r="K22" s="1063"/>
      <c r="L22" s="1063"/>
      <c r="M22" s="8"/>
      <c r="R22" s="257" t="str">
        <f ca="1">IFERROR(OFFSET('4.2民生電力需要量'!$G$1,MATCH($D22,'4.2民生電力需要量'!$E:$E,0)-1,0),"")</f>
        <v/>
      </c>
      <c r="S22" s="177"/>
      <c r="T22" s="177"/>
      <c r="U22" s="177"/>
      <c r="V22" s="177"/>
      <c r="W22" s="177"/>
      <c r="X22" s="177"/>
      <c r="Y22" s="177"/>
      <c r="Z22" s="177"/>
      <c r="AA22" s="177">
        <f ca="1">(F22=R22)*1</f>
        <v>1</v>
      </c>
    </row>
    <row r="23" spans="1:27" customFormat="1">
      <c r="B23" s="7"/>
      <c r="C23" s="74"/>
      <c r="D23" s="66"/>
      <c r="E23" s="72" t="s">
        <v>221</v>
      </c>
      <c r="F23" s="1062" t="str">
        <f ca="1">IFERROR(OFFSET('4.2民生電力需要量'!$I$1,MATCH($D22,'4.2民生電力需要量'!$E:$E,0)-1,0),"")</f>
        <v/>
      </c>
      <c r="G23" s="1062"/>
      <c r="H23" s="1062"/>
      <c r="I23" s="1062"/>
      <c r="J23" s="1062"/>
      <c r="K23" s="1062"/>
      <c r="L23" s="1062"/>
      <c r="M23" s="8"/>
      <c r="R23" s="257" t="str">
        <f ca="1">IFERROR(OFFSET('4.2民生電力需要量'!$I$1,MATCH($D22,'4.2民生電力需要量'!$E:$E,0)-1,0),"")</f>
        <v/>
      </c>
      <c r="S23" s="177"/>
      <c r="T23" s="177"/>
      <c r="U23" s="177"/>
      <c r="V23" s="177"/>
      <c r="W23" s="177"/>
      <c r="X23" s="177"/>
      <c r="Y23" s="177"/>
      <c r="Z23" s="177"/>
      <c r="AA23" s="177">
        <f t="shared" ref="AA23:AA24" ca="1" si="7">(F23=R23)*1</f>
        <v>1</v>
      </c>
    </row>
    <row r="24" spans="1:27" customFormat="1">
      <c r="B24" s="7"/>
      <c r="C24" s="74"/>
      <c r="D24" s="66"/>
      <c r="E24" s="72" t="s">
        <v>176</v>
      </c>
      <c r="F24" s="1063" t="str">
        <f>_xlfn.IFNA(R24,"")</f>
        <v/>
      </c>
      <c r="G24" s="1063"/>
      <c r="H24" s="1063"/>
      <c r="I24" s="1063"/>
      <c r="J24" s="1063"/>
      <c r="K24" s="1063"/>
      <c r="L24" s="1063"/>
      <c r="M24" s="8"/>
      <c r="R24" s="131" t="str">
        <f>IF(OR(COUNTIF($E26:$E31,"&lt;&gt;〇〇(合意形成対象者名に書き換え)")=3,COUNTIF($E26:$E31,"")&gt;3),"",IF(PRODUCT($Y26:$Y31)=1,Z26,""))</f>
        <v/>
      </c>
      <c r="S24" s="177"/>
      <c r="T24" s="177"/>
      <c r="U24" s="177"/>
      <c r="V24" s="177"/>
      <c r="W24" s="177"/>
      <c r="X24" s="177"/>
      <c r="Y24" s="177"/>
      <c r="Z24" s="177"/>
      <c r="AA24" s="177">
        <f t="shared" si="7"/>
        <v>1</v>
      </c>
    </row>
    <row r="25" spans="1:27" ht="63.75" customHeight="1">
      <c r="B25" s="97"/>
      <c r="C25" s="98"/>
      <c r="D25" s="99"/>
      <c r="E25" s="374"/>
      <c r="F25" s="315" t="s">
        <v>270</v>
      </c>
      <c r="G25" s="315" t="s">
        <v>273</v>
      </c>
      <c r="H25" s="315" t="s">
        <v>274</v>
      </c>
      <c r="I25" s="315" t="s">
        <v>271</v>
      </c>
      <c r="J25" s="315" t="s">
        <v>440</v>
      </c>
      <c r="K25" s="315" t="s">
        <v>441</v>
      </c>
      <c r="L25" s="315" t="s">
        <v>272</v>
      </c>
      <c r="M25" s="100"/>
      <c r="N25" s="11"/>
      <c r="R25" s="128" t="s">
        <v>302</v>
      </c>
      <c r="S25" s="259" t="s">
        <v>429</v>
      </c>
      <c r="T25" s="128" t="s">
        <v>430</v>
      </c>
      <c r="U25" s="298" t="s">
        <v>442</v>
      </c>
      <c r="V25" s="258" t="s">
        <v>272</v>
      </c>
      <c r="W25" s="128" t="s">
        <v>432</v>
      </c>
      <c r="X25" s="131" t="s">
        <v>408</v>
      </c>
      <c r="Y25" s="131" t="s">
        <v>436</v>
      </c>
      <c r="Z25" s="128" t="s">
        <v>431</v>
      </c>
      <c r="AA25" s="257"/>
    </row>
    <row r="26" spans="1:27" hidden="1">
      <c r="B26" s="97"/>
      <c r="C26" s="98"/>
      <c r="D26" s="99"/>
      <c r="E26" s="444"/>
      <c r="F26" s="445"/>
      <c r="G26" s="441"/>
      <c r="H26" s="445"/>
      <c r="I26" s="441"/>
      <c r="J26" s="445"/>
      <c r="K26" s="441"/>
      <c r="L26" s="446"/>
      <c r="M26" s="100"/>
      <c r="N26" s="11"/>
      <c r="R26" s="131">
        <f t="shared" ref="R26:R31" si="8">IF(F26="実施済",1,0)</f>
        <v>0</v>
      </c>
      <c r="S26" s="260"/>
      <c r="T26" s="131">
        <f t="shared" ref="T26:T31" si="9">IF(AND(H26="実施済",I26="実施済"),R26*1,0)</f>
        <v>0</v>
      </c>
      <c r="U26" s="131">
        <f>IF(AND(J26="実施済",K26="実施済"),$T26*1,0)</f>
        <v>0</v>
      </c>
      <c r="V26" s="260"/>
      <c r="W26" s="131" t="str">
        <f>IF(OR(E26="〇〇(合意形成対象者名に書き換え)",E26=""),"",SUM(R26,T26,U26))</f>
        <v/>
      </c>
      <c r="X26" s="131">
        <f t="shared" ref="X26:X31" si="10">MIN($W$26:$W$31)+1</f>
        <v>1</v>
      </c>
      <c r="Y26" s="131">
        <f>IF(E26="",1,IF(AND(E26="〇〇(合意形成対象者名に書き換え)",COUNTA($F26:$L26)=0),1,IF(AND(E26&lt;&gt;"〇〇(合意形成対象者名に書き換え)",COUNTA($F26:$L26)=7),1,0)))</f>
        <v>1</v>
      </c>
      <c r="Z26" s="131" t="str" cm="1">
        <f t="array" ref="Z26">_xlfn.IFS(X26=4,"A",X26=3,"B",X26=2,"C",X26=1,"D")</f>
        <v>D</v>
      </c>
      <c r="AA26" s="257"/>
    </row>
    <row r="27" spans="1:27">
      <c r="B27" s="97"/>
      <c r="C27" s="98"/>
      <c r="D27" s="99"/>
      <c r="E27" s="450" t="s">
        <v>129</v>
      </c>
      <c r="F27" s="449"/>
      <c r="G27" s="443"/>
      <c r="H27" s="449"/>
      <c r="I27" s="443"/>
      <c r="J27" s="449"/>
      <c r="K27" s="443"/>
      <c r="L27" s="443"/>
      <c r="M27" s="100"/>
      <c r="N27" s="11"/>
      <c r="R27" s="131">
        <f t="shared" si="8"/>
        <v>0</v>
      </c>
      <c r="S27" s="260"/>
      <c r="T27" s="131">
        <f t="shared" si="9"/>
        <v>0</v>
      </c>
      <c r="U27" s="131">
        <f t="shared" ref="U27:U29" si="11">IF(AND(J27="実施済",K27="実施済"),$T27*1,0)</f>
        <v>0</v>
      </c>
      <c r="V27" s="260"/>
      <c r="W27" s="131" t="str">
        <f t="shared" ref="W27:W31" si="12">IF(OR(E27="〇〇(合意形成対象者名に書き換え)",E27=""),"",SUM(R27,T27,U27))</f>
        <v/>
      </c>
      <c r="X27" s="131">
        <f t="shared" si="10"/>
        <v>1</v>
      </c>
      <c r="Y27" s="131">
        <f>IF(E27="",1,IF(AND(E27="〇〇(合意形成対象者名に書き換え)",COUNTA($F27:$L27)=0),1,IF(AND(E27&lt;&gt;"〇〇(合意形成対象者名に書き換え)",COUNTA($F27:$L27)=7),1,0)))</f>
        <v>1</v>
      </c>
      <c r="Z27" s="131" t="str" cm="1">
        <f t="array" ref="Z27">_xlfn.IFS(X27=4,"A",X27=3,"B",X27=2,"C",X27=1,"D")</f>
        <v>D</v>
      </c>
      <c r="AA27" s="257"/>
    </row>
    <row r="28" spans="1:27">
      <c r="B28" s="97"/>
      <c r="C28" s="98"/>
      <c r="D28" s="99"/>
      <c r="E28" s="450" t="s">
        <v>129</v>
      </c>
      <c r="F28" s="449"/>
      <c r="G28" s="443"/>
      <c r="H28" s="449"/>
      <c r="I28" s="443"/>
      <c r="J28" s="449"/>
      <c r="K28" s="443"/>
      <c r="L28" s="443"/>
      <c r="M28" s="100"/>
      <c r="N28" s="11"/>
      <c r="R28" s="131">
        <f t="shared" si="8"/>
        <v>0</v>
      </c>
      <c r="S28" s="260"/>
      <c r="T28" s="131">
        <f t="shared" si="9"/>
        <v>0</v>
      </c>
      <c r="U28" s="131">
        <f t="shared" si="11"/>
        <v>0</v>
      </c>
      <c r="V28" s="260"/>
      <c r="W28" s="131" t="str">
        <f t="shared" si="12"/>
        <v/>
      </c>
      <c r="X28" s="131">
        <f t="shared" si="10"/>
        <v>1</v>
      </c>
      <c r="Y28" s="131">
        <f>IF(E28="",1,IF(AND(E28="〇〇(合意形成対象者名に書き換え)",COUNTA($F28:$L28)=0),1,IF(AND(E28&lt;&gt;"〇〇(合意形成対象者名に書き換え)",COUNTA($F28:$L28)=7),1,0)))</f>
        <v>1</v>
      </c>
      <c r="Z28" s="131" t="str" cm="1">
        <f t="array" ref="Z28">_xlfn.IFS(X28=4,"A",X28=3,"B",X28=2,"C",X28=1,"D")</f>
        <v>D</v>
      </c>
      <c r="AA28" s="257"/>
    </row>
    <row r="29" spans="1:27" s="101" customFormat="1">
      <c r="A29" s="11"/>
      <c r="B29" s="97"/>
      <c r="C29" s="98"/>
      <c r="D29" s="99"/>
      <c r="E29" s="450" t="s">
        <v>129</v>
      </c>
      <c r="F29" s="449"/>
      <c r="G29" s="443"/>
      <c r="H29" s="449"/>
      <c r="I29" s="443"/>
      <c r="J29" s="449"/>
      <c r="K29" s="443"/>
      <c r="L29" s="443"/>
      <c r="M29" s="100"/>
      <c r="N29" s="11"/>
      <c r="Q29" s="11"/>
      <c r="R29" s="131">
        <f t="shared" si="8"/>
        <v>0</v>
      </c>
      <c r="S29" s="260"/>
      <c r="T29" s="131">
        <f t="shared" si="9"/>
        <v>0</v>
      </c>
      <c r="U29" s="131">
        <f t="shared" si="11"/>
        <v>0</v>
      </c>
      <c r="V29" s="260"/>
      <c r="W29" s="131" t="str">
        <f t="shared" si="12"/>
        <v/>
      </c>
      <c r="X29" s="131">
        <f t="shared" si="10"/>
        <v>1</v>
      </c>
      <c r="Y29" s="131">
        <f>IF(E29="",1,IF(AND(E29="〇〇(合意形成対象者名に書き換え)",COUNTA($F29:$L29)=0),1,IF(AND(E29&lt;&gt;"〇〇(合意形成対象者名に書き換え)",COUNTA($F29:$L29)=7),1,0)))</f>
        <v>1</v>
      </c>
      <c r="Z29" s="131" t="str" cm="1">
        <f t="array" ref="Z29">_xlfn.IFS(X29=4,"A",X29=3,"B",X29=2,"C",X29=1,"D")</f>
        <v>D</v>
      </c>
      <c r="AA29" s="131"/>
    </row>
    <row r="30" spans="1:27" customFormat="1" ht="7.5" customHeight="1">
      <c r="B30" s="65"/>
      <c r="C30" s="4"/>
      <c r="D30" s="4"/>
      <c r="E30" s="4"/>
      <c r="F30" s="4"/>
      <c r="G30" s="4"/>
      <c r="H30" s="4"/>
      <c r="I30" s="4"/>
      <c r="J30" s="4"/>
      <c r="K30" s="4"/>
      <c r="L30" s="4"/>
      <c r="M30" s="9"/>
      <c r="N30" s="2"/>
      <c r="O30" s="2"/>
      <c r="P30" s="2"/>
      <c r="R30" s="131">
        <f t="shared" si="8"/>
        <v>0</v>
      </c>
      <c r="S30" s="260"/>
      <c r="T30" s="131">
        <f t="shared" si="9"/>
        <v>0</v>
      </c>
      <c r="U30" s="131">
        <f>IF(AND(J30="実施済",K30="実施済"),$T30*1,0)</f>
        <v>0</v>
      </c>
      <c r="V30" s="260"/>
      <c r="W30" s="131" t="str">
        <f t="shared" si="12"/>
        <v/>
      </c>
      <c r="X30" s="131">
        <f t="shared" si="10"/>
        <v>1</v>
      </c>
      <c r="Y30" s="131">
        <f>IF(E30="",1,IF(AND(E30="〇〇(合意形成対象者名に書き換え)",COUNTA($F30:$L30)=0),1,IF(AND(E30&lt;&gt;"〇〇(合意形成対象者名に書き換え)",COUNTA($F30:$L30)=7),1,0)))</f>
        <v>1</v>
      </c>
      <c r="Z30" s="131" t="str" cm="1">
        <f t="array" ref="Z30">_xlfn.IFS(X30=4,"A",X30=3,"B",X30=2,"C",X30=1,"D")</f>
        <v>D</v>
      </c>
      <c r="AA30" s="177"/>
    </row>
    <row r="31" spans="1:27" customFormat="1" ht="18" customHeight="1">
      <c r="N31" s="2"/>
      <c r="O31" s="2"/>
      <c r="P31" s="2"/>
      <c r="R31" s="131">
        <f t="shared" si="8"/>
        <v>0</v>
      </c>
      <c r="S31" s="260"/>
      <c r="T31" s="131">
        <f t="shared" si="9"/>
        <v>0</v>
      </c>
      <c r="U31" s="131">
        <f t="shared" ref="U31" si="13">IF(AND(J31="実施済",K31="実施済"),$T31*1,0)</f>
        <v>0</v>
      </c>
      <c r="V31" s="260"/>
      <c r="W31" s="131" t="str">
        <f t="shared" si="12"/>
        <v/>
      </c>
      <c r="X31" s="131">
        <f t="shared" si="10"/>
        <v>1</v>
      </c>
      <c r="Y31" s="131">
        <f t="shared" ref="Y31" si="14">IF(E31="",1,IF(AND(E31="〇〇(合意形成対象者名に書き換え)",COUNTA($F31:$L31)=0),1,IF(AND(E31&lt;&gt;"〇〇(合意形成対象者名に書き換え)",COUNTA($F31:$L31)=7),1,0)))</f>
        <v>1</v>
      </c>
      <c r="Z31" s="131" t="str" cm="1">
        <f t="array" ref="Z31">_xlfn.IFS(X31=4,"A",X31=3,"B",X31=2,"C",X31=1,"D")</f>
        <v>D</v>
      </c>
      <c r="AA31" s="177"/>
    </row>
    <row r="32" spans="1:27" customFormat="1" ht="103.5" customHeight="1">
      <c r="C32" s="78"/>
      <c r="D32" s="79"/>
      <c r="E32" s="71" t="s">
        <v>238</v>
      </c>
      <c r="F32" s="1057"/>
      <c r="G32" s="1057"/>
      <c r="H32" s="1057"/>
      <c r="I32" s="1057"/>
      <c r="J32" s="1057"/>
      <c r="K32" s="1057"/>
      <c r="L32" s="1057"/>
      <c r="M32" s="80" t="s">
        <v>132</v>
      </c>
      <c r="N32" s="80"/>
    </row>
    <row r="33" spans="1:27" customFormat="1" ht="146.25" customHeight="1">
      <c r="C33" s="75"/>
      <c r="D33" s="68"/>
      <c r="E33" s="71" t="s">
        <v>237</v>
      </c>
      <c r="F33" s="1057"/>
      <c r="G33" s="1057"/>
      <c r="H33" s="1057"/>
      <c r="I33" s="1057"/>
      <c r="J33" s="1057"/>
      <c r="K33" s="1057"/>
      <c r="L33" s="1057"/>
      <c r="N33" s="2"/>
      <c r="O33" s="2"/>
      <c r="P33" s="2"/>
    </row>
    <row r="34" spans="1:27" customFormat="1" ht="13.5" customHeight="1" thickBot="1">
      <c r="A34" s="81"/>
      <c r="B34" s="81"/>
      <c r="C34" s="81"/>
      <c r="D34" s="81"/>
      <c r="E34" s="81"/>
      <c r="F34" s="81"/>
      <c r="G34" s="81"/>
      <c r="H34" s="81"/>
      <c r="I34" s="81"/>
      <c r="J34" s="81"/>
      <c r="K34" s="81"/>
      <c r="L34" s="81"/>
      <c r="M34" s="81"/>
      <c r="N34" s="82"/>
      <c r="O34" s="2"/>
      <c r="P34" s="2"/>
    </row>
    <row r="35" spans="1:27" customFormat="1" ht="13.5" customHeight="1">
      <c r="A35" s="83"/>
      <c r="B35" s="83"/>
      <c r="C35" s="83"/>
      <c r="D35" s="83"/>
      <c r="E35" s="83"/>
      <c r="F35" s="83"/>
      <c r="G35" s="83"/>
      <c r="H35" s="83"/>
      <c r="I35" s="83"/>
      <c r="J35" s="83"/>
      <c r="K35" s="83"/>
      <c r="L35" s="83"/>
      <c r="M35" s="83"/>
      <c r="N35" s="84"/>
      <c r="O35" s="2"/>
      <c r="P35" s="2"/>
    </row>
    <row r="36" spans="1:27" customFormat="1" ht="15" customHeight="1">
      <c r="B36" s="10"/>
      <c r="C36" s="5"/>
      <c r="D36" s="5"/>
      <c r="E36" s="5"/>
      <c r="F36" s="5"/>
      <c r="G36" s="5"/>
      <c r="H36" s="5"/>
      <c r="I36" s="5"/>
      <c r="J36" s="5"/>
      <c r="K36" s="5"/>
      <c r="L36" s="5"/>
      <c r="M36" s="6"/>
      <c r="R36" s="11" t="str">
        <f>D37</f>
        <v>(選択してください)</v>
      </c>
    </row>
    <row r="37" spans="1:27" customFormat="1">
      <c r="B37" s="7"/>
      <c r="C37" s="77" t="str">
        <f ca="1">IFERROR(OFFSET('4.2民生電力需要量'!$C$1,MATCH(D37,'4.2民生電力需要量'!$E:$E,0)-1,0),"")</f>
        <v/>
      </c>
      <c r="D37" s="96" t="s">
        <v>130</v>
      </c>
      <c r="E37" s="72" t="s">
        <v>131</v>
      </c>
      <c r="F37" s="1063" t="str">
        <f ca="1">IFERROR(OFFSET('4.2民生電力需要量'!$G$1,MATCH($D37,'4.2民生電力需要量'!$E:$E,0)-1,0),"")</f>
        <v/>
      </c>
      <c r="G37" s="1063"/>
      <c r="H37" s="1063"/>
      <c r="I37" s="1063"/>
      <c r="J37" s="1063"/>
      <c r="K37" s="1063"/>
      <c r="L37" s="1063"/>
      <c r="M37" s="8"/>
      <c r="R37" s="257" t="str">
        <f ca="1">IFERROR(OFFSET('4.2民生電力需要量'!$G$1,MATCH($D37,'4.2民生電力需要量'!$E:$E,0)-1,0),"")</f>
        <v/>
      </c>
      <c r="S37" s="177"/>
      <c r="T37" s="177"/>
      <c r="U37" s="177"/>
      <c r="V37" s="177"/>
      <c r="W37" s="177"/>
      <c r="X37" s="177"/>
      <c r="Y37" s="177"/>
      <c r="Z37" s="177"/>
      <c r="AA37" s="177">
        <f ca="1">(F37=R37)*1</f>
        <v>1</v>
      </c>
    </row>
    <row r="38" spans="1:27" customFormat="1">
      <c r="B38" s="7"/>
      <c r="C38" s="74"/>
      <c r="D38" s="66"/>
      <c r="E38" s="72" t="s">
        <v>221</v>
      </c>
      <c r="F38" s="1062" t="str">
        <f ca="1">IFERROR(OFFSET('4.2民生電力需要量'!$I$1,MATCH($D37,'4.2民生電力需要量'!$E:$E,0)-1,0),"")</f>
        <v/>
      </c>
      <c r="G38" s="1062"/>
      <c r="H38" s="1062"/>
      <c r="I38" s="1062"/>
      <c r="J38" s="1062"/>
      <c r="K38" s="1062"/>
      <c r="L38" s="1062"/>
      <c r="M38" s="8"/>
      <c r="R38" s="257" t="str">
        <f ca="1">IFERROR(OFFSET('4.2民生電力需要量'!$I$1,MATCH($D37,'4.2民生電力需要量'!$E:$E,0)-1,0),"")</f>
        <v/>
      </c>
      <c r="S38" s="177"/>
      <c r="T38" s="177"/>
      <c r="U38" s="177"/>
      <c r="V38" s="177"/>
      <c r="W38" s="177"/>
      <c r="X38" s="177"/>
      <c r="Y38" s="177"/>
      <c r="Z38" s="177"/>
      <c r="AA38" s="177">
        <f t="shared" ref="AA38:AA39" ca="1" si="15">(F38=R38)*1</f>
        <v>1</v>
      </c>
    </row>
    <row r="39" spans="1:27" customFormat="1">
      <c r="B39" s="7"/>
      <c r="C39" s="74"/>
      <c r="D39" s="66"/>
      <c r="E39" s="72" t="s">
        <v>176</v>
      </c>
      <c r="F39" s="1063" t="str">
        <f>_xlfn.IFNA(R39,"")</f>
        <v/>
      </c>
      <c r="G39" s="1063"/>
      <c r="H39" s="1063"/>
      <c r="I39" s="1063"/>
      <c r="J39" s="1063"/>
      <c r="K39" s="1063"/>
      <c r="L39" s="1063"/>
      <c r="M39" s="8"/>
      <c r="R39" s="131" t="str">
        <f>IF(OR(COUNTIF($E41:$E46,"&lt;&gt;〇〇(合意形成対象者名に書き換え)")=3,COUNTIF($E41:$E46,"")&gt;3),"",IF(PRODUCT($Y41:$Y46)=1,Z41,""))</f>
        <v/>
      </c>
      <c r="S39" s="177"/>
      <c r="T39" s="177"/>
      <c r="U39" s="177"/>
      <c r="V39" s="177"/>
      <c r="W39" s="177"/>
      <c r="X39" s="177"/>
      <c r="Y39" s="177"/>
      <c r="Z39" s="177"/>
      <c r="AA39" s="177">
        <f t="shared" si="15"/>
        <v>1</v>
      </c>
    </row>
    <row r="40" spans="1:27" ht="63.75" customHeight="1">
      <c r="B40" s="97"/>
      <c r="C40" s="98"/>
      <c r="D40" s="99"/>
      <c r="E40" s="374"/>
      <c r="F40" s="315" t="s">
        <v>270</v>
      </c>
      <c r="G40" s="315" t="s">
        <v>273</v>
      </c>
      <c r="H40" s="315" t="s">
        <v>274</v>
      </c>
      <c r="I40" s="315" t="s">
        <v>271</v>
      </c>
      <c r="J40" s="315" t="s">
        <v>440</v>
      </c>
      <c r="K40" s="315" t="s">
        <v>441</v>
      </c>
      <c r="L40" s="315" t="s">
        <v>272</v>
      </c>
      <c r="M40" s="100"/>
      <c r="N40" s="11"/>
      <c r="R40" s="128" t="s">
        <v>302</v>
      </c>
      <c r="S40" s="259" t="s">
        <v>429</v>
      </c>
      <c r="T40" s="128" t="s">
        <v>430</v>
      </c>
      <c r="U40" s="298" t="s">
        <v>442</v>
      </c>
      <c r="V40" s="258" t="s">
        <v>272</v>
      </c>
      <c r="W40" s="128" t="s">
        <v>432</v>
      </c>
      <c r="X40" s="131" t="s">
        <v>408</v>
      </c>
      <c r="Y40" s="131" t="s">
        <v>436</v>
      </c>
      <c r="Z40" s="128" t="s">
        <v>431</v>
      </c>
      <c r="AA40" s="257"/>
    </row>
    <row r="41" spans="1:27" hidden="1">
      <c r="B41" s="97"/>
      <c r="C41" s="98"/>
      <c r="D41" s="99"/>
      <c r="E41" s="444"/>
      <c r="F41" s="445"/>
      <c r="G41" s="441"/>
      <c r="H41" s="445"/>
      <c r="I41" s="441"/>
      <c r="J41" s="445"/>
      <c r="K41" s="441"/>
      <c r="L41" s="446"/>
      <c r="M41" s="100"/>
      <c r="N41" s="11"/>
      <c r="R41" s="131">
        <f t="shared" ref="R41:R46" si="16">IF(F41="実施済",1,0)</f>
        <v>0</v>
      </c>
      <c r="S41" s="260"/>
      <c r="T41" s="131">
        <f t="shared" ref="T41:T46" si="17">IF(AND(H41="実施済",I41="実施済"),R41*1,0)</f>
        <v>0</v>
      </c>
      <c r="U41" s="131">
        <f>IF(AND(J41="実施済",K41="実施済"),$T41*1,0)</f>
        <v>0</v>
      </c>
      <c r="V41" s="260"/>
      <c r="W41" s="131" t="str">
        <f>IF(OR(E41="〇〇(合意形成対象者名に書き換え)",E41=""),"",SUM(R41,T41,U41))</f>
        <v/>
      </c>
      <c r="X41" s="131">
        <f t="shared" ref="X41:X46" si="18">MIN($W$41:$W$46)+1</f>
        <v>1</v>
      </c>
      <c r="Y41" s="131">
        <f>IF(E41="",1,IF(AND(E41="〇〇(合意形成対象者名に書き換え)",COUNTA($F41:$L41)=0),1,IF(AND(E41&lt;&gt;"〇〇(合意形成対象者名に書き換え)",COUNTA($F41:$L41)=7),1,0)))</f>
        <v>1</v>
      </c>
      <c r="Z41" s="131" t="str" cm="1">
        <f t="array" ref="Z41">_xlfn.IFS(X41=4,"A",X41=3,"B",X41=2,"C",X41=1,"D")</f>
        <v>D</v>
      </c>
      <c r="AA41" s="257"/>
    </row>
    <row r="42" spans="1:27">
      <c r="B42" s="97"/>
      <c r="C42" s="98"/>
      <c r="D42" s="99"/>
      <c r="E42" s="450" t="s">
        <v>129</v>
      </c>
      <c r="F42" s="449"/>
      <c r="G42" s="443"/>
      <c r="H42" s="449"/>
      <c r="I42" s="443"/>
      <c r="J42" s="449"/>
      <c r="K42" s="443"/>
      <c r="L42" s="443"/>
      <c r="M42" s="100"/>
      <c r="N42" s="11"/>
      <c r="R42" s="131">
        <f t="shared" si="16"/>
        <v>0</v>
      </c>
      <c r="S42" s="260"/>
      <c r="T42" s="131">
        <f t="shared" si="17"/>
        <v>0</v>
      </c>
      <c r="U42" s="131">
        <f t="shared" ref="U42:U44" si="19">IF(AND(J42="実施済",K42="実施済"),$T42*1,0)</f>
        <v>0</v>
      </c>
      <c r="V42" s="260"/>
      <c r="W42" s="131" t="str">
        <f t="shared" ref="W42:W46" si="20">IF(OR(E42="〇〇(合意形成対象者名に書き換え)",E42=""),"",SUM(R42,T42,U42))</f>
        <v/>
      </c>
      <c r="X42" s="131">
        <f t="shared" si="18"/>
        <v>1</v>
      </c>
      <c r="Y42" s="131">
        <f t="shared" ref="Y42:Y46" si="21">IF(E42="",1,IF(AND(E42="〇〇(合意形成対象者名に書き換え)",COUNTA($F42:$L42)=0),1,IF(AND(E42&lt;&gt;"〇〇(合意形成対象者名に書き換え)",COUNTA($F42:$L42)=7),1,0)))</f>
        <v>1</v>
      </c>
      <c r="Z42" s="131" t="str" cm="1">
        <f t="array" ref="Z42">_xlfn.IFS(X42=4,"A",X42=3,"B",X42=2,"C",X42=1,"D")</f>
        <v>D</v>
      </c>
      <c r="AA42" s="257"/>
    </row>
    <row r="43" spans="1:27">
      <c r="B43" s="97"/>
      <c r="C43" s="98"/>
      <c r="D43" s="99"/>
      <c r="E43" s="450" t="s">
        <v>129</v>
      </c>
      <c r="F43" s="449"/>
      <c r="G43" s="443"/>
      <c r="H43" s="449"/>
      <c r="I43" s="443"/>
      <c r="J43" s="449"/>
      <c r="K43" s="443"/>
      <c r="L43" s="443"/>
      <c r="M43" s="100"/>
      <c r="N43" s="11"/>
      <c r="R43" s="131">
        <f t="shared" si="16"/>
        <v>0</v>
      </c>
      <c r="S43" s="260"/>
      <c r="T43" s="131">
        <f t="shared" si="17"/>
        <v>0</v>
      </c>
      <c r="U43" s="131">
        <f t="shared" si="19"/>
        <v>0</v>
      </c>
      <c r="V43" s="260"/>
      <c r="W43" s="131" t="str">
        <f t="shared" si="20"/>
        <v/>
      </c>
      <c r="X43" s="131">
        <f t="shared" si="18"/>
        <v>1</v>
      </c>
      <c r="Y43" s="131">
        <f t="shared" si="21"/>
        <v>1</v>
      </c>
      <c r="Z43" s="131" t="str" cm="1">
        <f t="array" ref="Z43">_xlfn.IFS(X43=4,"A",X43=3,"B",X43=2,"C",X43=1,"D")</f>
        <v>D</v>
      </c>
      <c r="AA43" s="257"/>
    </row>
    <row r="44" spans="1:27" s="101" customFormat="1">
      <c r="A44" s="11"/>
      <c r="B44" s="97"/>
      <c r="C44" s="98"/>
      <c r="D44" s="99"/>
      <c r="E44" s="450" t="s">
        <v>129</v>
      </c>
      <c r="F44" s="449"/>
      <c r="G44" s="443"/>
      <c r="H44" s="449"/>
      <c r="I44" s="443"/>
      <c r="J44" s="449"/>
      <c r="K44" s="443"/>
      <c r="L44" s="443"/>
      <c r="M44" s="100"/>
      <c r="N44" s="11"/>
      <c r="Q44" s="11"/>
      <c r="R44" s="131">
        <f t="shared" si="16"/>
        <v>0</v>
      </c>
      <c r="S44" s="260"/>
      <c r="T44" s="131">
        <f t="shared" si="17"/>
        <v>0</v>
      </c>
      <c r="U44" s="131">
        <f t="shared" si="19"/>
        <v>0</v>
      </c>
      <c r="V44" s="260"/>
      <c r="W44" s="131" t="str">
        <f t="shared" si="20"/>
        <v/>
      </c>
      <c r="X44" s="131">
        <f t="shared" si="18"/>
        <v>1</v>
      </c>
      <c r="Y44" s="131">
        <f t="shared" si="21"/>
        <v>1</v>
      </c>
      <c r="Z44" s="131" t="str" cm="1">
        <f t="array" ref="Z44">_xlfn.IFS(X44=4,"A",X44=3,"B",X44=2,"C",X44=1,"D")</f>
        <v>D</v>
      </c>
      <c r="AA44" s="131"/>
    </row>
    <row r="45" spans="1:27" customFormat="1" ht="7.5" customHeight="1">
      <c r="B45" s="65"/>
      <c r="C45" s="4"/>
      <c r="D45" s="4"/>
      <c r="E45" s="4"/>
      <c r="F45" s="4"/>
      <c r="G45" s="4"/>
      <c r="H45" s="4"/>
      <c r="I45" s="4"/>
      <c r="J45" s="4"/>
      <c r="K45" s="4"/>
      <c r="L45" s="4"/>
      <c r="M45" s="9"/>
      <c r="N45" s="2"/>
      <c r="O45" s="2"/>
      <c r="P45" s="2"/>
      <c r="R45" s="131">
        <f t="shared" si="16"/>
        <v>0</v>
      </c>
      <c r="S45" s="260"/>
      <c r="T45" s="131">
        <f t="shared" si="17"/>
        <v>0</v>
      </c>
      <c r="U45" s="131">
        <f>IF(AND(J45="実施済",K45="実施済"),$T45*1,0)</f>
        <v>0</v>
      </c>
      <c r="V45" s="260"/>
      <c r="W45" s="131" t="str">
        <f t="shared" si="20"/>
        <v/>
      </c>
      <c r="X45" s="131">
        <f t="shared" si="18"/>
        <v>1</v>
      </c>
      <c r="Y45" s="131">
        <f t="shared" si="21"/>
        <v>1</v>
      </c>
      <c r="Z45" s="131" t="str" cm="1">
        <f t="array" ref="Z45">_xlfn.IFS(X45=4,"A",X45=3,"B",X45=2,"C",X45=1,"D")</f>
        <v>D</v>
      </c>
      <c r="AA45" s="177"/>
    </row>
    <row r="46" spans="1:27" customFormat="1" ht="18" customHeight="1">
      <c r="N46" s="2"/>
      <c r="O46" s="2"/>
      <c r="P46" s="2"/>
      <c r="R46" s="131">
        <f t="shared" si="16"/>
        <v>0</v>
      </c>
      <c r="S46" s="260"/>
      <c r="T46" s="131">
        <f t="shared" si="17"/>
        <v>0</v>
      </c>
      <c r="U46" s="131">
        <f t="shared" ref="U46" si="22">IF(AND(J46="実施済",K46="実施済"),$T46*1,0)</f>
        <v>0</v>
      </c>
      <c r="V46" s="260"/>
      <c r="W46" s="131" t="str">
        <f t="shared" si="20"/>
        <v/>
      </c>
      <c r="X46" s="131">
        <f t="shared" si="18"/>
        <v>1</v>
      </c>
      <c r="Y46" s="131">
        <f t="shared" si="21"/>
        <v>1</v>
      </c>
      <c r="Z46" s="131" t="str" cm="1">
        <f t="array" ref="Z46">_xlfn.IFS(X46=4,"A",X46=3,"B",X46=2,"C",X46=1,"D")</f>
        <v>D</v>
      </c>
      <c r="AA46" s="177"/>
    </row>
    <row r="47" spans="1:27" customFormat="1" ht="103.5" customHeight="1">
      <c r="C47" s="78"/>
      <c r="D47" s="79"/>
      <c r="E47" s="71" t="s">
        <v>238</v>
      </c>
      <c r="F47" s="1057"/>
      <c r="G47" s="1057"/>
      <c r="H47" s="1057"/>
      <c r="I47" s="1057"/>
      <c r="J47" s="1057"/>
      <c r="K47" s="1057"/>
      <c r="L47" s="1057"/>
      <c r="M47" s="80" t="s">
        <v>132</v>
      </c>
      <c r="N47" s="80"/>
    </row>
    <row r="48" spans="1:27" customFormat="1" ht="146.25" customHeight="1">
      <c r="C48" s="75"/>
      <c r="D48" s="68"/>
      <c r="E48" s="71" t="s">
        <v>237</v>
      </c>
      <c r="F48" s="1057"/>
      <c r="G48" s="1057"/>
      <c r="H48" s="1057"/>
      <c r="I48" s="1057"/>
      <c r="J48" s="1057"/>
      <c r="K48" s="1057"/>
      <c r="L48" s="1057"/>
      <c r="N48" s="2"/>
      <c r="O48" s="2"/>
      <c r="P48" s="2"/>
    </row>
    <row r="49" spans="1:27" customFormat="1" ht="13.5" customHeight="1" thickBot="1">
      <c r="A49" s="81"/>
      <c r="B49" s="81"/>
      <c r="C49" s="81"/>
      <c r="D49" s="81"/>
      <c r="E49" s="81"/>
      <c r="F49" s="81"/>
      <c r="G49" s="81"/>
      <c r="H49" s="81"/>
      <c r="I49" s="81"/>
      <c r="J49" s="81"/>
      <c r="K49" s="81"/>
      <c r="L49" s="81"/>
      <c r="M49" s="81"/>
      <c r="N49" s="82"/>
      <c r="O49" s="2"/>
      <c r="P49" s="2"/>
    </row>
    <row r="50" spans="1:27" customFormat="1" ht="13.5" customHeight="1">
      <c r="A50" s="83"/>
      <c r="B50" s="83"/>
      <c r="C50" s="83"/>
      <c r="D50" s="83"/>
      <c r="E50" s="83"/>
      <c r="F50" s="83"/>
      <c r="G50" s="83"/>
      <c r="H50" s="83"/>
      <c r="I50" s="83"/>
      <c r="J50" s="83"/>
      <c r="K50" s="83"/>
      <c r="L50" s="83"/>
      <c r="M50" s="83"/>
      <c r="N50" s="84"/>
      <c r="O50" s="2"/>
      <c r="P50" s="2"/>
    </row>
    <row r="51" spans="1:27" customFormat="1" ht="15" customHeight="1">
      <c r="B51" s="10"/>
      <c r="C51" s="5"/>
      <c r="D51" s="5"/>
      <c r="E51" s="5"/>
      <c r="F51" s="5"/>
      <c r="G51" s="5"/>
      <c r="H51" s="5"/>
      <c r="I51" s="5"/>
      <c r="J51" s="5"/>
      <c r="K51" s="5"/>
      <c r="L51" s="5"/>
      <c r="M51" s="6"/>
      <c r="R51" s="11" t="str">
        <f>D52</f>
        <v>(選択してください)</v>
      </c>
    </row>
    <row r="52" spans="1:27" customFormat="1">
      <c r="B52" s="7"/>
      <c r="C52" s="77" t="str">
        <f ca="1">IFERROR(OFFSET('4.2民生電力需要量'!$C$1,MATCH(D52,'4.2民生電力需要量'!$E:$E,0)-1,0),"")</f>
        <v/>
      </c>
      <c r="D52" s="96" t="s">
        <v>130</v>
      </c>
      <c r="E52" s="72" t="s">
        <v>131</v>
      </c>
      <c r="F52" s="1063" t="str">
        <f ca="1">IFERROR(OFFSET('4.2民生電力需要量'!$G$1,MATCH($D52,'4.2民生電力需要量'!$E:$E,0)-1,0),"")</f>
        <v/>
      </c>
      <c r="G52" s="1063"/>
      <c r="H52" s="1063"/>
      <c r="I52" s="1063"/>
      <c r="J52" s="1063"/>
      <c r="K52" s="1063"/>
      <c r="L52" s="1063"/>
      <c r="M52" s="8"/>
      <c r="R52" s="257" t="str">
        <f ca="1">IFERROR(OFFSET('4.2民生電力需要量'!$G$1,MATCH($D52,'4.2民生電力需要量'!$E:$E,0)-1,0),"")</f>
        <v/>
      </c>
      <c r="S52" s="177"/>
      <c r="T52" s="177"/>
      <c r="U52" s="177"/>
      <c r="V52" s="177"/>
      <c r="W52" s="177"/>
      <c r="X52" s="177"/>
      <c r="Y52" s="177"/>
      <c r="Z52" s="177"/>
      <c r="AA52" s="177">
        <f ca="1">(F52=R52)*1</f>
        <v>1</v>
      </c>
    </row>
    <row r="53" spans="1:27" customFormat="1">
      <c r="B53" s="7"/>
      <c r="C53" s="74"/>
      <c r="D53" s="66"/>
      <c r="E53" s="72" t="s">
        <v>221</v>
      </c>
      <c r="F53" s="1062" t="str">
        <f ca="1">IFERROR(OFFSET('4.2民生電力需要量'!$I$1,MATCH($D52,'4.2民生電力需要量'!$E:$E,0)-1,0),"")</f>
        <v/>
      </c>
      <c r="G53" s="1062"/>
      <c r="H53" s="1062"/>
      <c r="I53" s="1062"/>
      <c r="J53" s="1062"/>
      <c r="K53" s="1062"/>
      <c r="L53" s="1062"/>
      <c r="M53" s="8"/>
      <c r="R53" s="257" t="str">
        <f ca="1">IFERROR(OFFSET('4.2民生電力需要量'!$I$1,MATCH($D52,'4.2民生電力需要量'!$E:$E,0)-1,0),"")</f>
        <v/>
      </c>
      <c r="S53" s="177"/>
      <c r="T53" s="177"/>
      <c r="U53" s="177"/>
      <c r="V53" s="177"/>
      <c r="W53" s="177"/>
      <c r="X53" s="177"/>
      <c r="Y53" s="177"/>
      <c r="Z53" s="177"/>
      <c r="AA53" s="177">
        <f t="shared" ref="AA53:AA54" ca="1" si="23">(F53=R53)*1</f>
        <v>1</v>
      </c>
    </row>
    <row r="54" spans="1:27" customFormat="1">
      <c r="B54" s="7"/>
      <c r="C54" s="74"/>
      <c r="D54" s="66"/>
      <c r="E54" s="72" t="s">
        <v>176</v>
      </c>
      <c r="F54" s="1063" t="str">
        <f>_xlfn.IFNA(R54,"")</f>
        <v/>
      </c>
      <c r="G54" s="1063"/>
      <c r="H54" s="1063"/>
      <c r="I54" s="1063"/>
      <c r="J54" s="1063"/>
      <c r="K54" s="1063"/>
      <c r="L54" s="1063"/>
      <c r="M54" s="8"/>
      <c r="R54" s="131" t="str">
        <f>IF(OR(COUNTIF($E56:$E61,"&lt;&gt;〇〇(合意形成対象者名に書き換え)")=3,COUNTIF($E56:$E61,"")&gt;3),"",IF(PRODUCT($Y56:$Y61)=1,Z56,""))</f>
        <v/>
      </c>
      <c r="S54" s="177"/>
      <c r="T54" s="177"/>
      <c r="U54" s="177"/>
      <c r="V54" s="177"/>
      <c r="W54" s="177"/>
      <c r="X54" s="177"/>
      <c r="Y54" s="177"/>
      <c r="Z54" s="177"/>
      <c r="AA54" s="177">
        <f t="shared" si="23"/>
        <v>1</v>
      </c>
    </row>
    <row r="55" spans="1:27" ht="63.75" customHeight="1">
      <c r="B55" s="97"/>
      <c r="C55" s="98"/>
      <c r="D55" s="99"/>
      <c r="E55" s="374"/>
      <c r="F55" s="315" t="s">
        <v>270</v>
      </c>
      <c r="G55" s="315" t="s">
        <v>273</v>
      </c>
      <c r="H55" s="315" t="s">
        <v>274</v>
      </c>
      <c r="I55" s="315" t="s">
        <v>271</v>
      </c>
      <c r="J55" s="315" t="s">
        <v>440</v>
      </c>
      <c r="K55" s="315" t="s">
        <v>441</v>
      </c>
      <c r="L55" s="315" t="s">
        <v>272</v>
      </c>
      <c r="M55" s="100"/>
      <c r="N55" s="11"/>
      <c r="R55" s="128" t="s">
        <v>302</v>
      </c>
      <c r="S55" s="259" t="s">
        <v>429</v>
      </c>
      <c r="T55" s="128" t="s">
        <v>430</v>
      </c>
      <c r="U55" s="298" t="s">
        <v>442</v>
      </c>
      <c r="V55" s="258" t="s">
        <v>272</v>
      </c>
      <c r="W55" s="128" t="s">
        <v>432</v>
      </c>
      <c r="X55" s="131" t="s">
        <v>408</v>
      </c>
      <c r="Y55" s="131" t="s">
        <v>436</v>
      </c>
      <c r="Z55" s="128" t="s">
        <v>431</v>
      </c>
      <c r="AA55" s="257"/>
    </row>
    <row r="56" spans="1:27" hidden="1">
      <c r="B56" s="97"/>
      <c r="C56" s="98"/>
      <c r="D56" s="99"/>
      <c r="E56" s="444"/>
      <c r="F56" s="445"/>
      <c r="G56" s="441"/>
      <c r="H56" s="445"/>
      <c r="I56" s="441"/>
      <c r="J56" s="445"/>
      <c r="K56" s="441"/>
      <c r="L56" s="446"/>
      <c r="M56" s="100"/>
      <c r="N56" s="11"/>
      <c r="R56" s="131">
        <f t="shared" ref="R56:R61" si="24">IF(F56="実施済",1,0)</f>
        <v>0</v>
      </c>
      <c r="S56" s="260"/>
      <c r="T56" s="131">
        <f t="shared" ref="T56:T61" si="25">IF(AND(H56="実施済",I56="実施済"),R56*1,0)</f>
        <v>0</v>
      </c>
      <c r="U56" s="131">
        <f>IF(AND(J56="実施済",K56="実施済"),$T56*1,0)</f>
        <v>0</v>
      </c>
      <c r="V56" s="260"/>
      <c r="W56" s="131" t="str">
        <f>IF(OR(E56="〇〇(合意形成対象者名に書き換え)",E56=""),"",SUM(R56,T56,U56))</f>
        <v/>
      </c>
      <c r="X56" s="131">
        <f t="shared" ref="X56:X61" si="26">MIN($W$56:$W$61)+1</f>
        <v>1</v>
      </c>
      <c r="Y56" s="131">
        <f>IF(E56="",1,IF(AND(E56="〇〇(合意形成対象者名に書き換え)",COUNTA($F56:$L56)=0),1,IF(AND(E56&lt;&gt;"〇〇(合意形成対象者名に書き換え)",COUNTA($F56:$L56)=7),1,0)))</f>
        <v>1</v>
      </c>
      <c r="Z56" s="131" t="str" cm="1">
        <f t="array" ref="Z56">_xlfn.IFS(X56=4,"A",X56=3,"B",X56=2,"C",X56=1,"D")</f>
        <v>D</v>
      </c>
      <c r="AA56" s="257"/>
    </row>
    <row r="57" spans="1:27">
      <c r="B57" s="97"/>
      <c r="C57" s="98"/>
      <c r="D57" s="99"/>
      <c r="E57" s="450" t="s">
        <v>129</v>
      </c>
      <c r="F57" s="449"/>
      <c r="G57" s="443"/>
      <c r="H57" s="449"/>
      <c r="I57" s="443"/>
      <c r="J57" s="449"/>
      <c r="K57" s="443"/>
      <c r="L57" s="443"/>
      <c r="M57" s="100"/>
      <c r="N57" s="11"/>
      <c r="R57" s="131">
        <f t="shared" si="24"/>
        <v>0</v>
      </c>
      <c r="S57" s="260"/>
      <c r="T57" s="131">
        <f t="shared" si="25"/>
        <v>0</v>
      </c>
      <c r="U57" s="131">
        <f t="shared" ref="U57:U59" si="27">IF(AND(J57="実施済",K57="実施済"),$T57*1,0)</f>
        <v>0</v>
      </c>
      <c r="V57" s="260"/>
      <c r="W57" s="131" t="str">
        <f t="shared" ref="W57:W61" si="28">IF(OR(E57="〇〇(合意形成対象者名に書き換え)",E57=""),"",SUM(R57,T57,U57))</f>
        <v/>
      </c>
      <c r="X57" s="131">
        <f t="shared" si="26"/>
        <v>1</v>
      </c>
      <c r="Y57" s="131">
        <f t="shared" ref="Y57:Y61" si="29">IF(E57="",1,IF(AND(E57="〇〇(合意形成対象者名に書き換え)",COUNTA($F57:$L57)=0),1,IF(AND(E57&lt;&gt;"〇〇(合意形成対象者名に書き換え)",COUNTA($F57:$L57)=7),1,0)))</f>
        <v>1</v>
      </c>
      <c r="Z57" s="131" t="str" cm="1">
        <f t="array" ref="Z57">_xlfn.IFS(X57=4,"A",X57=3,"B",X57=2,"C",X57=1,"D")</f>
        <v>D</v>
      </c>
      <c r="AA57" s="257"/>
    </row>
    <row r="58" spans="1:27">
      <c r="B58" s="97"/>
      <c r="C58" s="98"/>
      <c r="D58" s="99"/>
      <c r="E58" s="450" t="s">
        <v>129</v>
      </c>
      <c r="F58" s="449"/>
      <c r="G58" s="443"/>
      <c r="H58" s="449"/>
      <c r="I58" s="443"/>
      <c r="J58" s="449"/>
      <c r="K58" s="443"/>
      <c r="L58" s="443"/>
      <c r="M58" s="100"/>
      <c r="N58" s="11"/>
      <c r="R58" s="131">
        <f t="shared" si="24"/>
        <v>0</v>
      </c>
      <c r="S58" s="260"/>
      <c r="T58" s="131">
        <f t="shared" si="25"/>
        <v>0</v>
      </c>
      <c r="U58" s="131">
        <f t="shared" si="27"/>
        <v>0</v>
      </c>
      <c r="V58" s="260"/>
      <c r="W58" s="131" t="str">
        <f t="shared" si="28"/>
        <v/>
      </c>
      <c r="X58" s="131">
        <f t="shared" si="26"/>
        <v>1</v>
      </c>
      <c r="Y58" s="131">
        <f t="shared" si="29"/>
        <v>1</v>
      </c>
      <c r="Z58" s="131" t="str" cm="1">
        <f t="array" ref="Z58">_xlfn.IFS(X58=4,"A",X58=3,"B",X58=2,"C",X58=1,"D")</f>
        <v>D</v>
      </c>
      <c r="AA58" s="257"/>
    </row>
    <row r="59" spans="1:27" s="101" customFormat="1">
      <c r="A59" s="11"/>
      <c r="B59" s="97"/>
      <c r="C59" s="98"/>
      <c r="D59" s="99"/>
      <c r="E59" s="450" t="s">
        <v>129</v>
      </c>
      <c r="F59" s="449"/>
      <c r="G59" s="443"/>
      <c r="H59" s="449"/>
      <c r="I59" s="443"/>
      <c r="J59" s="449"/>
      <c r="K59" s="443"/>
      <c r="L59" s="443"/>
      <c r="M59" s="100"/>
      <c r="N59" s="11"/>
      <c r="Q59" s="11"/>
      <c r="R59" s="131">
        <f t="shared" si="24"/>
        <v>0</v>
      </c>
      <c r="S59" s="260"/>
      <c r="T59" s="131">
        <f t="shared" si="25"/>
        <v>0</v>
      </c>
      <c r="U59" s="131">
        <f t="shared" si="27"/>
        <v>0</v>
      </c>
      <c r="V59" s="260"/>
      <c r="W59" s="131" t="str">
        <f t="shared" si="28"/>
        <v/>
      </c>
      <c r="X59" s="131">
        <f t="shared" si="26"/>
        <v>1</v>
      </c>
      <c r="Y59" s="131">
        <f t="shared" si="29"/>
        <v>1</v>
      </c>
      <c r="Z59" s="131" t="str" cm="1">
        <f t="array" ref="Z59">_xlfn.IFS(X59=4,"A",X59=3,"B",X59=2,"C",X59=1,"D")</f>
        <v>D</v>
      </c>
      <c r="AA59" s="131"/>
    </row>
    <row r="60" spans="1:27" customFormat="1" ht="7.5" customHeight="1">
      <c r="B60" s="65"/>
      <c r="C60" s="4"/>
      <c r="D60" s="4"/>
      <c r="E60" s="4"/>
      <c r="F60" s="4"/>
      <c r="G60" s="4"/>
      <c r="H60" s="4"/>
      <c r="I60" s="4"/>
      <c r="J60" s="4"/>
      <c r="K60" s="4"/>
      <c r="L60" s="4"/>
      <c r="M60" s="9"/>
      <c r="N60" s="2"/>
      <c r="O60" s="2"/>
      <c r="P60" s="2"/>
      <c r="R60" s="131">
        <f t="shared" si="24"/>
        <v>0</v>
      </c>
      <c r="S60" s="260"/>
      <c r="T60" s="131">
        <f t="shared" si="25"/>
        <v>0</v>
      </c>
      <c r="U60" s="131">
        <f>IF(AND(J60="実施済",K60="実施済"),$T60*1,0)</f>
        <v>0</v>
      </c>
      <c r="V60" s="260"/>
      <c r="W60" s="131" t="str">
        <f t="shared" si="28"/>
        <v/>
      </c>
      <c r="X60" s="131">
        <f t="shared" si="26"/>
        <v>1</v>
      </c>
      <c r="Y60" s="131">
        <f t="shared" si="29"/>
        <v>1</v>
      </c>
      <c r="Z60" s="131" t="str" cm="1">
        <f t="array" ref="Z60">_xlfn.IFS(X60=4,"A",X60=3,"B",X60=2,"C",X60=1,"D")</f>
        <v>D</v>
      </c>
      <c r="AA60" s="177"/>
    </row>
    <row r="61" spans="1:27" customFormat="1" ht="18" customHeight="1">
      <c r="N61" s="2"/>
      <c r="O61" s="2"/>
      <c r="P61" s="2"/>
      <c r="R61" s="131">
        <f t="shared" si="24"/>
        <v>0</v>
      </c>
      <c r="S61" s="260"/>
      <c r="T61" s="131">
        <f t="shared" si="25"/>
        <v>0</v>
      </c>
      <c r="U61" s="131">
        <f t="shared" ref="U61" si="30">IF(AND(J61="実施済",K61="実施済"),$T61*1,0)</f>
        <v>0</v>
      </c>
      <c r="V61" s="260"/>
      <c r="W61" s="131" t="str">
        <f t="shared" si="28"/>
        <v/>
      </c>
      <c r="X61" s="131">
        <f t="shared" si="26"/>
        <v>1</v>
      </c>
      <c r="Y61" s="131">
        <f t="shared" si="29"/>
        <v>1</v>
      </c>
      <c r="Z61" s="131" t="str" cm="1">
        <f t="array" ref="Z61">_xlfn.IFS(X61=4,"A",X61=3,"B",X61=2,"C",X61=1,"D")</f>
        <v>D</v>
      </c>
      <c r="AA61" s="177"/>
    </row>
    <row r="62" spans="1:27" customFormat="1" ht="103.5" customHeight="1">
      <c r="C62" s="78"/>
      <c r="D62" s="79"/>
      <c r="E62" s="71" t="s">
        <v>238</v>
      </c>
      <c r="F62" s="1057"/>
      <c r="G62" s="1057"/>
      <c r="H62" s="1057"/>
      <c r="I62" s="1057"/>
      <c r="J62" s="1057"/>
      <c r="K62" s="1057"/>
      <c r="L62" s="1057"/>
      <c r="M62" s="80" t="s">
        <v>132</v>
      </c>
      <c r="N62" s="80"/>
    </row>
    <row r="63" spans="1:27" customFormat="1" ht="146.25" customHeight="1">
      <c r="C63" s="75"/>
      <c r="D63" s="68"/>
      <c r="E63" s="71" t="s">
        <v>237</v>
      </c>
      <c r="F63" s="1057"/>
      <c r="G63" s="1057"/>
      <c r="H63" s="1057"/>
      <c r="I63" s="1057"/>
      <c r="J63" s="1057"/>
      <c r="K63" s="1057"/>
      <c r="L63" s="1057"/>
      <c r="N63" s="2"/>
      <c r="O63" s="2"/>
      <c r="P63" s="2"/>
    </row>
    <row r="64" spans="1:27" customFormat="1" ht="13.5" customHeight="1" thickBot="1">
      <c r="A64" s="81"/>
      <c r="B64" s="81"/>
      <c r="C64" s="81"/>
      <c r="D64" s="81"/>
      <c r="E64" s="81"/>
      <c r="F64" s="81"/>
      <c r="G64" s="81"/>
      <c r="H64" s="81"/>
      <c r="I64" s="81"/>
      <c r="J64" s="81"/>
      <c r="K64" s="81"/>
      <c r="L64" s="81"/>
      <c r="M64" s="81"/>
      <c r="N64" s="82"/>
      <c r="O64" s="2"/>
      <c r="P64" s="2"/>
    </row>
    <row r="65" spans="1:27" customFormat="1" ht="13.5" customHeight="1">
      <c r="A65" s="83"/>
      <c r="B65" s="83"/>
      <c r="C65" s="83"/>
      <c r="D65" s="83"/>
      <c r="E65" s="83"/>
      <c r="F65" s="83"/>
      <c r="G65" s="83"/>
      <c r="H65" s="83"/>
      <c r="I65" s="83"/>
      <c r="J65" s="83"/>
      <c r="K65" s="83"/>
      <c r="L65" s="83"/>
      <c r="M65" s="83"/>
      <c r="N65" s="84"/>
      <c r="O65" s="2"/>
      <c r="P65" s="2"/>
    </row>
    <row r="66" spans="1:27" customFormat="1" ht="15" customHeight="1">
      <c r="B66" s="10"/>
      <c r="C66" s="5"/>
      <c r="D66" s="5"/>
      <c r="E66" s="5"/>
      <c r="F66" s="5"/>
      <c r="G66" s="5"/>
      <c r="H66" s="5"/>
      <c r="I66" s="5"/>
      <c r="J66" s="5"/>
      <c r="K66" s="5"/>
      <c r="L66" s="5"/>
      <c r="M66" s="6"/>
      <c r="R66" s="11" t="str">
        <f>D67</f>
        <v>(選択してください)</v>
      </c>
    </row>
    <row r="67" spans="1:27" customFormat="1">
      <c r="B67" s="7"/>
      <c r="C67" s="77" t="str">
        <f ca="1">IFERROR(OFFSET('4.2民生電力需要量'!$C$1,MATCH(D67,'4.2民生電力需要量'!$E:$E,0)-1,0),"")</f>
        <v/>
      </c>
      <c r="D67" s="96" t="s">
        <v>130</v>
      </c>
      <c r="E67" s="72" t="s">
        <v>131</v>
      </c>
      <c r="F67" s="1063" t="str">
        <f ca="1">IFERROR(OFFSET('4.2民生電力需要量'!$G$1,MATCH($D67,'4.2民生電力需要量'!$E:$E,0)-1,0),"")</f>
        <v/>
      </c>
      <c r="G67" s="1063"/>
      <c r="H67" s="1063"/>
      <c r="I67" s="1063"/>
      <c r="J67" s="1063"/>
      <c r="K67" s="1063"/>
      <c r="L67" s="1063"/>
      <c r="M67" s="8"/>
      <c r="R67" s="257" t="str">
        <f ca="1">IFERROR(OFFSET('4.2民生電力需要量'!$G$1,MATCH($D67,'4.2民生電力需要量'!$E:$E,0)-1,0),"")</f>
        <v/>
      </c>
      <c r="S67" s="177"/>
      <c r="T67" s="177"/>
      <c r="U67" s="177"/>
      <c r="V67" s="177"/>
      <c r="W67" s="177"/>
      <c r="X67" s="177"/>
      <c r="Y67" s="177"/>
      <c r="Z67" s="177"/>
      <c r="AA67" s="177">
        <f ca="1">(F67=R67)*1</f>
        <v>1</v>
      </c>
    </row>
    <row r="68" spans="1:27" customFormat="1">
      <c r="B68" s="7"/>
      <c r="C68" s="74"/>
      <c r="D68" s="66"/>
      <c r="E68" s="72" t="s">
        <v>221</v>
      </c>
      <c r="F68" s="1062" t="str">
        <f ca="1">IFERROR(OFFSET('4.2民生電力需要量'!$I$1,MATCH($D67,'4.2民生電力需要量'!$E:$E,0)-1,0),"")</f>
        <v/>
      </c>
      <c r="G68" s="1062"/>
      <c r="H68" s="1062"/>
      <c r="I68" s="1062"/>
      <c r="J68" s="1062"/>
      <c r="K68" s="1062"/>
      <c r="L68" s="1062"/>
      <c r="M68" s="8"/>
      <c r="R68" s="257" t="str">
        <f ca="1">IFERROR(OFFSET('4.2民生電力需要量'!$I$1,MATCH($D67,'4.2民生電力需要量'!$E:$E,0)-1,0),"")</f>
        <v/>
      </c>
      <c r="S68" s="177"/>
      <c r="T68" s="177"/>
      <c r="U68" s="177"/>
      <c r="V68" s="177"/>
      <c r="W68" s="177"/>
      <c r="X68" s="177"/>
      <c r="Y68" s="177"/>
      <c r="Z68" s="177"/>
      <c r="AA68" s="177">
        <f t="shared" ref="AA68:AA69" ca="1" si="31">(F68=R68)*1</f>
        <v>1</v>
      </c>
    </row>
    <row r="69" spans="1:27" customFormat="1">
      <c r="B69" s="7"/>
      <c r="C69" s="74"/>
      <c r="D69" s="66"/>
      <c r="E69" s="72" t="s">
        <v>176</v>
      </c>
      <c r="F69" s="1063" t="str">
        <f>_xlfn.IFNA(R69,"")</f>
        <v/>
      </c>
      <c r="G69" s="1063"/>
      <c r="H69" s="1063"/>
      <c r="I69" s="1063"/>
      <c r="J69" s="1063"/>
      <c r="K69" s="1063"/>
      <c r="L69" s="1063"/>
      <c r="M69" s="8"/>
      <c r="R69" s="131" t="str">
        <f>IF(OR(COUNTIF($E71:$E76,"&lt;&gt;〇〇(合意形成対象者名に書き換え)")=3,COUNTIF($E71:$E76,"")&gt;3),"",IF(PRODUCT($Y71:$Y76)=1,Z71,""))</f>
        <v/>
      </c>
      <c r="S69" s="177"/>
      <c r="T69" s="177"/>
      <c r="U69" s="177"/>
      <c r="V69" s="177"/>
      <c r="W69" s="177"/>
      <c r="X69" s="177"/>
      <c r="Y69" s="177"/>
      <c r="Z69" s="177"/>
      <c r="AA69" s="177">
        <f t="shared" si="31"/>
        <v>1</v>
      </c>
    </row>
    <row r="70" spans="1:27" ht="63.75" customHeight="1">
      <c r="B70" s="97"/>
      <c r="C70" s="98"/>
      <c r="D70" s="99"/>
      <c r="E70" s="374"/>
      <c r="F70" s="315" t="s">
        <v>270</v>
      </c>
      <c r="G70" s="315" t="s">
        <v>273</v>
      </c>
      <c r="H70" s="315" t="s">
        <v>274</v>
      </c>
      <c r="I70" s="315" t="s">
        <v>271</v>
      </c>
      <c r="J70" s="315" t="s">
        <v>440</v>
      </c>
      <c r="K70" s="315" t="s">
        <v>441</v>
      </c>
      <c r="L70" s="315" t="s">
        <v>272</v>
      </c>
      <c r="M70" s="100"/>
      <c r="N70" s="11"/>
      <c r="R70" s="128" t="s">
        <v>302</v>
      </c>
      <c r="S70" s="259" t="s">
        <v>429</v>
      </c>
      <c r="T70" s="128" t="s">
        <v>430</v>
      </c>
      <c r="U70" s="298" t="s">
        <v>442</v>
      </c>
      <c r="V70" s="258" t="s">
        <v>272</v>
      </c>
      <c r="W70" s="128" t="s">
        <v>432</v>
      </c>
      <c r="X70" s="131" t="s">
        <v>408</v>
      </c>
      <c r="Y70" s="131" t="s">
        <v>436</v>
      </c>
      <c r="Z70" s="128" t="s">
        <v>431</v>
      </c>
      <c r="AA70" s="257"/>
    </row>
    <row r="71" spans="1:27" hidden="1">
      <c r="B71" s="97"/>
      <c r="C71" s="98"/>
      <c r="D71" s="99"/>
      <c r="E71" s="444"/>
      <c r="F71" s="445"/>
      <c r="G71" s="441"/>
      <c r="H71" s="445"/>
      <c r="I71" s="441"/>
      <c r="J71" s="445"/>
      <c r="K71" s="441"/>
      <c r="L71" s="446"/>
      <c r="M71" s="100"/>
      <c r="N71" s="11"/>
      <c r="R71" s="131">
        <f t="shared" ref="R71:R76" si="32">IF(F71="実施済",1,0)</f>
        <v>0</v>
      </c>
      <c r="S71" s="260"/>
      <c r="T71" s="131">
        <f t="shared" ref="T71:T76" si="33">IF(AND(H71="実施済",I71="実施済"),R71*1,0)</f>
        <v>0</v>
      </c>
      <c r="U71" s="131">
        <f>IF(AND(J71="実施済",K71="実施済"),$T71*1,0)</f>
        <v>0</v>
      </c>
      <c r="V71" s="260"/>
      <c r="W71" s="131" t="str">
        <f>IF(OR(E71="〇〇(合意形成対象者名に書き換え)",E71=""),"",SUM(R71,T71,U71))</f>
        <v/>
      </c>
      <c r="X71" s="131">
        <f t="shared" ref="X71:X76" si="34">MIN($W$71:$W$76)+1</f>
        <v>1</v>
      </c>
      <c r="Y71" s="131">
        <f>IF(E71="",1,IF(AND(E71="〇〇(合意形成対象者名に書き換え)",COUNTA($F71:$L71)=0),1,IF(AND(E71&lt;&gt;"〇〇(合意形成対象者名に書き換え)",COUNTA($F71:$L71)=7),1,0)))</f>
        <v>1</v>
      </c>
      <c r="Z71" s="131" t="str" cm="1">
        <f t="array" ref="Z71">_xlfn.IFS(X71=4,"A",X71=3,"B",X71=2,"C",X71=1,"D")</f>
        <v>D</v>
      </c>
      <c r="AA71" s="257"/>
    </row>
    <row r="72" spans="1:27">
      <c r="B72" s="97"/>
      <c r="C72" s="98"/>
      <c r="D72" s="99"/>
      <c r="E72" s="450" t="s">
        <v>129</v>
      </c>
      <c r="F72" s="449"/>
      <c r="G72" s="443"/>
      <c r="H72" s="449"/>
      <c r="I72" s="443"/>
      <c r="J72" s="449"/>
      <c r="K72" s="443"/>
      <c r="L72" s="443"/>
      <c r="M72" s="100"/>
      <c r="N72" s="11"/>
      <c r="R72" s="131">
        <f t="shared" si="32"/>
        <v>0</v>
      </c>
      <c r="S72" s="260"/>
      <c r="T72" s="131">
        <f t="shared" si="33"/>
        <v>0</v>
      </c>
      <c r="U72" s="131">
        <f t="shared" ref="U72:U74" si="35">IF(AND(J72="実施済",K72="実施済"),$T72*1,0)</f>
        <v>0</v>
      </c>
      <c r="V72" s="260"/>
      <c r="W72" s="131" t="str">
        <f t="shared" ref="W72:W76" si="36">IF(OR(E72="〇〇(合意形成対象者名に書き換え)",E72=""),"",SUM(R72,T72,U72))</f>
        <v/>
      </c>
      <c r="X72" s="131">
        <f t="shared" si="34"/>
        <v>1</v>
      </c>
      <c r="Y72" s="131">
        <f t="shared" ref="Y72:Y76" si="37">IF(E72="",1,IF(AND(E72="〇〇(合意形成対象者名に書き換え)",COUNTA($F72:$L72)=0),1,IF(AND(E72&lt;&gt;"〇〇(合意形成対象者名に書き換え)",COUNTA($F72:$L72)=7),1,0)))</f>
        <v>1</v>
      </c>
      <c r="Z72" s="131" t="str" cm="1">
        <f t="array" ref="Z72">_xlfn.IFS(X72=4,"A",X72=3,"B",X72=2,"C",X72=1,"D")</f>
        <v>D</v>
      </c>
      <c r="AA72" s="257"/>
    </row>
    <row r="73" spans="1:27">
      <c r="B73" s="97"/>
      <c r="C73" s="98"/>
      <c r="D73" s="99"/>
      <c r="E73" s="450" t="s">
        <v>129</v>
      </c>
      <c r="F73" s="449"/>
      <c r="G73" s="443"/>
      <c r="H73" s="449"/>
      <c r="I73" s="443"/>
      <c r="J73" s="449"/>
      <c r="K73" s="443"/>
      <c r="L73" s="443"/>
      <c r="M73" s="100"/>
      <c r="N73" s="11"/>
      <c r="R73" s="131">
        <f t="shared" si="32"/>
        <v>0</v>
      </c>
      <c r="S73" s="260"/>
      <c r="T73" s="131">
        <f t="shared" si="33"/>
        <v>0</v>
      </c>
      <c r="U73" s="131">
        <f t="shared" si="35"/>
        <v>0</v>
      </c>
      <c r="V73" s="260"/>
      <c r="W73" s="131" t="str">
        <f t="shared" si="36"/>
        <v/>
      </c>
      <c r="X73" s="131">
        <f t="shared" si="34"/>
        <v>1</v>
      </c>
      <c r="Y73" s="131">
        <f t="shared" si="37"/>
        <v>1</v>
      </c>
      <c r="Z73" s="131" t="str" cm="1">
        <f t="array" ref="Z73">_xlfn.IFS(X73=4,"A",X73=3,"B",X73=2,"C",X73=1,"D")</f>
        <v>D</v>
      </c>
      <c r="AA73" s="257"/>
    </row>
    <row r="74" spans="1:27" s="101" customFormat="1">
      <c r="A74" s="11"/>
      <c r="B74" s="97"/>
      <c r="C74" s="98"/>
      <c r="D74" s="99"/>
      <c r="E74" s="450" t="s">
        <v>129</v>
      </c>
      <c r="F74" s="449"/>
      <c r="G74" s="443"/>
      <c r="H74" s="449"/>
      <c r="I74" s="443"/>
      <c r="J74" s="449"/>
      <c r="K74" s="443"/>
      <c r="L74" s="443"/>
      <c r="M74" s="100"/>
      <c r="N74" s="11"/>
      <c r="Q74" s="11"/>
      <c r="R74" s="131">
        <f t="shared" si="32"/>
        <v>0</v>
      </c>
      <c r="S74" s="260"/>
      <c r="T74" s="131">
        <f t="shared" si="33"/>
        <v>0</v>
      </c>
      <c r="U74" s="131">
        <f t="shared" si="35"/>
        <v>0</v>
      </c>
      <c r="V74" s="260"/>
      <c r="W74" s="131" t="str">
        <f t="shared" si="36"/>
        <v/>
      </c>
      <c r="X74" s="131">
        <f t="shared" si="34"/>
        <v>1</v>
      </c>
      <c r="Y74" s="131">
        <f t="shared" si="37"/>
        <v>1</v>
      </c>
      <c r="Z74" s="131" t="str" cm="1">
        <f t="array" ref="Z74">_xlfn.IFS(X74=4,"A",X74=3,"B",X74=2,"C",X74=1,"D")</f>
        <v>D</v>
      </c>
      <c r="AA74" s="131"/>
    </row>
    <row r="75" spans="1:27" customFormat="1" ht="7.5" customHeight="1">
      <c r="B75" s="65"/>
      <c r="C75" s="4"/>
      <c r="D75" s="4"/>
      <c r="E75" s="4"/>
      <c r="F75" s="4"/>
      <c r="G75" s="4"/>
      <c r="H75" s="4"/>
      <c r="I75" s="4"/>
      <c r="J75" s="4"/>
      <c r="K75" s="4"/>
      <c r="L75" s="4"/>
      <c r="M75" s="9"/>
      <c r="N75" s="2"/>
      <c r="O75" s="2"/>
      <c r="P75" s="2"/>
      <c r="R75" s="131">
        <f t="shared" si="32"/>
        <v>0</v>
      </c>
      <c r="S75" s="260"/>
      <c r="T75" s="131">
        <f t="shared" si="33"/>
        <v>0</v>
      </c>
      <c r="U75" s="131">
        <f>IF(AND(J75="実施済",K75="実施済"),$T75*1,0)</f>
        <v>0</v>
      </c>
      <c r="V75" s="260"/>
      <c r="W75" s="131" t="str">
        <f t="shared" si="36"/>
        <v/>
      </c>
      <c r="X75" s="131">
        <f t="shared" si="34"/>
        <v>1</v>
      </c>
      <c r="Y75" s="131">
        <f t="shared" si="37"/>
        <v>1</v>
      </c>
      <c r="Z75" s="131" t="str" cm="1">
        <f t="array" ref="Z75">_xlfn.IFS(X75=4,"A",X75=3,"B",X75=2,"C",X75=1,"D")</f>
        <v>D</v>
      </c>
      <c r="AA75" s="177"/>
    </row>
    <row r="76" spans="1:27" customFormat="1" ht="18" customHeight="1">
      <c r="N76" s="2"/>
      <c r="O76" s="2"/>
      <c r="P76" s="2"/>
      <c r="R76" s="131">
        <f t="shared" si="32"/>
        <v>0</v>
      </c>
      <c r="S76" s="260"/>
      <c r="T76" s="131">
        <f t="shared" si="33"/>
        <v>0</v>
      </c>
      <c r="U76" s="131">
        <f t="shared" ref="U76" si="38">IF(AND(J76="実施済",K76="実施済"),$T76*1,0)</f>
        <v>0</v>
      </c>
      <c r="V76" s="260"/>
      <c r="W76" s="131" t="str">
        <f t="shared" si="36"/>
        <v/>
      </c>
      <c r="X76" s="131">
        <f t="shared" si="34"/>
        <v>1</v>
      </c>
      <c r="Y76" s="131">
        <f t="shared" si="37"/>
        <v>1</v>
      </c>
      <c r="Z76" s="131" t="str" cm="1">
        <f t="array" ref="Z76">_xlfn.IFS(X76=4,"A",X76=3,"B",X76=2,"C",X76=1,"D")</f>
        <v>D</v>
      </c>
      <c r="AA76" s="177"/>
    </row>
    <row r="77" spans="1:27" customFormat="1" ht="103.5" customHeight="1">
      <c r="C77" s="78"/>
      <c r="D77" s="79"/>
      <c r="E77" s="71" t="s">
        <v>238</v>
      </c>
      <c r="F77" s="1057"/>
      <c r="G77" s="1057"/>
      <c r="H77" s="1057"/>
      <c r="I77" s="1057"/>
      <c r="J77" s="1057"/>
      <c r="K77" s="1057"/>
      <c r="L77" s="1057"/>
      <c r="M77" s="80" t="s">
        <v>132</v>
      </c>
      <c r="N77" s="80"/>
    </row>
    <row r="78" spans="1:27" customFormat="1" ht="146.25" customHeight="1">
      <c r="C78" s="75"/>
      <c r="D78" s="68"/>
      <c r="E78" s="71" t="s">
        <v>237</v>
      </c>
      <c r="F78" s="1057"/>
      <c r="G78" s="1057"/>
      <c r="H78" s="1057"/>
      <c r="I78" s="1057"/>
      <c r="J78" s="1057"/>
      <c r="K78" s="1057"/>
      <c r="L78" s="1057"/>
      <c r="N78" s="2"/>
      <c r="O78" s="2"/>
      <c r="P78" s="2"/>
    </row>
    <row r="79" spans="1:27" customFormat="1" ht="13.5" customHeight="1" thickBot="1">
      <c r="A79" s="81"/>
      <c r="B79" s="81"/>
      <c r="C79" s="81"/>
      <c r="D79" s="81"/>
      <c r="E79" s="81"/>
      <c r="F79" s="81"/>
      <c r="G79" s="81"/>
      <c r="H79" s="81"/>
      <c r="I79" s="81"/>
      <c r="J79" s="81"/>
      <c r="K79" s="81"/>
      <c r="L79" s="81"/>
      <c r="M79" s="81"/>
      <c r="N79" s="82"/>
      <c r="O79" s="2"/>
      <c r="P79" s="2"/>
    </row>
    <row r="80" spans="1:27" customFormat="1" ht="13.5" customHeight="1">
      <c r="A80" s="83"/>
      <c r="B80" s="83"/>
      <c r="C80" s="83"/>
      <c r="D80" s="83"/>
      <c r="E80" s="83"/>
      <c r="F80" s="83"/>
      <c r="G80" s="83"/>
      <c r="H80" s="83"/>
      <c r="I80" s="83"/>
      <c r="J80" s="83"/>
      <c r="K80" s="83"/>
      <c r="L80" s="83"/>
      <c r="M80" s="83"/>
      <c r="N80" s="84"/>
      <c r="O80" s="2"/>
      <c r="P80" s="2"/>
    </row>
    <row r="81" spans="1:27" customFormat="1" ht="15" customHeight="1">
      <c r="B81" s="10"/>
      <c r="C81" s="5"/>
      <c r="D81" s="5"/>
      <c r="E81" s="5"/>
      <c r="F81" s="5"/>
      <c r="G81" s="5"/>
      <c r="H81" s="5"/>
      <c r="I81" s="5"/>
      <c r="J81" s="5"/>
      <c r="K81" s="5"/>
      <c r="L81" s="5"/>
      <c r="M81" s="6"/>
      <c r="R81" s="11" t="str">
        <f>D82</f>
        <v>(選択してください)</v>
      </c>
    </row>
    <row r="82" spans="1:27" customFormat="1">
      <c r="B82" s="7"/>
      <c r="C82" s="77" t="str">
        <f ca="1">IFERROR(OFFSET('4.2民生電力需要量'!$C$1,MATCH(D82,'4.2民生電力需要量'!$E:$E,0)-1,0),"")</f>
        <v/>
      </c>
      <c r="D82" s="96" t="s">
        <v>130</v>
      </c>
      <c r="E82" s="72" t="s">
        <v>131</v>
      </c>
      <c r="F82" s="1063" t="str">
        <f ca="1">IFERROR(OFFSET('4.2民生電力需要量'!$G$1,MATCH($D82,'4.2民生電力需要量'!$E:$E,0)-1,0),"")</f>
        <v/>
      </c>
      <c r="G82" s="1063"/>
      <c r="H82" s="1063"/>
      <c r="I82" s="1063"/>
      <c r="J82" s="1063"/>
      <c r="K82" s="1063"/>
      <c r="L82" s="1063"/>
      <c r="M82" s="8"/>
      <c r="R82" s="257" t="str">
        <f ca="1">IFERROR(OFFSET('4.2民生電力需要量'!$G$1,MATCH($D82,'4.2民生電力需要量'!$E:$E,0)-1,0),"")</f>
        <v/>
      </c>
      <c r="S82" s="177"/>
      <c r="T82" s="177"/>
      <c r="U82" s="177"/>
      <c r="V82" s="177"/>
      <c r="W82" s="177"/>
      <c r="X82" s="177"/>
      <c r="Y82" s="177"/>
      <c r="Z82" s="177"/>
      <c r="AA82" s="177">
        <f ca="1">(F82=R82)*1</f>
        <v>1</v>
      </c>
    </row>
    <row r="83" spans="1:27" customFormat="1">
      <c r="B83" s="7"/>
      <c r="C83" s="74"/>
      <c r="D83" s="66"/>
      <c r="E83" s="72" t="s">
        <v>221</v>
      </c>
      <c r="F83" s="1062" t="str">
        <f ca="1">IFERROR(OFFSET('4.2民生電力需要量'!$I$1,MATCH($D82,'4.2民生電力需要量'!$E:$E,0)-1,0),"")</f>
        <v/>
      </c>
      <c r="G83" s="1062"/>
      <c r="H83" s="1062"/>
      <c r="I83" s="1062"/>
      <c r="J83" s="1062"/>
      <c r="K83" s="1062"/>
      <c r="L83" s="1062"/>
      <c r="M83" s="8"/>
      <c r="R83" s="257" t="str">
        <f ca="1">IFERROR(OFFSET('4.2民生電力需要量'!$I$1,MATCH($D82,'4.2民生電力需要量'!$E:$E,0)-1,0),"")</f>
        <v/>
      </c>
      <c r="S83" s="177"/>
      <c r="T83" s="177"/>
      <c r="U83" s="177"/>
      <c r="V83" s="177"/>
      <c r="W83" s="177"/>
      <c r="X83" s="177"/>
      <c r="Y83" s="177"/>
      <c r="Z83" s="177"/>
      <c r="AA83" s="177">
        <f t="shared" ref="AA83:AA84" ca="1" si="39">(F83=R83)*1</f>
        <v>1</v>
      </c>
    </row>
    <row r="84" spans="1:27" customFormat="1">
      <c r="B84" s="7"/>
      <c r="C84" s="74"/>
      <c r="D84" s="66"/>
      <c r="E84" s="72" t="s">
        <v>176</v>
      </c>
      <c r="F84" s="1063" t="str">
        <f>_xlfn.IFNA(R84,"")</f>
        <v/>
      </c>
      <c r="G84" s="1063"/>
      <c r="H84" s="1063"/>
      <c r="I84" s="1063"/>
      <c r="J84" s="1063"/>
      <c r="K84" s="1063"/>
      <c r="L84" s="1063"/>
      <c r="M84" s="8"/>
      <c r="R84" s="131" t="str">
        <f>IF(OR(COUNTIF($E86:$E91,"&lt;&gt;〇〇(合意形成対象者名に書き換え)")=3,COUNTIF($E86:$E91,"")&gt;3),"",IF(PRODUCT($Y86:$Y91)=1,Z86,""))</f>
        <v/>
      </c>
      <c r="S84" s="177"/>
      <c r="T84" s="177"/>
      <c r="U84" s="177"/>
      <c r="V84" s="177"/>
      <c r="W84" s="177"/>
      <c r="X84" s="177"/>
      <c r="Y84" s="177"/>
      <c r="Z84" s="177"/>
      <c r="AA84" s="177">
        <f t="shared" si="39"/>
        <v>1</v>
      </c>
    </row>
    <row r="85" spans="1:27" ht="63.75" customHeight="1">
      <c r="B85" s="97"/>
      <c r="C85" s="98"/>
      <c r="D85" s="99"/>
      <c r="E85" s="374"/>
      <c r="F85" s="315" t="s">
        <v>270</v>
      </c>
      <c r="G85" s="315" t="s">
        <v>273</v>
      </c>
      <c r="H85" s="315" t="s">
        <v>274</v>
      </c>
      <c r="I85" s="315" t="s">
        <v>271</v>
      </c>
      <c r="J85" s="315" t="s">
        <v>440</v>
      </c>
      <c r="K85" s="315" t="s">
        <v>441</v>
      </c>
      <c r="L85" s="315" t="s">
        <v>272</v>
      </c>
      <c r="M85" s="100"/>
      <c r="N85" s="11"/>
      <c r="R85" s="128" t="s">
        <v>302</v>
      </c>
      <c r="S85" s="259" t="s">
        <v>429</v>
      </c>
      <c r="T85" s="128" t="s">
        <v>430</v>
      </c>
      <c r="U85" s="298" t="s">
        <v>442</v>
      </c>
      <c r="V85" s="258" t="s">
        <v>272</v>
      </c>
      <c r="W85" s="128" t="s">
        <v>432</v>
      </c>
      <c r="X85" s="131" t="s">
        <v>408</v>
      </c>
      <c r="Y85" s="131" t="s">
        <v>436</v>
      </c>
      <c r="Z85" s="128" t="s">
        <v>431</v>
      </c>
      <c r="AA85" s="257"/>
    </row>
    <row r="86" spans="1:27" hidden="1">
      <c r="B86" s="97"/>
      <c r="C86" s="98"/>
      <c r="D86" s="99"/>
      <c r="E86" s="444"/>
      <c r="F86" s="445"/>
      <c r="G86" s="441"/>
      <c r="H86" s="445"/>
      <c r="I86" s="441"/>
      <c r="J86" s="445"/>
      <c r="K86" s="441"/>
      <c r="L86" s="446"/>
      <c r="M86" s="100"/>
      <c r="N86" s="11"/>
      <c r="R86" s="131">
        <f t="shared" ref="R86:R91" si="40">IF(F86="実施済",1,0)</f>
        <v>0</v>
      </c>
      <c r="S86" s="260"/>
      <c r="T86" s="131">
        <f t="shared" ref="T86:T91" si="41">IF(AND(H86="実施済",I86="実施済"),R86*1,0)</f>
        <v>0</v>
      </c>
      <c r="U86" s="131">
        <f>IF(AND(J86="実施済",K86="実施済"),$T86*1,0)</f>
        <v>0</v>
      </c>
      <c r="V86" s="260"/>
      <c r="W86" s="131" t="str">
        <f>IF(OR(E86="〇〇(合意形成対象者名に書き換え)",E86=""),"",SUM(R86,T86,U86))</f>
        <v/>
      </c>
      <c r="X86" s="131">
        <f t="shared" ref="X86:X91" si="42">MIN($W$86:$W$91)+1</f>
        <v>1</v>
      </c>
      <c r="Y86" s="131">
        <f>IF(E86="",1,IF(AND(E86="〇〇(合意形成対象者名に書き換え)",COUNTA($F86:$L86)=0),1,IF(AND(E86&lt;&gt;"〇〇(合意形成対象者名に書き換え)",COUNTA($F86:$L86)=7),1,0)))</f>
        <v>1</v>
      </c>
      <c r="Z86" s="131" t="str" cm="1">
        <f t="array" ref="Z86">_xlfn.IFS(X86=4,"A",X86=3,"B",X86=2,"C",X86=1,"D")</f>
        <v>D</v>
      </c>
      <c r="AA86" s="257"/>
    </row>
    <row r="87" spans="1:27">
      <c r="B87" s="97"/>
      <c r="C87" s="98"/>
      <c r="D87" s="99"/>
      <c r="E87" s="450" t="s">
        <v>129</v>
      </c>
      <c r="F87" s="449"/>
      <c r="G87" s="443"/>
      <c r="H87" s="449"/>
      <c r="I87" s="443"/>
      <c r="J87" s="449"/>
      <c r="K87" s="443"/>
      <c r="L87" s="443"/>
      <c r="M87" s="100"/>
      <c r="N87" s="11"/>
      <c r="R87" s="131">
        <f t="shared" si="40"/>
        <v>0</v>
      </c>
      <c r="S87" s="260"/>
      <c r="T87" s="131">
        <f t="shared" si="41"/>
        <v>0</v>
      </c>
      <c r="U87" s="131">
        <f t="shared" ref="U87:U89" si="43">IF(AND(J87="実施済",K87="実施済"),$T87*1,0)</f>
        <v>0</v>
      </c>
      <c r="V87" s="260"/>
      <c r="W87" s="131" t="str">
        <f t="shared" ref="W87:W91" si="44">IF(OR(E87="〇〇(合意形成対象者名に書き換え)",E87=""),"",SUM(R87,T87,U87))</f>
        <v/>
      </c>
      <c r="X87" s="131">
        <f t="shared" si="42"/>
        <v>1</v>
      </c>
      <c r="Y87" s="131">
        <f t="shared" ref="Y87:Y91" si="45">IF(E87="",1,IF(AND(E87="〇〇(合意形成対象者名に書き換え)",COUNTA($F87:$L87)=0),1,IF(AND(E87&lt;&gt;"〇〇(合意形成対象者名に書き換え)",COUNTA($F87:$L87)=7),1,0)))</f>
        <v>1</v>
      </c>
      <c r="Z87" s="131" t="str" cm="1">
        <f t="array" ref="Z87">_xlfn.IFS(X87=4,"A",X87=3,"B",X87=2,"C",X87=1,"D")</f>
        <v>D</v>
      </c>
      <c r="AA87" s="257"/>
    </row>
    <row r="88" spans="1:27">
      <c r="B88" s="97"/>
      <c r="C88" s="98"/>
      <c r="D88" s="99"/>
      <c r="E88" s="450" t="s">
        <v>129</v>
      </c>
      <c r="F88" s="449"/>
      <c r="G88" s="443"/>
      <c r="H88" s="449"/>
      <c r="I88" s="443"/>
      <c r="J88" s="449"/>
      <c r="K88" s="443"/>
      <c r="L88" s="443"/>
      <c r="M88" s="100"/>
      <c r="N88" s="11"/>
      <c r="R88" s="131">
        <f t="shared" si="40"/>
        <v>0</v>
      </c>
      <c r="S88" s="260"/>
      <c r="T88" s="131">
        <f t="shared" si="41"/>
        <v>0</v>
      </c>
      <c r="U88" s="131">
        <f t="shared" si="43"/>
        <v>0</v>
      </c>
      <c r="V88" s="260"/>
      <c r="W88" s="131" t="str">
        <f t="shared" si="44"/>
        <v/>
      </c>
      <c r="X88" s="131">
        <f t="shared" si="42"/>
        <v>1</v>
      </c>
      <c r="Y88" s="131">
        <f t="shared" si="45"/>
        <v>1</v>
      </c>
      <c r="Z88" s="131" t="str" cm="1">
        <f t="array" ref="Z88">_xlfn.IFS(X88=4,"A",X88=3,"B",X88=2,"C",X88=1,"D")</f>
        <v>D</v>
      </c>
      <c r="AA88" s="257"/>
    </row>
    <row r="89" spans="1:27" s="101" customFormat="1">
      <c r="A89" s="11"/>
      <c r="B89" s="97"/>
      <c r="C89" s="98"/>
      <c r="D89" s="99"/>
      <c r="E89" s="450" t="s">
        <v>129</v>
      </c>
      <c r="F89" s="449"/>
      <c r="G89" s="443"/>
      <c r="H89" s="449"/>
      <c r="I89" s="443"/>
      <c r="J89" s="449"/>
      <c r="K89" s="443"/>
      <c r="L89" s="443"/>
      <c r="M89" s="100"/>
      <c r="N89" s="11"/>
      <c r="Q89" s="11"/>
      <c r="R89" s="131">
        <f t="shared" si="40"/>
        <v>0</v>
      </c>
      <c r="S89" s="260"/>
      <c r="T89" s="131">
        <f t="shared" si="41"/>
        <v>0</v>
      </c>
      <c r="U89" s="131">
        <f t="shared" si="43"/>
        <v>0</v>
      </c>
      <c r="V89" s="260"/>
      <c r="W89" s="131" t="str">
        <f t="shared" si="44"/>
        <v/>
      </c>
      <c r="X89" s="131">
        <f t="shared" si="42"/>
        <v>1</v>
      </c>
      <c r="Y89" s="131">
        <f t="shared" si="45"/>
        <v>1</v>
      </c>
      <c r="Z89" s="131" t="str" cm="1">
        <f t="array" ref="Z89">_xlfn.IFS(X89=4,"A",X89=3,"B",X89=2,"C",X89=1,"D")</f>
        <v>D</v>
      </c>
      <c r="AA89" s="131"/>
    </row>
    <row r="90" spans="1:27" customFormat="1" ht="7.5" customHeight="1">
      <c r="B90" s="65"/>
      <c r="C90" s="4"/>
      <c r="D90" s="4"/>
      <c r="E90" s="4"/>
      <c r="F90" s="4"/>
      <c r="G90" s="4"/>
      <c r="H90" s="4"/>
      <c r="I90" s="4"/>
      <c r="J90" s="4"/>
      <c r="K90" s="4"/>
      <c r="L90" s="4"/>
      <c r="M90" s="9"/>
      <c r="N90" s="2"/>
      <c r="O90" s="2"/>
      <c r="P90" s="2"/>
      <c r="R90" s="131">
        <f t="shared" si="40"/>
        <v>0</v>
      </c>
      <c r="S90" s="260"/>
      <c r="T90" s="131">
        <f t="shared" si="41"/>
        <v>0</v>
      </c>
      <c r="U90" s="131">
        <f>IF(AND(J90="実施済",K90="実施済"),$T90*1,0)</f>
        <v>0</v>
      </c>
      <c r="V90" s="260"/>
      <c r="W90" s="131" t="str">
        <f t="shared" si="44"/>
        <v/>
      </c>
      <c r="X90" s="131">
        <f t="shared" si="42"/>
        <v>1</v>
      </c>
      <c r="Y90" s="131">
        <f t="shared" si="45"/>
        <v>1</v>
      </c>
      <c r="Z90" s="131" t="str" cm="1">
        <f t="array" ref="Z90">_xlfn.IFS(X90=4,"A",X90=3,"B",X90=2,"C",X90=1,"D")</f>
        <v>D</v>
      </c>
      <c r="AA90" s="177"/>
    </row>
    <row r="91" spans="1:27" customFormat="1" ht="18" customHeight="1">
      <c r="N91" s="2"/>
      <c r="O91" s="2"/>
      <c r="P91" s="2"/>
      <c r="R91" s="131">
        <f t="shared" si="40"/>
        <v>0</v>
      </c>
      <c r="S91" s="260"/>
      <c r="T91" s="131">
        <f t="shared" si="41"/>
        <v>0</v>
      </c>
      <c r="U91" s="131">
        <f t="shared" ref="U91" si="46">IF(AND(J91="実施済",K91="実施済"),$T91*1,0)</f>
        <v>0</v>
      </c>
      <c r="V91" s="260"/>
      <c r="W91" s="131" t="str">
        <f t="shared" si="44"/>
        <v/>
      </c>
      <c r="X91" s="131">
        <f t="shared" si="42"/>
        <v>1</v>
      </c>
      <c r="Y91" s="131">
        <f t="shared" si="45"/>
        <v>1</v>
      </c>
      <c r="Z91" s="131" t="str" cm="1">
        <f t="array" ref="Z91">_xlfn.IFS(X91=4,"A",X91=3,"B",X91=2,"C",X91=1,"D")</f>
        <v>D</v>
      </c>
      <c r="AA91" s="177"/>
    </row>
    <row r="92" spans="1:27" customFormat="1" ht="103.5" customHeight="1">
      <c r="C92" s="78"/>
      <c r="D92" s="79"/>
      <c r="E92" s="71" t="s">
        <v>238</v>
      </c>
      <c r="F92" s="1057"/>
      <c r="G92" s="1057"/>
      <c r="H92" s="1057"/>
      <c r="I92" s="1057"/>
      <c r="J92" s="1057"/>
      <c r="K92" s="1057"/>
      <c r="L92" s="1057"/>
      <c r="M92" s="80" t="s">
        <v>132</v>
      </c>
      <c r="N92" s="80"/>
    </row>
    <row r="93" spans="1:27" customFormat="1" ht="146.25" customHeight="1">
      <c r="C93" s="75"/>
      <c r="D93" s="68"/>
      <c r="E93" s="71" t="s">
        <v>237</v>
      </c>
      <c r="F93" s="1057"/>
      <c r="G93" s="1057"/>
      <c r="H93" s="1057"/>
      <c r="I93" s="1057"/>
      <c r="J93" s="1057"/>
      <c r="K93" s="1057"/>
      <c r="L93" s="1057"/>
      <c r="N93" s="2"/>
      <c r="O93" s="2"/>
      <c r="P93" s="2"/>
    </row>
    <row r="94" spans="1:27" customFormat="1" ht="13.5" customHeight="1" thickBot="1">
      <c r="A94" s="81"/>
      <c r="B94" s="81"/>
      <c r="C94" s="81"/>
      <c r="D94" s="81"/>
      <c r="E94" s="81"/>
      <c r="F94" s="81"/>
      <c r="G94" s="81"/>
      <c r="H94" s="81"/>
      <c r="I94" s="81"/>
      <c r="J94" s="81"/>
      <c r="K94" s="81"/>
      <c r="L94" s="81"/>
      <c r="M94" s="81"/>
      <c r="N94" s="82"/>
      <c r="O94" s="2"/>
      <c r="P94" s="2"/>
    </row>
    <row r="95" spans="1:27" customFormat="1" ht="13.5" customHeight="1">
      <c r="A95" s="83"/>
      <c r="B95" s="83"/>
      <c r="C95" s="83"/>
      <c r="D95" s="83"/>
      <c r="E95" s="83"/>
      <c r="F95" s="83"/>
      <c r="G95" s="83"/>
      <c r="H95" s="83"/>
      <c r="I95" s="83"/>
      <c r="J95" s="83"/>
      <c r="K95" s="83"/>
      <c r="L95" s="83"/>
      <c r="M95" s="83"/>
      <c r="N95" s="84"/>
      <c r="O95" s="2"/>
      <c r="P95" s="2"/>
    </row>
    <row r="96" spans="1:27" customFormat="1" ht="15" customHeight="1">
      <c r="B96" s="10"/>
      <c r="C96" s="5"/>
      <c r="D96" s="5"/>
      <c r="E96" s="5"/>
      <c r="F96" s="5"/>
      <c r="G96" s="5"/>
      <c r="H96" s="5"/>
      <c r="I96" s="5"/>
      <c r="J96" s="5"/>
      <c r="K96" s="5"/>
      <c r="L96" s="5"/>
      <c r="M96" s="6"/>
      <c r="R96" s="11" t="str">
        <f>D97</f>
        <v>(選択してください)</v>
      </c>
    </row>
    <row r="97" spans="1:27" customFormat="1">
      <c r="B97" s="7"/>
      <c r="C97" s="77" t="str">
        <f ca="1">IFERROR(OFFSET('4.2民生電力需要量'!$C$1,MATCH(D97,'4.2民生電力需要量'!$E:$E,0)-1,0),"")</f>
        <v/>
      </c>
      <c r="D97" s="96" t="s">
        <v>130</v>
      </c>
      <c r="E97" s="72" t="s">
        <v>131</v>
      </c>
      <c r="F97" s="1063" t="str">
        <f ca="1">IFERROR(OFFSET('4.2民生電力需要量'!$G$1,MATCH($D97,'4.2民生電力需要量'!$E:$E,0)-1,0),"")</f>
        <v/>
      </c>
      <c r="G97" s="1063"/>
      <c r="H97" s="1063"/>
      <c r="I97" s="1063"/>
      <c r="J97" s="1063"/>
      <c r="K97" s="1063"/>
      <c r="L97" s="1063"/>
      <c r="M97" s="8"/>
      <c r="R97" s="257" t="str">
        <f ca="1">IFERROR(OFFSET('4.2民生電力需要量'!$G$1,MATCH($D97,'4.2民生電力需要量'!$E:$E,0)-1,0),"")</f>
        <v/>
      </c>
      <c r="S97" s="177"/>
      <c r="T97" s="177"/>
      <c r="U97" s="177"/>
      <c r="V97" s="177"/>
      <c r="W97" s="177"/>
      <c r="X97" s="177"/>
      <c r="Y97" s="177"/>
      <c r="Z97" s="177"/>
      <c r="AA97" s="177">
        <f ca="1">(F97=R97)*1</f>
        <v>1</v>
      </c>
    </row>
    <row r="98" spans="1:27" customFormat="1">
      <c r="B98" s="7"/>
      <c r="C98" s="74"/>
      <c r="D98" s="66"/>
      <c r="E98" s="72" t="s">
        <v>221</v>
      </c>
      <c r="F98" s="1062" t="str">
        <f ca="1">IFERROR(OFFSET('4.2民生電力需要量'!$I$1,MATCH($D97,'4.2民生電力需要量'!$E:$E,0)-1,0),"")</f>
        <v/>
      </c>
      <c r="G98" s="1062"/>
      <c r="H98" s="1062"/>
      <c r="I98" s="1062"/>
      <c r="J98" s="1062"/>
      <c r="K98" s="1062"/>
      <c r="L98" s="1062"/>
      <c r="M98" s="8"/>
      <c r="R98" s="257" t="str">
        <f ca="1">IFERROR(OFFSET('4.2民生電力需要量'!$I$1,MATCH($D97,'4.2民生電力需要量'!$E:$E,0)-1,0),"")</f>
        <v/>
      </c>
      <c r="S98" s="177"/>
      <c r="T98" s="177"/>
      <c r="U98" s="177"/>
      <c r="V98" s="177"/>
      <c r="W98" s="177"/>
      <c r="X98" s="177"/>
      <c r="Y98" s="177"/>
      <c r="Z98" s="177"/>
      <c r="AA98" s="177">
        <f t="shared" ref="AA98:AA99" ca="1" si="47">(F98=R98)*1</f>
        <v>1</v>
      </c>
    </row>
    <row r="99" spans="1:27" customFormat="1">
      <c r="B99" s="7"/>
      <c r="C99" s="74"/>
      <c r="D99" s="66"/>
      <c r="E99" s="72" t="s">
        <v>176</v>
      </c>
      <c r="F99" s="1063" t="str">
        <f>_xlfn.IFNA(R99,"")</f>
        <v/>
      </c>
      <c r="G99" s="1063"/>
      <c r="H99" s="1063"/>
      <c r="I99" s="1063"/>
      <c r="J99" s="1063"/>
      <c r="K99" s="1063"/>
      <c r="L99" s="1063"/>
      <c r="M99" s="8"/>
      <c r="R99" s="131" t="str">
        <f>IF(OR(COUNTIF($E101:$E106,"&lt;&gt;〇〇(合意形成対象者名に書き換え)")=3,COUNTIF($E101:$E106,"")&gt;3),"",IF(PRODUCT($Y101:$Y106)=1,Z101,""))</f>
        <v/>
      </c>
      <c r="S99" s="177"/>
      <c r="T99" s="177"/>
      <c r="U99" s="177"/>
      <c r="V99" s="177"/>
      <c r="W99" s="177"/>
      <c r="X99" s="177"/>
      <c r="Y99" s="177"/>
      <c r="Z99" s="177"/>
      <c r="AA99" s="177">
        <f t="shared" si="47"/>
        <v>1</v>
      </c>
    </row>
    <row r="100" spans="1:27" ht="63.75" customHeight="1">
      <c r="B100" s="97"/>
      <c r="C100" s="98"/>
      <c r="D100" s="99"/>
      <c r="E100" s="374"/>
      <c r="F100" s="315" t="s">
        <v>270</v>
      </c>
      <c r="G100" s="315" t="s">
        <v>273</v>
      </c>
      <c r="H100" s="315" t="s">
        <v>274</v>
      </c>
      <c r="I100" s="315" t="s">
        <v>271</v>
      </c>
      <c r="J100" s="315" t="s">
        <v>440</v>
      </c>
      <c r="K100" s="315" t="s">
        <v>441</v>
      </c>
      <c r="L100" s="315" t="s">
        <v>272</v>
      </c>
      <c r="M100" s="100"/>
      <c r="N100" s="11"/>
      <c r="R100" s="128" t="s">
        <v>302</v>
      </c>
      <c r="S100" s="259" t="s">
        <v>429</v>
      </c>
      <c r="T100" s="128" t="s">
        <v>430</v>
      </c>
      <c r="U100" s="298" t="s">
        <v>442</v>
      </c>
      <c r="V100" s="258" t="s">
        <v>272</v>
      </c>
      <c r="W100" s="128" t="s">
        <v>432</v>
      </c>
      <c r="X100" s="131" t="s">
        <v>408</v>
      </c>
      <c r="Y100" s="131" t="s">
        <v>436</v>
      </c>
      <c r="Z100" s="128" t="s">
        <v>431</v>
      </c>
      <c r="AA100" s="257"/>
    </row>
    <row r="101" spans="1:27" hidden="1">
      <c r="B101" s="97"/>
      <c r="C101" s="98"/>
      <c r="D101" s="99"/>
      <c r="E101" s="444"/>
      <c r="F101" s="445"/>
      <c r="G101" s="441"/>
      <c r="H101" s="445"/>
      <c r="I101" s="441"/>
      <c r="J101" s="445"/>
      <c r="K101" s="441"/>
      <c r="L101" s="446"/>
      <c r="M101" s="100"/>
      <c r="N101" s="11"/>
      <c r="R101" s="131">
        <f t="shared" ref="R101:R106" si="48">IF(F101="実施済",1,0)</f>
        <v>0</v>
      </c>
      <c r="S101" s="260"/>
      <c r="T101" s="131">
        <f t="shared" ref="T101:T106" si="49">IF(AND(H101="実施済",I101="実施済"),R101*1,0)</f>
        <v>0</v>
      </c>
      <c r="U101" s="131">
        <f>IF(AND(J101="実施済",K101="実施済"),$T101*1,0)</f>
        <v>0</v>
      </c>
      <c r="V101" s="260"/>
      <c r="W101" s="131" t="str">
        <f>IF(OR(E101="〇〇(合意形成対象者名に書き換え)",E101=""),"",SUM(R101,T101,U101))</f>
        <v/>
      </c>
      <c r="X101" s="131">
        <f t="shared" ref="X101:X106" si="50">MIN($W$101:$W$106)+1</f>
        <v>1</v>
      </c>
      <c r="Y101" s="131">
        <f>IF(E101="",1,IF(AND(E101="〇〇(合意形成対象者名に書き換え)",COUNTA($F101:$L101)=0),1,IF(AND(E101&lt;&gt;"〇〇(合意形成対象者名に書き換え)",COUNTA($F101:$L101)=7),1,0)))</f>
        <v>1</v>
      </c>
      <c r="Z101" s="131" t="str" cm="1">
        <f t="array" ref="Z101">_xlfn.IFS(X101=4,"A",X101=3,"B",X101=2,"C",X101=1,"D")</f>
        <v>D</v>
      </c>
      <c r="AA101" s="257"/>
    </row>
    <row r="102" spans="1:27">
      <c r="B102" s="97"/>
      <c r="C102" s="98"/>
      <c r="D102" s="99"/>
      <c r="E102" s="450" t="s">
        <v>129</v>
      </c>
      <c r="F102" s="449"/>
      <c r="G102" s="443"/>
      <c r="H102" s="449"/>
      <c r="I102" s="443"/>
      <c r="J102" s="449"/>
      <c r="K102" s="443"/>
      <c r="L102" s="443"/>
      <c r="M102" s="100"/>
      <c r="N102" s="11"/>
      <c r="R102" s="131">
        <f t="shared" si="48"/>
        <v>0</v>
      </c>
      <c r="S102" s="260"/>
      <c r="T102" s="131">
        <f t="shared" si="49"/>
        <v>0</v>
      </c>
      <c r="U102" s="131">
        <f t="shared" ref="U102:U104" si="51">IF(AND(J102="実施済",K102="実施済"),$T102*1,0)</f>
        <v>0</v>
      </c>
      <c r="V102" s="260"/>
      <c r="W102" s="131" t="str">
        <f t="shared" ref="W102:W106" si="52">IF(OR(E102="〇〇(合意形成対象者名に書き換え)",E102=""),"",SUM(R102,T102,U102))</f>
        <v/>
      </c>
      <c r="X102" s="131">
        <f t="shared" si="50"/>
        <v>1</v>
      </c>
      <c r="Y102" s="131">
        <f t="shared" ref="Y102:Y106" si="53">IF(E102="",1,IF(AND(E102="〇〇(合意形成対象者名に書き換え)",COUNTA($F102:$L102)=0),1,IF(AND(E102&lt;&gt;"〇〇(合意形成対象者名に書き換え)",COUNTA($F102:$L102)=7),1,0)))</f>
        <v>1</v>
      </c>
      <c r="Z102" s="131" t="str" cm="1">
        <f t="array" ref="Z102">_xlfn.IFS(X102=4,"A",X102=3,"B",X102=2,"C",X102=1,"D")</f>
        <v>D</v>
      </c>
      <c r="AA102" s="257"/>
    </row>
    <row r="103" spans="1:27">
      <c r="B103" s="97"/>
      <c r="C103" s="98"/>
      <c r="D103" s="99"/>
      <c r="E103" s="450" t="s">
        <v>129</v>
      </c>
      <c r="F103" s="449"/>
      <c r="G103" s="443"/>
      <c r="H103" s="449"/>
      <c r="I103" s="443"/>
      <c r="J103" s="449"/>
      <c r="K103" s="443"/>
      <c r="L103" s="443"/>
      <c r="M103" s="100"/>
      <c r="N103" s="11"/>
      <c r="R103" s="131">
        <f t="shared" si="48"/>
        <v>0</v>
      </c>
      <c r="S103" s="260"/>
      <c r="T103" s="131">
        <f t="shared" si="49"/>
        <v>0</v>
      </c>
      <c r="U103" s="131">
        <f t="shared" si="51"/>
        <v>0</v>
      </c>
      <c r="V103" s="260"/>
      <c r="W103" s="131" t="str">
        <f t="shared" si="52"/>
        <v/>
      </c>
      <c r="X103" s="131">
        <f t="shared" si="50"/>
        <v>1</v>
      </c>
      <c r="Y103" s="131">
        <f t="shared" si="53"/>
        <v>1</v>
      </c>
      <c r="Z103" s="131" t="str" cm="1">
        <f t="array" ref="Z103">_xlfn.IFS(X103=4,"A",X103=3,"B",X103=2,"C",X103=1,"D")</f>
        <v>D</v>
      </c>
      <c r="AA103" s="257"/>
    </row>
    <row r="104" spans="1:27" s="101" customFormat="1">
      <c r="A104" s="11"/>
      <c r="B104" s="97"/>
      <c r="C104" s="98"/>
      <c r="D104" s="99"/>
      <c r="E104" s="450" t="s">
        <v>129</v>
      </c>
      <c r="F104" s="449"/>
      <c r="G104" s="443"/>
      <c r="H104" s="449"/>
      <c r="I104" s="443"/>
      <c r="J104" s="449"/>
      <c r="K104" s="443"/>
      <c r="L104" s="443"/>
      <c r="M104" s="100"/>
      <c r="N104" s="11"/>
      <c r="Q104" s="11"/>
      <c r="R104" s="131">
        <f t="shared" si="48"/>
        <v>0</v>
      </c>
      <c r="S104" s="260"/>
      <c r="T104" s="131">
        <f t="shared" si="49"/>
        <v>0</v>
      </c>
      <c r="U104" s="131">
        <f t="shared" si="51"/>
        <v>0</v>
      </c>
      <c r="V104" s="260"/>
      <c r="W104" s="131" t="str">
        <f t="shared" si="52"/>
        <v/>
      </c>
      <c r="X104" s="131">
        <f t="shared" si="50"/>
        <v>1</v>
      </c>
      <c r="Y104" s="131">
        <f t="shared" si="53"/>
        <v>1</v>
      </c>
      <c r="Z104" s="131" t="str" cm="1">
        <f t="array" ref="Z104">_xlfn.IFS(X104=4,"A",X104=3,"B",X104=2,"C",X104=1,"D")</f>
        <v>D</v>
      </c>
      <c r="AA104" s="131"/>
    </row>
    <row r="105" spans="1:27" customFormat="1" ht="7.5" customHeight="1">
      <c r="B105" s="65"/>
      <c r="C105" s="4"/>
      <c r="D105" s="4"/>
      <c r="E105" s="4"/>
      <c r="F105" s="4"/>
      <c r="G105" s="4"/>
      <c r="H105" s="4"/>
      <c r="I105" s="4"/>
      <c r="J105" s="4"/>
      <c r="K105" s="4"/>
      <c r="L105" s="4"/>
      <c r="M105" s="9"/>
      <c r="N105" s="2"/>
      <c r="O105" s="2"/>
      <c r="P105" s="2"/>
      <c r="R105" s="131">
        <f t="shared" si="48"/>
        <v>0</v>
      </c>
      <c r="S105" s="260"/>
      <c r="T105" s="131">
        <f t="shared" si="49"/>
        <v>0</v>
      </c>
      <c r="U105" s="131">
        <f>IF(AND(J105="実施済",K105="実施済"),$T105*1,0)</f>
        <v>0</v>
      </c>
      <c r="V105" s="260"/>
      <c r="W105" s="131" t="str">
        <f t="shared" si="52"/>
        <v/>
      </c>
      <c r="X105" s="131">
        <f t="shared" si="50"/>
        <v>1</v>
      </c>
      <c r="Y105" s="131">
        <f t="shared" si="53"/>
        <v>1</v>
      </c>
      <c r="Z105" s="131" t="str" cm="1">
        <f t="array" ref="Z105">_xlfn.IFS(X105=4,"A",X105=3,"B",X105=2,"C",X105=1,"D")</f>
        <v>D</v>
      </c>
      <c r="AA105" s="177"/>
    </row>
    <row r="106" spans="1:27" customFormat="1" ht="18" customHeight="1">
      <c r="N106" s="2"/>
      <c r="O106" s="2"/>
      <c r="P106" s="2"/>
      <c r="R106" s="131">
        <f t="shared" si="48"/>
        <v>0</v>
      </c>
      <c r="S106" s="260"/>
      <c r="T106" s="131">
        <f t="shared" si="49"/>
        <v>0</v>
      </c>
      <c r="U106" s="131">
        <f t="shared" ref="U106" si="54">IF(AND(J106="実施済",K106="実施済"),$T106*1,0)</f>
        <v>0</v>
      </c>
      <c r="V106" s="260"/>
      <c r="W106" s="131" t="str">
        <f t="shared" si="52"/>
        <v/>
      </c>
      <c r="X106" s="131">
        <f t="shared" si="50"/>
        <v>1</v>
      </c>
      <c r="Y106" s="131">
        <f t="shared" si="53"/>
        <v>1</v>
      </c>
      <c r="Z106" s="131" t="str" cm="1">
        <f t="array" ref="Z106">_xlfn.IFS(X106=4,"A",X106=3,"B",X106=2,"C",X106=1,"D")</f>
        <v>D</v>
      </c>
      <c r="AA106" s="177"/>
    </row>
    <row r="107" spans="1:27" customFormat="1" ht="103.5" customHeight="1">
      <c r="C107" s="78"/>
      <c r="D107" s="79"/>
      <c r="E107" s="71" t="s">
        <v>238</v>
      </c>
      <c r="F107" s="1057"/>
      <c r="G107" s="1057"/>
      <c r="H107" s="1057"/>
      <c r="I107" s="1057"/>
      <c r="J107" s="1057"/>
      <c r="K107" s="1057"/>
      <c r="L107" s="1057"/>
      <c r="M107" s="80" t="s">
        <v>132</v>
      </c>
      <c r="N107" s="80"/>
    </row>
    <row r="108" spans="1:27" customFormat="1" ht="146.25" customHeight="1">
      <c r="C108" s="75"/>
      <c r="D108" s="68"/>
      <c r="E108" s="71" t="s">
        <v>237</v>
      </c>
      <c r="F108" s="1057"/>
      <c r="G108" s="1057"/>
      <c r="H108" s="1057"/>
      <c r="I108" s="1057"/>
      <c r="J108" s="1057"/>
      <c r="K108" s="1057"/>
      <c r="L108" s="1057"/>
      <c r="N108" s="2"/>
      <c r="O108" s="2"/>
      <c r="P108" s="2"/>
    </row>
    <row r="109" spans="1:27" customFormat="1" ht="13.5" customHeight="1" thickBot="1">
      <c r="A109" s="81"/>
      <c r="B109" s="81"/>
      <c r="C109" s="81"/>
      <c r="D109" s="81"/>
      <c r="E109" s="81"/>
      <c r="F109" s="81"/>
      <c r="G109" s="81"/>
      <c r="H109" s="81"/>
      <c r="I109" s="81"/>
      <c r="J109" s="81"/>
      <c r="K109" s="81"/>
      <c r="L109" s="81"/>
      <c r="M109" s="81"/>
      <c r="N109" s="82"/>
      <c r="O109" s="2"/>
      <c r="P109" s="2"/>
    </row>
    <row r="110" spans="1:27" customFormat="1" ht="13.5" customHeight="1">
      <c r="A110" s="83"/>
      <c r="B110" s="83"/>
      <c r="C110" s="83"/>
      <c r="D110" s="83"/>
      <c r="E110" s="83"/>
      <c r="F110" s="83"/>
      <c r="G110" s="83"/>
      <c r="H110" s="83"/>
      <c r="I110" s="83"/>
      <c r="J110" s="83"/>
      <c r="K110" s="83"/>
      <c r="L110" s="83"/>
      <c r="M110" s="83"/>
      <c r="N110" s="84"/>
      <c r="O110" s="2"/>
      <c r="P110" s="2"/>
    </row>
    <row r="111" spans="1:27" customFormat="1" ht="15" customHeight="1">
      <c r="B111" s="10"/>
      <c r="C111" s="5"/>
      <c r="D111" s="5"/>
      <c r="E111" s="5"/>
      <c r="F111" s="5"/>
      <c r="G111" s="5"/>
      <c r="H111" s="5"/>
      <c r="I111" s="5"/>
      <c r="J111" s="5"/>
      <c r="K111" s="5"/>
      <c r="L111" s="5"/>
      <c r="M111" s="6"/>
      <c r="R111" s="11" t="str">
        <f>D112</f>
        <v>(選択してください)</v>
      </c>
    </row>
    <row r="112" spans="1:27" customFormat="1">
      <c r="B112" s="7"/>
      <c r="C112" s="77" t="str">
        <f ca="1">IFERROR(OFFSET('4.2民生電力需要量'!$C$1,MATCH(D112,'4.2民生電力需要量'!$E:$E,0)-1,0),"")</f>
        <v/>
      </c>
      <c r="D112" s="96" t="s">
        <v>130</v>
      </c>
      <c r="E112" s="72" t="s">
        <v>131</v>
      </c>
      <c r="F112" s="1063" t="str">
        <f ca="1">IFERROR(OFFSET('4.2民生電力需要量'!$G$1,MATCH($D112,'4.2民生電力需要量'!$E:$E,0)-1,0),"")</f>
        <v/>
      </c>
      <c r="G112" s="1063"/>
      <c r="H112" s="1063"/>
      <c r="I112" s="1063"/>
      <c r="J112" s="1063"/>
      <c r="K112" s="1063"/>
      <c r="L112" s="1063"/>
      <c r="M112" s="8"/>
      <c r="R112" s="257" t="str">
        <f ca="1">IFERROR(OFFSET('4.2民生電力需要量'!$G$1,MATCH($D112,'4.2民生電力需要量'!$E:$E,0)-1,0),"")</f>
        <v/>
      </c>
      <c r="S112" s="177"/>
      <c r="T112" s="177"/>
      <c r="U112" s="177"/>
      <c r="V112" s="177"/>
      <c r="W112" s="177"/>
      <c r="X112" s="177"/>
      <c r="Y112" s="177"/>
      <c r="Z112" s="177"/>
      <c r="AA112" s="177">
        <f ca="1">(F112=R112)*1</f>
        <v>1</v>
      </c>
    </row>
    <row r="113" spans="1:27" customFormat="1">
      <c r="B113" s="7"/>
      <c r="C113" s="74"/>
      <c r="D113" s="66"/>
      <c r="E113" s="72" t="s">
        <v>221</v>
      </c>
      <c r="F113" s="1062" t="str">
        <f ca="1">IFERROR(OFFSET('4.2民生電力需要量'!$I$1,MATCH($D112,'4.2民生電力需要量'!$E:$E,0)-1,0),"")</f>
        <v/>
      </c>
      <c r="G113" s="1062"/>
      <c r="H113" s="1062"/>
      <c r="I113" s="1062"/>
      <c r="J113" s="1062"/>
      <c r="K113" s="1062"/>
      <c r="L113" s="1062"/>
      <c r="M113" s="8"/>
      <c r="R113" s="257" t="str">
        <f ca="1">IFERROR(OFFSET('4.2民生電力需要量'!$I$1,MATCH($D112,'4.2民生電力需要量'!$E:$E,0)-1,0),"")</f>
        <v/>
      </c>
      <c r="S113" s="177"/>
      <c r="T113" s="177"/>
      <c r="U113" s="177"/>
      <c r="V113" s="177"/>
      <c r="W113" s="177"/>
      <c r="X113" s="177"/>
      <c r="Y113" s="177"/>
      <c r="Z113" s="177"/>
      <c r="AA113" s="177">
        <f t="shared" ref="AA113:AA114" ca="1" si="55">(F113=R113)*1</f>
        <v>1</v>
      </c>
    </row>
    <row r="114" spans="1:27" customFormat="1">
      <c r="B114" s="7"/>
      <c r="C114" s="74"/>
      <c r="D114" s="66"/>
      <c r="E114" s="72" t="s">
        <v>176</v>
      </c>
      <c r="F114" s="1063" t="str">
        <f>_xlfn.IFNA(R114,"")</f>
        <v/>
      </c>
      <c r="G114" s="1063"/>
      <c r="H114" s="1063"/>
      <c r="I114" s="1063"/>
      <c r="J114" s="1063"/>
      <c r="K114" s="1063"/>
      <c r="L114" s="1063"/>
      <c r="M114" s="8"/>
      <c r="R114" s="131" t="str">
        <f>IF(OR(COUNTIF($E116:$E121,"&lt;&gt;〇〇(合意形成対象者名に書き換え)")=3,COUNTIF($E116:$E121,"")&gt;3),"",IF(PRODUCT($Y116:$Y121)=1,Z116,""))</f>
        <v/>
      </c>
      <c r="S114" s="177"/>
      <c r="T114" s="177"/>
      <c r="U114" s="177"/>
      <c r="V114" s="177"/>
      <c r="W114" s="177"/>
      <c r="X114" s="177"/>
      <c r="Y114" s="177"/>
      <c r="Z114" s="177"/>
      <c r="AA114" s="177">
        <f t="shared" si="55"/>
        <v>1</v>
      </c>
    </row>
    <row r="115" spans="1:27" ht="63.75" customHeight="1">
      <c r="B115" s="97"/>
      <c r="C115" s="98"/>
      <c r="D115" s="99"/>
      <c r="E115" s="374"/>
      <c r="F115" s="315" t="s">
        <v>270</v>
      </c>
      <c r="G115" s="315" t="s">
        <v>273</v>
      </c>
      <c r="H115" s="315" t="s">
        <v>274</v>
      </c>
      <c r="I115" s="315" t="s">
        <v>271</v>
      </c>
      <c r="J115" s="315" t="s">
        <v>440</v>
      </c>
      <c r="K115" s="315" t="s">
        <v>441</v>
      </c>
      <c r="L115" s="315" t="s">
        <v>272</v>
      </c>
      <c r="M115" s="100"/>
      <c r="N115" s="11"/>
      <c r="R115" s="128" t="s">
        <v>302</v>
      </c>
      <c r="S115" s="259" t="s">
        <v>429</v>
      </c>
      <c r="T115" s="128" t="s">
        <v>430</v>
      </c>
      <c r="U115" s="298" t="s">
        <v>442</v>
      </c>
      <c r="V115" s="258" t="s">
        <v>272</v>
      </c>
      <c r="W115" s="128" t="s">
        <v>432</v>
      </c>
      <c r="X115" s="131" t="s">
        <v>408</v>
      </c>
      <c r="Y115" s="131" t="s">
        <v>436</v>
      </c>
      <c r="Z115" s="128" t="s">
        <v>431</v>
      </c>
      <c r="AA115" s="257"/>
    </row>
    <row r="116" spans="1:27" hidden="1">
      <c r="B116" s="97"/>
      <c r="C116" s="98"/>
      <c r="D116" s="99"/>
      <c r="E116" s="444"/>
      <c r="F116" s="445"/>
      <c r="G116" s="441"/>
      <c r="H116" s="445"/>
      <c r="I116" s="441"/>
      <c r="J116" s="445"/>
      <c r="K116" s="441"/>
      <c r="L116" s="446"/>
      <c r="M116" s="100"/>
      <c r="N116" s="11"/>
      <c r="R116" s="131">
        <f t="shared" ref="R116:R121" si="56">IF(F116="実施済",1,0)</f>
        <v>0</v>
      </c>
      <c r="S116" s="260"/>
      <c r="T116" s="131">
        <f t="shared" ref="T116:T121" si="57">IF(AND(H116="実施済",I116="実施済"),R116*1,0)</f>
        <v>0</v>
      </c>
      <c r="U116" s="131">
        <f>IF(AND(J116="実施済",K116="実施済"),$T116*1,0)</f>
        <v>0</v>
      </c>
      <c r="V116" s="260"/>
      <c r="W116" s="131" t="str">
        <f>IF(OR(E116="〇〇(合意形成対象者名に書き換え)",E116=""),"",SUM(R116,T116,U116))</f>
        <v/>
      </c>
      <c r="X116" s="131">
        <f t="shared" ref="X116:X121" si="58">MIN($W$116:$W$121)+1</f>
        <v>1</v>
      </c>
      <c r="Y116" s="131">
        <f>IF(E116="",1,IF(AND(E116="〇〇(合意形成対象者名に書き換え)",COUNTA($F116:$L116)=0),1,IF(AND(E116&lt;&gt;"〇〇(合意形成対象者名に書き換え)",COUNTA($F116:$L116)=7),1,0)))</f>
        <v>1</v>
      </c>
      <c r="Z116" s="131" t="str" cm="1">
        <f t="array" ref="Z116">_xlfn.IFS(X116=4,"A",X116=3,"B",X116=2,"C",X116=1,"D")</f>
        <v>D</v>
      </c>
      <c r="AA116" s="257"/>
    </row>
    <row r="117" spans="1:27">
      <c r="B117" s="97"/>
      <c r="C117" s="98"/>
      <c r="D117" s="99"/>
      <c r="E117" s="450" t="s">
        <v>129</v>
      </c>
      <c r="F117" s="449"/>
      <c r="G117" s="443"/>
      <c r="H117" s="449"/>
      <c r="I117" s="443"/>
      <c r="J117" s="449"/>
      <c r="K117" s="443"/>
      <c r="L117" s="443"/>
      <c r="M117" s="100"/>
      <c r="N117" s="11"/>
      <c r="R117" s="131">
        <f t="shared" si="56"/>
        <v>0</v>
      </c>
      <c r="S117" s="260"/>
      <c r="T117" s="131">
        <f t="shared" si="57"/>
        <v>0</v>
      </c>
      <c r="U117" s="131">
        <f t="shared" ref="U117:U119" si="59">IF(AND(J117="実施済",K117="実施済"),$T117*1,0)</f>
        <v>0</v>
      </c>
      <c r="V117" s="260"/>
      <c r="W117" s="131" t="str">
        <f t="shared" ref="W117:W121" si="60">IF(OR(E117="〇〇(合意形成対象者名に書き換え)",E117=""),"",SUM(R117,T117,U117))</f>
        <v/>
      </c>
      <c r="X117" s="131">
        <f t="shared" si="58"/>
        <v>1</v>
      </c>
      <c r="Y117" s="131">
        <f t="shared" ref="Y117:Y121" si="61">IF(E117="",1,IF(AND(E117="〇〇(合意形成対象者名に書き換え)",COUNTA($F117:$L117)=0),1,IF(AND(E117&lt;&gt;"〇〇(合意形成対象者名に書き換え)",COUNTA($F117:$L117)=7),1,0)))</f>
        <v>1</v>
      </c>
      <c r="Z117" s="131" t="str" cm="1">
        <f t="array" ref="Z117">_xlfn.IFS(X117=4,"A",X117=3,"B",X117=2,"C",X117=1,"D")</f>
        <v>D</v>
      </c>
      <c r="AA117" s="257"/>
    </row>
    <row r="118" spans="1:27">
      <c r="B118" s="97"/>
      <c r="C118" s="98"/>
      <c r="D118" s="99"/>
      <c r="E118" s="450" t="s">
        <v>129</v>
      </c>
      <c r="F118" s="449"/>
      <c r="G118" s="443"/>
      <c r="H118" s="449"/>
      <c r="I118" s="443"/>
      <c r="J118" s="449"/>
      <c r="K118" s="443"/>
      <c r="L118" s="443"/>
      <c r="M118" s="100"/>
      <c r="N118" s="11"/>
      <c r="R118" s="131">
        <f t="shared" si="56"/>
        <v>0</v>
      </c>
      <c r="S118" s="260"/>
      <c r="T118" s="131">
        <f t="shared" si="57"/>
        <v>0</v>
      </c>
      <c r="U118" s="131">
        <f t="shared" si="59"/>
        <v>0</v>
      </c>
      <c r="V118" s="260"/>
      <c r="W118" s="131" t="str">
        <f t="shared" si="60"/>
        <v/>
      </c>
      <c r="X118" s="131">
        <f t="shared" si="58"/>
        <v>1</v>
      </c>
      <c r="Y118" s="131">
        <f t="shared" si="61"/>
        <v>1</v>
      </c>
      <c r="Z118" s="131" t="str" cm="1">
        <f t="array" ref="Z118">_xlfn.IFS(X118=4,"A",X118=3,"B",X118=2,"C",X118=1,"D")</f>
        <v>D</v>
      </c>
      <c r="AA118" s="257"/>
    </row>
    <row r="119" spans="1:27" s="101" customFormat="1">
      <c r="A119" s="11"/>
      <c r="B119" s="97"/>
      <c r="C119" s="98"/>
      <c r="D119" s="99"/>
      <c r="E119" s="450" t="s">
        <v>129</v>
      </c>
      <c r="F119" s="449"/>
      <c r="G119" s="443"/>
      <c r="H119" s="449"/>
      <c r="I119" s="443"/>
      <c r="J119" s="449"/>
      <c r="K119" s="443"/>
      <c r="L119" s="443"/>
      <c r="M119" s="100"/>
      <c r="N119" s="11"/>
      <c r="Q119" s="11"/>
      <c r="R119" s="131">
        <f t="shared" si="56"/>
        <v>0</v>
      </c>
      <c r="S119" s="260"/>
      <c r="T119" s="131">
        <f t="shared" si="57"/>
        <v>0</v>
      </c>
      <c r="U119" s="131">
        <f t="shared" si="59"/>
        <v>0</v>
      </c>
      <c r="V119" s="260"/>
      <c r="W119" s="131" t="str">
        <f t="shared" si="60"/>
        <v/>
      </c>
      <c r="X119" s="131">
        <f t="shared" si="58"/>
        <v>1</v>
      </c>
      <c r="Y119" s="131">
        <f t="shared" si="61"/>
        <v>1</v>
      </c>
      <c r="Z119" s="131" t="str" cm="1">
        <f t="array" ref="Z119">_xlfn.IFS(X119=4,"A",X119=3,"B",X119=2,"C",X119=1,"D")</f>
        <v>D</v>
      </c>
      <c r="AA119" s="131"/>
    </row>
    <row r="120" spans="1:27" customFormat="1" ht="7.5" customHeight="1">
      <c r="B120" s="65"/>
      <c r="C120" s="4"/>
      <c r="D120" s="4"/>
      <c r="E120" s="4"/>
      <c r="F120" s="4"/>
      <c r="G120" s="4"/>
      <c r="H120" s="4"/>
      <c r="I120" s="4"/>
      <c r="J120" s="4"/>
      <c r="K120" s="4"/>
      <c r="L120" s="4"/>
      <c r="M120" s="9"/>
      <c r="N120" s="2"/>
      <c r="O120" s="2"/>
      <c r="P120" s="2"/>
      <c r="R120" s="131">
        <f t="shared" si="56"/>
        <v>0</v>
      </c>
      <c r="S120" s="260"/>
      <c r="T120" s="131">
        <f t="shared" si="57"/>
        <v>0</v>
      </c>
      <c r="U120" s="131">
        <f>IF(AND(J120="実施済",K120="実施済"),$T120*1,0)</f>
        <v>0</v>
      </c>
      <c r="V120" s="260"/>
      <c r="W120" s="131" t="str">
        <f t="shared" si="60"/>
        <v/>
      </c>
      <c r="X120" s="131">
        <f t="shared" si="58"/>
        <v>1</v>
      </c>
      <c r="Y120" s="131">
        <f t="shared" si="61"/>
        <v>1</v>
      </c>
      <c r="Z120" s="131" t="str" cm="1">
        <f t="array" ref="Z120">_xlfn.IFS(X120=4,"A",X120=3,"B",X120=2,"C",X120=1,"D")</f>
        <v>D</v>
      </c>
      <c r="AA120" s="177"/>
    </row>
    <row r="121" spans="1:27" customFormat="1" ht="18" customHeight="1">
      <c r="N121" s="2"/>
      <c r="O121" s="2"/>
      <c r="P121" s="2"/>
      <c r="R121" s="131">
        <f t="shared" si="56"/>
        <v>0</v>
      </c>
      <c r="S121" s="260"/>
      <c r="T121" s="131">
        <f t="shared" si="57"/>
        <v>0</v>
      </c>
      <c r="U121" s="131">
        <f t="shared" ref="U121" si="62">IF(AND(J121="実施済",K121="実施済"),$T121*1,0)</f>
        <v>0</v>
      </c>
      <c r="V121" s="260"/>
      <c r="W121" s="131" t="str">
        <f t="shared" si="60"/>
        <v/>
      </c>
      <c r="X121" s="131">
        <f t="shared" si="58"/>
        <v>1</v>
      </c>
      <c r="Y121" s="131">
        <f t="shared" si="61"/>
        <v>1</v>
      </c>
      <c r="Z121" s="131" t="str" cm="1">
        <f t="array" ref="Z121">_xlfn.IFS(X121=4,"A",X121=3,"B",X121=2,"C",X121=1,"D")</f>
        <v>D</v>
      </c>
      <c r="AA121" s="177"/>
    </row>
    <row r="122" spans="1:27" customFormat="1" ht="103.5" customHeight="1">
      <c r="C122" s="78"/>
      <c r="D122" s="79"/>
      <c r="E122" s="71" t="s">
        <v>238</v>
      </c>
      <c r="F122" s="1057"/>
      <c r="G122" s="1057"/>
      <c r="H122" s="1057"/>
      <c r="I122" s="1057"/>
      <c r="J122" s="1057"/>
      <c r="K122" s="1057"/>
      <c r="L122" s="1057"/>
      <c r="M122" s="80" t="s">
        <v>132</v>
      </c>
      <c r="N122" s="80"/>
    </row>
    <row r="123" spans="1:27" customFormat="1" ht="146.25" customHeight="1">
      <c r="C123" s="75"/>
      <c r="D123" s="68"/>
      <c r="E123" s="71" t="s">
        <v>237</v>
      </c>
      <c r="F123" s="1057"/>
      <c r="G123" s="1057"/>
      <c r="H123" s="1057"/>
      <c r="I123" s="1057"/>
      <c r="J123" s="1057"/>
      <c r="K123" s="1057"/>
      <c r="L123" s="1057"/>
      <c r="N123" s="2"/>
      <c r="O123" s="2"/>
      <c r="P123" s="2"/>
    </row>
    <row r="124" spans="1:27" customFormat="1" ht="13.5" customHeight="1" thickBot="1">
      <c r="A124" s="81"/>
      <c r="B124" s="81"/>
      <c r="C124" s="81"/>
      <c r="D124" s="81"/>
      <c r="E124" s="81"/>
      <c r="F124" s="81"/>
      <c r="G124" s="81"/>
      <c r="H124" s="81"/>
      <c r="I124" s="81"/>
      <c r="J124" s="81"/>
      <c r="K124" s="81"/>
      <c r="L124" s="81"/>
      <c r="M124" s="81"/>
      <c r="N124" s="82"/>
      <c r="O124" s="2"/>
      <c r="P124" s="2"/>
    </row>
    <row r="125" spans="1:27" customFormat="1" ht="13.5" customHeight="1">
      <c r="A125" s="83"/>
      <c r="B125" s="83"/>
      <c r="C125" s="83"/>
      <c r="D125" s="83"/>
      <c r="E125" s="83"/>
      <c r="F125" s="83"/>
      <c r="G125" s="83"/>
      <c r="H125" s="83"/>
      <c r="I125" s="83"/>
      <c r="J125" s="83"/>
      <c r="K125" s="83"/>
      <c r="L125" s="83"/>
      <c r="M125" s="83"/>
      <c r="N125" s="84"/>
      <c r="O125" s="2"/>
      <c r="P125" s="2"/>
    </row>
    <row r="126" spans="1:27" customFormat="1" ht="15" customHeight="1">
      <c r="B126" s="10"/>
      <c r="C126" s="5"/>
      <c r="D126" s="5"/>
      <c r="E126" s="5"/>
      <c r="F126" s="5"/>
      <c r="G126" s="5"/>
      <c r="H126" s="5"/>
      <c r="I126" s="5"/>
      <c r="J126" s="5"/>
      <c r="K126" s="5"/>
      <c r="L126" s="5"/>
      <c r="M126" s="6"/>
      <c r="R126" s="11" t="str">
        <f>D127</f>
        <v>(選択してください)</v>
      </c>
    </row>
    <row r="127" spans="1:27" customFormat="1">
      <c r="B127" s="7"/>
      <c r="C127" s="77" t="str">
        <f ca="1">IFERROR(OFFSET('4.2民生電力需要量'!$C$1,MATCH(D127,'4.2民生電力需要量'!$E:$E,0)-1,0),"")</f>
        <v/>
      </c>
      <c r="D127" s="96" t="s">
        <v>130</v>
      </c>
      <c r="E127" s="72" t="s">
        <v>131</v>
      </c>
      <c r="F127" s="1063" t="str">
        <f ca="1">IFERROR(OFFSET('4.2民生電力需要量'!$G$1,MATCH($D127,'4.2民生電力需要量'!$E:$E,0)-1,0),"")</f>
        <v/>
      </c>
      <c r="G127" s="1063"/>
      <c r="H127" s="1063"/>
      <c r="I127" s="1063"/>
      <c r="J127" s="1063"/>
      <c r="K127" s="1063"/>
      <c r="L127" s="1063"/>
      <c r="M127" s="8"/>
      <c r="R127" s="257" t="str">
        <f ca="1">IFERROR(OFFSET('4.2民生電力需要量'!$G$1,MATCH($D127,'4.2民生電力需要量'!$E:$E,0)-1,0),"")</f>
        <v/>
      </c>
      <c r="S127" s="177"/>
      <c r="T127" s="177"/>
      <c r="U127" s="177"/>
      <c r="V127" s="177"/>
      <c r="W127" s="177"/>
      <c r="X127" s="177"/>
      <c r="Y127" s="177"/>
      <c r="Z127" s="177"/>
      <c r="AA127" s="177">
        <f ca="1">(F127=R127)*1</f>
        <v>1</v>
      </c>
    </row>
    <row r="128" spans="1:27" customFormat="1">
      <c r="B128" s="7"/>
      <c r="C128" s="74"/>
      <c r="D128" s="66"/>
      <c r="E128" s="72" t="s">
        <v>221</v>
      </c>
      <c r="F128" s="1062" t="str">
        <f ca="1">IFERROR(OFFSET('4.2民生電力需要量'!$I$1,MATCH($D127,'4.2民生電力需要量'!$E:$E,0)-1,0),"")</f>
        <v/>
      </c>
      <c r="G128" s="1062"/>
      <c r="H128" s="1062"/>
      <c r="I128" s="1062"/>
      <c r="J128" s="1062"/>
      <c r="K128" s="1062"/>
      <c r="L128" s="1062"/>
      <c r="M128" s="8"/>
      <c r="R128" s="257" t="str">
        <f ca="1">IFERROR(OFFSET('4.2民生電力需要量'!$I$1,MATCH($D127,'4.2民生電力需要量'!$E:$E,0)-1,0),"")</f>
        <v/>
      </c>
      <c r="S128" s="177"/>
      <c r="T128" s="177"/>
      <c r="U128" s="177"/>
      <c r="V128" s="177"/>
      <c r="W128" s="177"/>
      <c r="X128" s="177"/>
      <c r="Y128" s="177"/>
      <c r="Z128" s="177"/>
      <c r="AA128" s="177">
        <f t="shared" ref="AA128:AA129" ca="1" si="63">(F128=R128)*1</f>
        <v>1</v>
      </c>
    </row>
    <row r="129" spans="1:27" customFormat="1">
      <c r="B129" s="7"/>
      <c r="C129" s="74"/>
      <c r="D129" s="66"/>
      <c r="E129" s="72" t="s">
        <v>176</v>
      </c>
      <c r="F129" s="1063" t="str">
        <f>_xlfn.IFNA(R129,"")</f>
        <v/>
      </c>
      <c r="G129" s="1063"/>
      <c r="H129" s="1063"/>
      <c r="I129" s="1063"/>
      <c r="J129" s="1063"/>
      <c r="K129" s="1063"/>
      <c r="L129" s="1063"/>
      <c r="M129" s="8"/>
      <c r="R129" s="131" t="str">
        <f>IF(OR(COUNTIF($E131:$E136,"&lt;&gt;〇〇(合意形成対象者名に書き換え)")=3,COUNTIF($E131:$E136,"")&gt;3),"",IF(PRODUCT($Y131:$Y136)=1,Z131,""))</f>
        <v/>
      </c>
      <c r="S129" s="177"/>
      <c r="T129" s="177"/>
      <c r="U129" s="177"/>
      <c r="V129" s="177"/>
      <c r="W129" s="177"/>
      <c r="X129" s="177"/>
      <c r="Y129" s="177"/>
      <c r="Z129" s="177"/>
      <c r="AA129" s="177">
        <f t="shared" si="63"/>
        <v>1</v>
      </c>
    </row>
    <row r="130" spans="1:27" ht="63.75" customHeight="1">
      <c r="B130" s="97"/>
      <c r="C130" s="98"/>
      <c r="D130" s="99"/>
      <c r="E130" s="374"/>
      <c r="F130" s="315" t="s">
        <v>270</v>
      </c>
      <c r="G130" s="315" t="s">
        <v>273</v>
      </c>
      <c r="H130" s="315" t="s">
        <v>274</v>
      </c>
      <c r="I130" s="315" t="s">
        <v>271</v>
      </c>
      <c r="J130" s="315" t="s">
        <v>440</v>
      </c>
      <c r="K130" s="315" t="s">
        <v>441</v>
      </c>
      <c r="L130" s="315" t="s">
        <v>272</v>
      </c>
      <c r="M130" s="100"/>
      <c r="N130" s="11"/>
      <c r="R130" s="128" t="s">
        <v>302</v>
      </c>
      <c r="S130" s="259" t="s">
        <v>429</v>
      </c>
      <c r="T130" s="128" t="s">
        <v>430</v>
      </c>
      <c r="U130" s="298" t="s">
        <v>442</v>
      </c>
      <c r="V130" s="258" t="s">
        <v>272</v>
      </c>
      <c r="W130" s="128" t="s">
        <v>432</v>
      </c>
      <c r="X130" s="131" t="s">
        <v>408</v>
      </c>
      <c r="Y130" s="131" t="s">
        <v>436</v>
      </c>
      <c r="Z130" s="128" t="s">
        <v>431</v>
      </c>
      <c r="AA130" s="257"/>
    </row>
    <row r="131" spans="1:27" hidden="1">
      <c r="B131" s="97"/>
      <c r="C131" s="98"/>
      <c r="D131" s="99"/>
      <c r="E131" s="444"/>
      <c r="F131" s="445"/>
      <c r="G131" s="441"/>
      <c r="H131" s="445"/>
      <c r="I131" s="441"/>
      <c r="J131" s="445"/>
      <c r="K131" s="441"/>
      <c r="L131" s="446"/>
      <c r="M131" s="100"/>
      <c r="N131" s="11"/>
      <c r="R131" s="131">
        <f t="shared" ref="R131:R136" si="64">IF(F131="実施済",1,0)</f>
        <v>0</v>
      </c>
      <c r="S131" s="260"/>
      <c r="T131" s="131">
        <f t="shared" ref="T131:T136" si="65">IF(AND(H131="実施済",I131="実施済"),R131*1,0)</f>
        <v>0</v>
      </c>
      <c r="U131" s="131">
        <f>IF(AND(J131="実施済",K131="実施済"),$T131*1,0)</f>
        <v>0</v>
      </c>
      <c r="V131" s="260"/>
      <c r="W131" s="131" t="str">
        <f>IF(OR(E131="〇〇(合意形成対象者名に書き換え)",E131=""),"",SUM(R131,T131,U131))</f>
        <v/>
      </c>
      <c r="X131" s="131">
        <f t="shared" ref="X131:X136" si="66">MIN($W$131:$W$136)+1</f>
        <v>1</v>
      </c>
      <c r="Y131" s="131">
        <f>IF(E131="",1,IF(AND(E131="〇〇(合意形成対象者名に書き換え)",COUNTA($F131:$L131)=0),1,IF(AND(E131&lt;&gt;"〇〇(合意形成対象者名に書き換え)",COUNTA($F131:$L131)=7),1,0)))</f>
        <v>1</v>
      </c>
      <c r="Z131" s="131" t="str" cm="1">
        <f t="array" ref="Z131">_xlfn.IFS(X131=4,"A",X131=3,"B",X131=2,"C",X131=1,"D")</f>
        <v>D</v>
      </c>
      <c r="AA131" s="257"/>
    </row>
    <row r="132" spans="1:27">
      <c r="B132" s="97"/>
      <c r="C132" s="98"/>
      <c r="D132" s="99"/>
      <c r="E132" s="450" t="s">
        <v>129</v>
      </c>
      <c r="F132" s="449"/>
      <c r="G132" s="443"/>
      <c r="H132" s="449"/>
      <c r="I132" s="443"/>
      <c r="J132" s="449"/>
      <c r="K132" s="443"/>
      <c r="L132" s="443"/>
      <c r="M132" s="100"/>
      <c r="N132" s="11"/>
      <c r="R132" s="131">
        <f t="shared" si="64"/>
        <v>0</v>
      </c>
      <c r="S132" s="260"/>
      <c r="T132" s="131">
        <f t="shared" si="65"/>
        <v>0</v>
      </c>
      <c r="U132" s="131">
        <f t="shared" ref="U132:U134" si="67">IF(AND(J132="実施済",K132="実施済"),$T132*1,0)</f>
        <v>0</v>
      </c>
      <c r="V132" s="260"/>
      <c r="W132" s="131" t="str">
        <f t="shared" ref="W132:W136" si="68">IF(OR(E132="〇〇(合意形成対象者名に書き換え)",E132=""),"",SUM(R132,T132,U132))</f>
        <v/>
      </c>
      <c r="X132" s="131">
        <f t="shared" si="66"/>
        <v>1</v>
      </c>
      <c r="Y132" s="131">
        <f t="shared" ref="Y132:Y136" si="69">IF(E132="",1,IF(AND(E132="〇〇(合意形成対象者名に書き換え)",COUNTA($F132:$L132)=0),1,IF(AND(E132&lt;&gt;"〇〇(合意形成対象者名に書き換え)",COUNTA($F132:$L132)=7),1,0)))</f>
        <v>1</v>
      </c>
      <c r="Z132" s="131" t="str" cm="1">
        <f t="array" ref="Z132">_xlfn.IFS(X132=4,"A",X132=3,"B",X132=2,"C",X132=1,"D")</f>
        <v>D</v>
      </c>
      <c r="AA132" s="257"/>
    </row>
    <row r="133" spans="1:27">
      <c r="B133" s="97"/>
      <c r="C133" s="98"/>
      <c r="D133" s="99"/>
      <c r="E133" s="450" t="s">
        <v>129</v>
      </c>
      <c r="F133" s="449"/>
      <c r="G133" s="443"/>
      <c r="H133" s="449"/>
      <c r="I133" s="443"/>
      <c r="J133" s="449"/>
      <c r="K133" s="443"/>
      <c r="L133" s="443"/>
      <c r="M133" s="100"/>
      <c r="N133" s="11"/>
      <c r="R133" s="131">
        <f t="shared" si="64"/>
        <v>0</v>
      </c>
      <c r="S133" s="260"/>
      <c r="T133" s="131">
        <f t="shared" si="65"/>
        <v>0</v>
      </c>
      <c r="U133" s="131">
        <f t="shared" si="67"/>
        <v>0</v>
      </c>
      <c r="V133" s="260"/>
      <c r="W133" s="131" t="str">
        <f t="shared" si="68"/>
        <v/>
      </c>
      <c r="X133" s="131">
        <f t="shared" si="66"/>
        <v>1</v>
      </c>
      <c r="Y133" s="131">
        <f t="shared" si="69"/>
        <v>1</v>
      </c>
      <c r="Z133" s="131" t="str" cm="1">
        <f t="array" ref="Z133">_xlfn.IFS(X133=4,"A",X133=3,"B",X133=2,"C",X133=1,"D")</f>
        <v>D</v>
      </c>
      <c r="AA133" s="257"/>
    </row>
    <row r="134" spans="1:27" s="101" customFormat="1">
      <c r="A134" s="11"/>
      <c r="B134" s="97"/>
      <c r="C134" s="98"/>
      <c r="D134" s="99"/>
      <c r="E134" s="450" t="s">
        <v>129</v>
      </c>
      <c r="F134" s="449"/>
      <c r="G134" s="443"/>
      <c r="H134" s="449"/>
      <c r="I134" s="443"/>
      <c r="J134" s="449"/>
      <c r="K134" s="443"/>
      <c r="L134" s="443"/>
      <c r="M134" s="100"/>
      <c r="N134" s="11"/>
      <c r="Q134" s="11"/>
      <c r="R134" s="131">
        <f t="shared" si="64"/>
        <v>0</v>
      </c>
      <c r="S134" s="260"/>
      <c r="T134" s="131">
        <f t="shared" si="65"/>
        <v>0</v>
      </c>
      <c r="U134" s="131">
        <f t="shared" si="67"/>
        <v>0</v>
      </c>
      <c r="V134" s="260"/>
      <c r="W134" s="131" t="str">
        <f t="shared" si="68"/>
        <v/>
      </c>
      <c r="X134" s="131">
        <f t="shared" si="66"/>
        <v>1</v>
      </c>
      <c r="Y134" s="131">
        <f t="shared" si="69"/>
        <v>1</v>
      </c>
      <c r="Z134" s="131" t="str" cm="1">
        <f t="array" ref="Z134">_xlfn.IFS(X134=4,"A",X134=3,"B",X134=2,"C",X134=1,"D")</f>
        <v>D</v>
      </c>
      <c r="AA134" s="131"/>
    </row>
    <row r="135" spans="1:27" customFormat="1" ht="7.5" customHeight="1">
      <c r="B135" s="65"/>
      <c r="C135" s="4"/>
      <c r="D135" s="4"/>
      <c r="E135" s="4"/>
      <c r="F135" s="4"/>
      <c r="G135" s="4"/>
      <c r="H135" s="4"/>
      <c r="I135" s="4"/>
      <c r="J135" s="4"/>
      <c r="K135" s="4"/>
      <c r="L135" s="4"/>
      <c r="M135" s="9"/>
      <c r="N135" s="2"/>
      <c r="O135" s="2"/>
      <c r="P135" s="2"/>
      <c r="R135" s="131">
        <f t="shared" si="64"/>
        <v>0</v>
      </c>
      <c r="S135" s="260"/>
      <c r="T135" s="131">
        <f t="shared" si="65"/>
        <v>0</v>
      </c>
      <c r="U135" s="131">
        <f>IF(AND(J135="実施済",K135="実施済"),$T135*1,0)</f>
        <v>0</v>
      </c>
      <c r="V135" s="260"/>
      <c r="W135" s="131" t="str">
        <f t="shared" si="68"/>
        <v/>
      </c>
      <c r="X135" s="131">
        <f t="shared" si="66"/>
        <v>1</v>
      </c>
      <c r="Y135" s="131">
        <f t="shared" si="69"/>
        <v>1</v>
      </c>
      <c r="Z135" s="131" t="str" cm="1">
        <f t="array" ref="Z135">_xlfn.IFS(X135=4,"A",X135=3,"B",X135=2,"C",X135=1,"D")</f>
        <v>D</v>
      </c>
      <c r="AA135" s="177"/>
    </row>
    <row r="136" spans="1:27" customFormat="1" ht="18" customHeight="1">
      <c r="N136" s="2"/>
      <c r="O136" s="2"/>
      <c r="P136" s="2"/>
      <c r="R136" s="131">
        <f t="shared" si="64"/>
        <v>0</v>
      </c>
      <c r="S136" s="260"/>
      <c r="T136" s="131">
        <f t="shared" si="65"/>
        <v>0</v>
      </c>
      <c r="U136" s="131">
        <f t="shared" ref="U136" si="70">IF(AND(J136="実施済",K136="実施済"),$T136*1,0)</f>
        <v>0</v>
      </c>
      <c r="V136" s="260"/>
      <c r="W136" s="131" t="str">
        <f t="shared" si="68"/>
        <v/>
      </c>
      <c r="X136" s="131">
        <f t="shared" si="66"/>
        <v>1</v>
      </c>
      <c r="Y136" s="131">
        <f t="shared" si="69"/>
        <v>1</v>
      </c>
      <c r="Z136" s="131" t="str" cm="1">
        <f t="array" ref="Z136">_xlfn.IFS(X136=4,"A",X136=3,"B",X136=2,"C",X136=1,"D")</f>
        <v>D</v>
      </c>
      <c r="AA136" s="177"/>
    </row>
    <row r="137" spans="1:27" customFormat="1" ht="103.5" customHeight="1">
      <c r="C137" s="78"/>
      <c r="D137" s="79"/>
      <c r="E137" s="71" t="s">
        <v>238</v>
      </c>
      <c r="F137" s="1057"/>
      <c r="G137" s="1057"/>
      <c r="H137" s="1057"/>
      <c r="I137" s="1057"/>
      <c r="J137" s="1057"/>
      <c r="K137" s="1057"/>
      <c r="L137" s="1057"/>
      <c r="M137" s="80" t="s">
        <v>132</v>
      </c>
      <c r="N137" s="80"/>
    </row>
    <row r="138" spans="1:27" customFormat="1" ht="146.25" customHeight="1">
      <c r="C138" s="75"/>
      <c r="D138" s="68"/>
      <c r="E138" s="71" t="s">
        <v>237</v>
      </c>
      <c r="F138" s="1057"/>
      <c r="G138" s="1057"/>
      <c r="H138" s="1057"/>
      <c r="I138" s="1057"/>
      <c r="J138" s="1057"/>
      <c r="K138" s="1057"/>
      <c r="L138" s="1057"/>
      <c r="N138" s="2"/>
      <c r="O138" s="2"/>
      <c r="P138" s="2"/>
    </row>
    <row r="139" spans="1:27" customFormat="1" ht="13.5" customHeight="1" thickBot="1">
      <c r="A139" s="81"/>
      <c r="B139" s="81"/>
      <c r="C139" s="81"/>
      <c r="D139" s="81"/>
      <c r="E139" s="81"/>
      <c r="F139" s="81"/>
      <c r="G139" s="81"/>
      <c r="H139" s="81"/>
      <c r="I139" s="81"/>
      <c r="J139" s="81"/>
      <c r="K139" s="81"/>
      <c r="L139" s="81"/>
      <c r="M139" s="81"/>
      <c r="N139" s="82"/>
      <c r="O139" s="2"/>
      <c r="P139" s="2"/>
    </row>
    <row r="140" spans="1:27" customFormat="1" ht="13.5" customHeight="1">
      <c r="A140" s="83"/>
      <c r="B140" s="83"/>
      <c r="C140" s="83"/>
      <c r="D140" s="83"/>
      <c r="E140" s="83"/>
      <c r="F140" s="83"/>
      <c r="G140" s="83"/>
      <c r="H140" s="83"/>
      <c r="I140" s="83"/>
      <c r="J140" s="83"/>
      <c r="K140" s="83"/>
      <c r="L140" s="83"/>
      <c r="M140" s="83"/>
      <c r="N140" s="84"/>
      <c r="O140" s="2"/>
      <c r="P140" s="2"/>
    </row>
    <row r="141" spans="1:27" customFormat="1" ht="15" customHeight="1">
      <c r="B141" s="10"/>
      <c r="C141" s="5"/>
      <c r="D141" s="5"/>
      <c r="E141" s="5"/>
      <c r="F141" s="5"/>
      <c r="G141" s="5"/>
      <c r="H141" s="5"/>
      <c r="I141" s="5"/>
      <c r="J141" s="5"/>
      <c r="K141" s="5"/>
      <c r="L141" s="5"/>
      <c r="M141" s="6"/>
      <c r="R141" s="11" t="str">
        <f>D142</f>
        <v>(選択してください)</v>
      </c>
    </row>
    <row r="142" spans="1:27" customFormat="1">
      <c r="B142" s="7"/>
      <c r="C142" s="77" t="str">
        <f ca="1">IFERROR(OFFSET('4.2民生電力需要量'!$C$1,MATCH(D142,'4.2民生電力需要量'!$E:$E,0)-1,0),"")</f>
        <v/>
      </c>
      <c r="D142" s="96" t="s">
        <v>130</v>
      </c>
      <c r="E142" s="72" t="s">
        <v>131</v>
      </c>
      <c r="F142" s="1063" t="str">
        <f ca="1">IFERROR(OFFSET('4.2民生電力需要量'!$G$1,MATCH($D142,'4.2民生電力需要量'!$E:$E,0)-1,0),"")</f>
        <v/>
      </c>
      <c r="G142" s="1063"/>
      <c r="H142" s="1063"/>
      <c r="I142" s="1063"/>
      <c r="J142" s="1063"/>
      <c r="K142" s="1063"/>
      <c r="L142" s="1063"/>
      <c r="M142" s="8"/>
      <c r="R142" s="257" t="str">
        <f ca="1">IFERROR(OFFSET('4.2民生電力需要量'!$G$1,MATCH($D142,'4.2民生電力需要量'!$E:$E,0)-1,0),"")</f>
        <v/>
      </c>
      <c r="S142" s="177"/>
      <c r="T142" s="177"/>
      <c r="U142" s="177"/>
      <c r="V142" s="177"/>
      <c r="W142" s="177"/>
      <c r="X142" s="177"/>
      <c r="Y142" s="177"/>
      <c r="Z142" s="177"/>
      <c r="AA142" s="177">
        <f ca="1">(F142=R142)*1</f>
        <v>1</v>
      </c>
    </row>
    <row r="143" spans="1:27" customFormat="1">
      <c r="B143" s="7"/>
      <c r="C143" s="74"/>
      <c r="D143" s="66"/>
      <c r="E143" s="72" t="s">
        <v>221</v>
      </c>
      <c r="F143" s="1062" t="str">
        <f ca="1">IFERROR(OFFSET('4.2民生電力需要量'!$I$1,MATCH($D142,'4.2民生電力需要量'!$E:$E,0)-1,0),"")</f>
        <v/>
      </c>
      <c r="G143" s="1062"/>
      <c r="H143" s="1062"/>
      <c r="I143" s="1062"/>
      <c r="J143" s="1062"/>
      <c r="K143" s="1062"/>
      <c r="L143" s="1062"/>
      <c r="M143" s="8"/>
      <c r="R143" s="257" t="str">
        <f ca="1">IFERROR(OFFSET('4.2民生電力需要量'!$I$1,MATCH($D142,'4.2民生電力需要量'!$E:$E,0)-1,0),"")</f>
        <v/>
      </c>
      <c r="S143" s="177"/>
      <c r="T143" s="177"/>
      <c r="U143" s="177"/>
      <c r="V143" s="177"/>
      <c r="W143" s="177"/>
      <c r="X143" s="177"/>
      <c r="Y143" s="177"/>
      <c r="Z143" s="177"/>
      <c r="AA143" s="177">
        <f t="shared" ref="AA143:AA144" ca="1" si="71">(F143=R143)*1</f>
        <v>1</v>
      </c>
    </row>
    <row r="144" spans="1:27" customFormat="1">
      <c r="B144" s="7"/>
      <c r="C144" s="74"/>
      <c r="D144" s="66"/>
      <c r="E144" s="72" t="s">
        <v>176</v>
      </c>
      <c r="F144" s="1063" t="str">
        <f>_xlfn.IFNA(R144,"")</f>
        <v/>
      </c>
      <c r="G144" s="1063"/>
      <c r="H144" s="1063"/>
      <c r="I144" s="1063"/>
      <c r="J144" s="1063"/>
      <c r="K144" s="1063"/>
      <c r="L144" s="1063"/>
      <c r="M144" s="8"/>
      <c r="R144" s="131" t="str">
        <f>IF(OR(COUNTIF($E146:$E151,"&lt;&gt;〇〇(合意形成対象者名に書き換え)")=3,COUNTIF($E146:$E151,"")&gt;3),"",IF(PRODUCT($Y146:$Y151)=1,Z146,""))</f>
        <v/>
      </c>
      <c r="S144" s="177"/>
      <c r="T144" s="177"/>
      <c r="U144" s="177"/>
      <c r="V144" s="177"/>
      <c r="W144" s="177"/>
      <c r="X144" s="177"/>
      <c r="Y144" s="177"/>
      <c r="Z144" s="177"/>
      <c r="AA144" s="177">
        <f t="shared" si="71"/>
        <v>1</v>
      </c>
    </row>
    <row r="145" spans="1:27" ht="63.75" customHeight="1">
      <c r="B145" s="97"/>
      <c r="C145" s="98"/>
      <c r="D145" s="99"/>
      <c r="E145" s="374"/>
      <c r="F145" s="315" t="s">
        <v>270</v>
      </c>
      <c r="G145" s="315" t="s">
        <v>273</v>
      </c>
      <c r="H145" s="315" t="s">
        <v>274</v>
      </c>
      <c r="I145" s="315" t="s">
        <v>271</v>
      </c>
      <c r="J145" s="315" t="s">
        <v>440</v>
      </c>
      <c r="K145" s="315" t="s">
        <v>441</v>
      </c>
      <c r="L145" s="315" t="s">
        <v>272</v>
      </c>
      <c r="M145" s="100"/>
      <c r="N145" s="11"/>
      <c r="R145" s="128" t="s">
        <v>302</v>
      </c>
      <c r="S145" s="259" t="s">
        <v>429</v>
      </c>
      <c r="T145" s="128" t="s">
        <v>430</v>
      </c>
      <c r="U145" s="298" t="s">
        <v>442</v>
      </c>
      <c r="V145" s="258" t="s">
        <v>272</v>
      </c>
      <c r="W145" s="128" t="s">
        <v>432</v>
      </c>
      <c r="X145" s="131" t="s">
        <v>408</v>
      </c>
      <c r="Y145" s="131" t="s">
        <v>436</v>
      </c>
      <c r="Z145" s="128" t="s">
        <v>431</v>
      </c>
      <c r="AA145" s="257"/>
    </row>
    <row r="146" spans="1:27" hidden="1">
      <c r="B146" s="97"/>
      <c r="C146" s="98"/>
      <c r="D146" s="99"/>
      <c r="E146" s="444"/>
      <c r="F146" s="445"/>
      <c r="G146" s="441"/>
      <c r="H146" s="445"/>
      <c r="I146" s="441"/>
      <c r="J146" s="445"/>
      <c r="K146" s="441"/>
      <c r="L146" s="446"/>
      <c r="M146" s="100"/>
      <c r="N146" s="11"/>
      <c r="R146" s="131">
        <f t="shared" ref="R146:R151" si="72">IF(F146="実施済",1,0)</f>
        <v>0</v>
      </c>
      <c r="S146" s="260"/>
      <c r="T146" s="131">
        <f t="shared" ref="T146:T151" si="73">IF(AND(H146="実施済",I146="実施済"),R146*1,0)</f>
        <v>0</v>
      </c>
      <c r="U146" s="131">
        <f>IF(AND(J146="実施済",K146="実施済"),$T146*1,0)</f>
        <v>0</v>
      </c>
      <c r="V146" s="260"/>
      <c r="W146" s="131" t="str">
        <f>IF(OR(E146="〇〇(合意形成対象者名に書き換え)",E146=""),"",SUM(R146,T146,U146))</f>
        <v/>
      </c>
      <c r="X146" s="131">
        <f t="shared" ref="X146:X151" si="74">MIN($W$146:$W$151)+1</f>
        <v>1</v>
      </c>
      <c r="Y146" s="131">
        <f>IF(E146="",1,IF(AND(E146="〇〇(合意形成対象者名に書き換え)",COUNTA($F146:$L146)=0),1,IF(AND(E146&lt;&gt;"〇〇(合意形成対象者名に書き換え)",COUNTA($F146:$L146)=7),1,0)))</f>
        <v>1</v>
      </c>
      <c r="Z146" s="131" t="str" cm="1">
        <f t="array" ref="Z146">_xlfn.IFS(X146=4,"A",X146=3,"B",X146=2,"C",X146=1,"D")</f>
        <v>D</v>
      </c>
      <c r="AA146" s="257"/>
    </row>
    <row r="147" spans="1:27">
      <c r="B147" s="97"/>
      <c r="C147" s="98"/>
      <c r="D147" s="99"/>
      <c r="E147" s="450" t="s">
        <v>129</v>
      </c>
      <c r="F147" s="449"/>
      <c r="G147" s="443"/>
      <c r="H147" s="449"/>
      <c r="I147" s="443"/>
      <c r="J147" s="449"/>
      <c r="K147" s="443"/>
      <c r="L147" s="443"/>
      <c r="M147" s="100"/>
      <c r="N147" s="11"/>
      <c r="R147" s="131">
        <f t="shared" si="72"/>
        <v>0</v>
      </c>
      <c r="S147" s="260"/>
      <c r="T147" s="131">
        <f t="shared" si="73"/>
        <v>0</v>
      </c>
      <c r="U147" s="131">
        <f t="shared" ref="U147:U149" si="75">IF(AND(J147="実施済",K147="実施済"),$T147*1,0)</f>
        <v>0</v>
      </c>
      <c r="V147" s="260"/>
      <c r="W147" s="131" t="str">
        <f t="shared" ref="W147:W151" si="76">IF(OR(E147="〇〇(合意形成対象者名に書き換え)",E147=""),"",SUM(R147,T147,U147))</f>
        <v/>
      </c>
      <c r="X147" s="131">
        <f t="shared" si="74"/>
        <v>1</v>
      </c>
      <c r="Y147" s="131">
        <f t="shared" ref="Y147:Y151" si="77">IF(E147="",1,IF(AND(E147="〇〇(合意形成対象者名に書き換え)",COUNTA($F147:$L147)=0),1,IF(AND(E147&lt;&gt;"〇〇(合意形成対象者名に書き換え)",COUNTA($F147:$L147)=7),1,0)))</f>
        <v>1</v>
      </c>
      <c r="Z147" s="131" t="str" cm="1">
        <f t="array" ref="Z147">_xlfn.IFS(X147=4,"A",X147=3,"B",X147=2,"C",X147=1,"D")</f>
        <v>D</v>
      </c>
      <c r="AA147" s="257"/>
    </row>
    <row r="148" spans="1:27">
      <c r="B148" s="97"/>
      <c r="C148" s="98"/>
      <c r="D148" s="99"/>
      <c r="E148" s="450" t="s">
        <v>129</v>
      </c>
      <c r="F148" s="449"/>
      <c r="G148" s="443"/>
      <c r="H148" s="449"/>
      <c r="I148" s="443"/>
      <c r="J148" s="449"/>
      <c r="K148" s="443"/>
      <c r="L148" s="443"/>
      <c r="M148" s="100"/>
      <c r="N148" s="11"/>
      <c r="R148" s="131">
        <f t="shared" si="72"/>
        <v>0</v>
      </c>
      <c r="S148" s="260"/>
      <c r="T148" s="131">
        <f t="shared" si="73"/>
        <v>0</v>
      </c>
      <c r="U148" s="131">
        <f t="shared" si="75"/>
        <v>0</v>
      </c>
      <c r="V148" s="260"/>
      <c r="W148" s="131" t="str">
        <f t="shared" si="76"/>
        <v/>
      </c>
      <c r="X148" s="131">
        <f t="shared" si="74"/>
        <v>1</v>
      </c>
      <c r="Y148" s="131">
        <f t="shared" si="77"/>
        <v>1</v>
      </c>
      <c r="Z148" s="131" t="str" cm="1">
        <f t="array" ref="Z148">_xlfn.IFS(X148=4,"A",X148=3,"B",X148=2,"C",X148=1,"D")</f>
        <v>D</v>
      </c>
      <c r="AA148" s="257"/>
    </row>
    <row r="149" spans="1:27" s="101" customFormat="1">
      <c r="A149" s="11"/>
      <c r="B149" s="97"/>
      <c r="C149" s="98"/>
      <c r="D149" s="99"/>
      <c r="E149" s="450" t="s">
        <v>129</v>
      </c>
      <c r="F149" s="449"/>
      <c r="G149" s="443"/>
      <c r="H149" s="449"/>
      <c r="I149" s="443"/>
      <c r="J149" s="449"/>
      <c r="K149" s="443"/>
      <c r="L149" s="443"/>
      <c r="M149" s="100"/>
      <c r="N149" s="11"/>
      <c r="Q149" s="11"/>
      <c r="R149" s="131">
        <f t="shared" si="72"/>
        <v>0</v>
      </c>
      <c r="S149" s="260"/>
      <c r="T149" s="131">
        <f t="shared" si="73"/>
        <v>0</v>
      </c>
      <c r="U149" s="131">
        <f t="shared" si="75"/>
        <v>0</v>
      </c>
      <c r="V149" s="260"/>
      <c r="W149" s="131" t="str">
        <f t="shared" si="76"/>
        <v/>
      </c>
      <c r="X149" s="131">
        <f t="shared" si="74"/>
        <v>1</v>
      </c>
      <c r="Y149" s="131">
        <f t="shared" si="77"/>
        <v>1</v>
      </c>
      <c r="Z149" s="131" t="str" cm="1">
        <f t="array" ref="Z149">_xlfn.IFS(X149=4,"A",X149=3,"B",X149=2,"C",X149=1,"D")</f>
        <v>D</v>
      </c>
      <c r="AA149" s="131"/>
    </row>
    <row r="150" spans="1:27" customFormat="1" ht="7.5" customHeight="1">
      <c r="B150" s="65"/>
      <c r="C150" s="4"/>
      <c r="D150" s="4"/>
      <c r="E150" s="4"/>
      <c r="F150" s="4"/>
      <c r="G150" s="4"/>
      <c r="H150" s="4"/>
      <c r="I150" s="4"/>
      <c r="J150" s="4"/>
      <c r="K150" s="4"/>
      <c r="L150" s="4"/>
      <c r="M150" s="9"/>
      <c r="N150" s="2"/>
      <c r="O150" s="2"/>
      <c r="P150" s="2"/>
      <c r="R150" s="131">
        <f t="shared" si="72"/>
        <v>0</v>
      </c>
      <c r="S150" s="260"/>
      <c r="T150" s="131">
        <f t="shared" si="73"/>
        <v>0</v>
      </c>
      <c r="U150" s="131">
        <f>IF(AND(J150="実施済",K150="実施済"),$T150*1,0)</f>
        <v>0</v>
      </c>
      <c r="V150" s="260"/>
      <c r="W150" s="131" t="str">
        <f t="shared" si="76"/>
        <v/>
      </c>
      <c r="X150" s="131">
        <f t="shared" si="74"/>
        <v>1</v>
      </c>
      <c r="Y150" s="131">
        <f t="shared" si="77"/>
        <v>1</v>
      </c>
      <c r="Z150" s="131" t="str" cm="1">
        <f t="array" ref="Z150">_xlfn.IFS(X150=4,"A",X150=3,"B",X150=2,"C",X150=1,"D")</f>
        <v>D</v>
      </c>
      <c r="AA150" s="177"/>
    </row>
    <row r="151" spans="1:27" customFormat="1" ht="18" customHeight="1">
      <c r="N151" s="2"/>
      <c r="O151" s="2"/>
      <c r="P151" s="2"/>
      <c r="R151" s="131">
        <f t="shared" si="72"/>
        <v>0</v>
      </c>
      <c r="S151" s="260"/>
      <c r="T151" s="131">
        <f t="shared" si="73"/>
        <v>0</v>
      </c>
      <c r="U151" s="131">
        <f t="shared" ref="U151" si="78">IF(AND(J151="実施済",K151="実施済"),$T151*1,0)</f>
        <v>0</v>
      </c>
      <c r="V151" s="260"/>
      <c r="W151" s="131" t="str">
        <f t="shared" si="76"/>
        <v/>
      </c>
      <c r="X151" s="131">
        <f t="shared" si="74"/>
        <v>1</v>
      </c>
      <c r="Y151" s="131">
        <f t="shared" si="77"/>
        <v>1</v>
      </c>
      <c r="Z151" s="131" t="str" cm="1">
        <f t="array" ref="Z151">_xlfn.IFS(X151=4,"A",X151=3,"B",X151=2,"C",X151=1,"D")</f>
        <v>D</v>
      </c>
      <c r="AA151" s="177"/>
    </row>
    <row r="152" spans="1:27" customFormat="1" ht="103.5" customHeight="1">
      <c r="C152" s="78"/>
      <c r="D152" s="79"/>
      <c r="E152" s="71" t="s">
        <v>238</v>
      </c>
      <c r="F152" s="1057"/>
      <c r="G152" s="1057"/>
      <c r="H152" s="1057"/>
      <c r="I152" s="1057"/>
      <c r="J152" s="1057"/>
      <c r="K152" s="1057"/>
      <c r="L152" s="1057"/>
      <c r="M152" s="80" t="s">
        <v>132</v>
      </c>
      <c r="N152" s="80"/>
    </row>
    <row r="153" spans="1:27" customFormat="1" ht="146.25" customHeight="1">
      <c r="C153" s="75"/>
      <c r="D153" s="68"/>
      <c r="E153" s="71" t="s">
        <v>237</v>
      </c>
      <c r="F153" s="1057"/>
      <c r="G153" s="1057"/>
      <c r="H153" s="1057"/>
      <c r="I153" s="1057"/>
      <c r="J153" s="1057"/>
      <c r="K153" s="1057"/>
      <c r="L153" s="1057"/>
      <c r="N153" s="2"/>
      <c r="O153" s="2"/>
      <c r="P153" s="2"/>
    </row>
    <row r="154" spans="1:27" customFormat="1" ht="13.5" customHeight="1" thickBot="1">
      <c r="A154" s="81"/>
      <c r="B154" s="81"/>
      <c r="C154" s="81"/>
      <c r="D154" s="81"/>
      <c r="E154" s="81"/>
      <c r="F154" s="81"/>
      <c r="G154" s="81"/>
      <c r="H154" s="81"/>
      <c r="I154" s="81"/>
      <c r="J154" s="81"/>
      <c r="K154" s="81"/>
      <c r="L154" s="81"/>
      <c r="M154" s="81"/>
      <c r="N154" s="82"/>
      <c r="O154" s="2"/>
      <c r="P154" s="2"/>
    </row>
    <row r="155" spans="1:27" customFormat="1" ht="13.5" customHeight="1">
      <c r="A155" s="83"/>
      <c r="B155" s="83"/>
      <c r="C155" s="83"/>
      <c r="D155" s="83"/>
      <c r="E155" s="83"/>
      <c r="F155" s="83"/>
      <c r="G155" s="83"/>
      <c r="H155" s="83"/>
      <c r="I155" s="83"/>
      <c r="J155" s="83"/>
      <c r="K155" s="83"/>
      <c r="L155" s="83"/>
      <c r="M155" s="83"/>
      <c r="N155" s="84"/>
      <c r="O155" s="2"/>
      <c r="P155" s="2"/>
    </row>
    <row r="156" spans="1:27" customFormat="1" ht="15" customHeight="1">
      <c r="B156" s="10"/>
      <c r="C156" s="5"/>
      <c r="D156" s="5"/>
      <c r="E156" s="5"/>
      <c r="F156" s="5"/>
      <c r="G156" s="5"/>
      <c r="H156" s="5"/>
      <c r="I156" s="5"/>
      <c r="J156" s="5"/>
      <c r="K156" s="5"/>
      <c r="L156" s="5"/>
      <c r="M156" s="6"/>
      <c r="R156" s="11" t="str">
        <f>D157</f>
        <v>(選択してください)</v>
      </c>
    </row>
    <row r="157" spans="1:27" customFormat="1">
      <c r="B157" s="7"/>
      <c r="C157" s="77" t="str">
        <f ca="1">IFERROR(OFFSET('4.2民生電力需要量'!$C$1,MATCH(D157,'4.2民生電力需要量'!$E:$E,0)-1,0),"")</f>
        <v/>
      </c>
      <c r="D157" s="96" t="s">
        <v>130</v>
      </c>
      <c r="E157" s="72" t="s">
        <v>131</v>
      </c>
      <c r="F157" s="1063" t="str">
        <f ca="1">IFERROR(OFFSET('4.2民生電力需要量'!$G$1,MATCH($D157,'4.2民生電力需要量'!$E:$E,0)-1,0),"")</f>
        <v/>
      </c>
      <c r="G157" s="1063"/>
      <c r="H157" s="1063"/>
      <c r="I157" s="1063"/>
      <c r="J157" s="1063"/>
      <c r="K157" s="1063"/>
      <c r="L157" s="1063"/>
      <c r="M157" s="8"/>
      <c r="R157" s="257" t="str">
        <f ca="1">IFERROR(OFFSET('4.2民生電力需要量'!$G$1,MATCH($D157,'4.2民生電力需要量'!$E:$E,0)-1,0),"")</f>
        <v/>
      </c>
      <c r="S157" s="177"/>
      <c r="T157" s="177"/>
      <c r="U157" s="177"/>
      <c r="V157" s="177"/>
      <c r="W157" s="177"/>
      <c r="X157" s="177"/>
      <c r="Y157" s="177"/>
      <c r="Z157" s="177"/>
      <c r="AA157" s="177">
        <f ca="1">(F157=R157)*1</f>
        <v>1</v>
      </c>
    </row>
    <row r="158" spans="1:27" customFormat="1">
      <c r="B158" s="7"/>
      <c r="C158" s="74"/>
      <c r="D158" s="66"/>
      <c r="E158" s="72" t="s">
        <v>221</v>
      </c>
      <c r="F158" s="1062" t="str">
        <f ca="1">IFERROR(OFFSET('4.2民生電力需要量'!$I$1,MATCH($D157,'4.2民生電力需要量'!$E:$E,0)-1,0),"")</f>
        <v/>
      </c>
      <c r="G158" s="1062"/>
      <c r="H158" s="1062"/>
      <c r="I158" s="1062"/>
      <c r="J158" s="1062"/>
      <c r="K158" s="1062"/>
      <c r="L158" s="1062"/>
      <c r="M158" s="8"/>
      <c r="R158" s="257" t="str">
        <f ca="1">IFERROR(OFFSET('4.2民生電力需要量'!$I$1,MATCH($D157,'4.2民生電力需要量'!$E:$E,0)-1,0),"")</f>
        <v/>
      </c>
      <c r="S158" s="177"/>
      <c r="T158" s="177"/>
      <c r="U158" s="177"/>
      <c r="V158" s="177"/>
      <c r="W158" s="177"/>
      <c r="X158" s="177"/>
      <c r="Y158" s="177"/>
      <c r="Z158" s="177"/>
      <c r="AA158" s="177">
        <f t="shared" ref="AA158:AA159" ca="1" si="79">(F158=R158)*1</f>
        <v>1</v>
      </c>
    </row>
    <row r="159" spans="1:27" customFormat="1">
      <c r="B159" s="7"/>
      <c r="C159" s="74"/>
      <c r="D159" s="66"/>
      <c r="E159" s="72" t="s">
        <v>176</v>
      </c>
      <c r="F159" s="1063" t="str">
        <f>_xlfn.IFNA(R159,"")</f>
        <v/>
      </c>
      <c r="G159" s="1063"/>
      <c r="H159" s="1063"/>
      <c r="I159" s="1063"/>
      <c r="J159" s="1063"/>
      <c r="K159" s="1063"/>
      <c r="L159" s="1063"/>
      <c r="M159" s="8"/>
      <c r="R159" s="131" t="str">
        <f>IF(OR(COUNTIF($E161:$E166,"&lt;&gt;〇〇(合意形成対象者名に書き換え)")=3,COUNTIF($E161:$E166,"")&gt;3),"",IF(PRODUCT($Y161:$Y166)=1,Z161,""))</f>
        <v/>
      </c>
      <c r="S159" s="177"/>
      <c r="T159" s="177"/>
      <c r="U159" s="177"/>
      <c r="V159" s="177"/>
      <c r="W159" s="177"/>
      <c r="X159" s="177"/>
      <c r="Y159" s="177"/>
      <c r="Z159" s="177"/>
      <c r="AA159" s="177">
        <f t="shared" si="79"/>
        <v>1</v>
      </c>
    </row>
    <row r="160" spans="1:27" ht="63.75" customHeight="1">
      <c r="B160" s="97"/>
      <c r="C160" s="98"/>
      <c r="D160" s="99"/>
      <c r="E160" s="374"/>
      <c r="F160" s="315" t="s">
        <v>270</v>
      </c>
      <c r="G160" s="315" t="s">
        <v>273</v>
      </c>
      <c r="H160" s="315" t="s">
        <v>274</v>
      </c>
      <c r="I160" s="315" t="s">
        <v>271</v>
      </c>
      <c r="J160" s="315" t="s">
        <v>440</v>
      </c>
      <c r="K160" s="315" t="s">
        <v>441</v>
      </c>
      <c r="L160" s="315" t="s">
        <v>272</v>
      </c>
      <c r="M160" s="100"/>
      <c r="N160" s="11"/>
      <c r="R160" s="128" t="s">
        <v>302</v>
      </c>
      <c r="S160" s="259" t="s">
        <v>429</v>
      </c>
      <c r="T160" s="128" t="s">
        <v>430</v>
      </c>
      <c r="U160" s="298" t="s">
        <v>442</v>
      </c>
      <c r="V160" s="258" t="s">
        <v>272</v>
      </c>
      <c r="W160" s="128" t="s">
        <v>432</v>
      </c>
      <c r="X160" s="131" t="s">
        <v>408</v>
      </c>
      <c r="Y160" s="131" t="s">
        <v>436</v>
      </c>
      <c r="Z160" s="128" t="s">
        <v>431</v>
      </c>
      <c r="AA160" s="257"/>
    </row>
    <row r="161" spans="1:27" hidden="1">
      <c r="B161" s="97"/>
      <c r="C161" s="98"/>
      <c r="D161" s="99"/>
      <c r="E161" s="444"/>
      <c r="F161" s="445"/>
      <c r="G161" s="441"/>
      <c r="H161" s="445"/>
      <c r="I161" s="441"/>
      <c r="J161" s="445"/>
      <c r="K161" s="441"/>
      <c r="L161" s="446"/>
      <c r="M161" s="100"/>
      <c r="N161" s="11"/>
      <c r="R161" s="131">
        <f t="shared" ref="R161:R166" si="80">IF(F161="実施済",1,0)</f>
        <v>0</v>
      </c>
      <c r="S161" s="260"/>
      <c r="T161" s="131">
        <f t="shared" ref="T161:T166" si="81">IF(AND(H161="実施済",I161="実施済"),R161*1,0)</f>
        <v>0</v>
      </c>
      <c r="U161" s="131">
        <f>IF(AND(J161="実施済",K161="実施済"),$T161*1,0)</f>
        <v>0</v>
      </c>
      <c r="V161" s="260"/>
      <c r="W161" s="131" t="str">
        <f>IF(OR(E161="〇〇(合意形成対象者名に書き換え)",E161=""),"",SUM(R161,T161,U161))</f>
        <v/>
      </c>
      <c r="X161" s="131">
        <f t="shared" ref="X161:X166" si="82">MIN($W$161:$W$166)+1</f>
        <v>1</v>
      </c>
      <c r="Y161" s="131">
        <f>IF(E161="",1,IF(AND(E161="〇〇(合意形成対象者名に書き換え)",COUNTA($F161:$L161)=0),1,IF(AND(E161&lt;&gt;"〇〇(合意形成対象者名に書き換え)",COUNTA($F161:$L161)=7),1,0)))</f>
        <v>1</v>
      </c>
      <c r="Z161" s="131" t="str" cm="1">
        <f t="array" ref="Z161">_xlfn.IFS(X161=4,"A",X161=3,"B",X161=2,"C",X161=1,"D")</f>
        <v>D</v>
      </c>
      <c r="AA161" s="257"/>
    </row>
    <row r="162" spans="1:27">
      <c r="B162" s="97"/>
      <c r="C162" s="98"/>
      <c r="D162" s="99"/>
      <c r="E162" s="450" t="s">
        <v>129</v>
      </c>
      <c r="F162" s="449"/>
      <c r="G162" s="443"/>
      <c r="H162" s="449"/>
      <c r="I162" s="443"/>
      <c r="J162" s="449"/>
      <c r="K162" s="443"/>
      <c r="L162" s="443"/>
      <c r="M162" s="100"/>
      <c r="N162" s="11"/>
      <c r="R162" s="131">
        <f t="shared" si="80"/>
        <v>0</v>
      </c>
      <c r="S162" s="260"/>
      <c r="T162" s="131">
        <f t="shared" si="81"/>
        <v>0</v>
      </c>
      <c r="U162" s="131">
        <f t="shared" ref="U162:U164" si="83">IF(AND(J162="実施済",K162="実施済"),$T162*1,0)</f>
        <v>0</v>
      </c>
      <c r="V162" s="260"/>
      <c r="W162" s="131" t="str">
        <f t="shared" ref="W162:W166" si="84">IF(OR(E162="〇〇(合意形成対象者名に書き換え)",E162=""),"",SUM(R162,T162,U162))</f>
        <v/>
      </c>
      <c r="X162" s="131">
        <f t="shared" si="82"/>
        <v>1</v>
      </c>
      <c r="Y162" s="131">
        <f t="shared" ref="Y162:Y166" si="85">IF(E162="",1,IF(AND(E162="〇〇(合意形成対象者名に書き換え)",COUNTA($F162:$L162)=0),1,IF(AND(E162&lt;&gt;"〇〇(合意形成対象者名に書き換え)",COUNTA($F162:$L162)=7),1,0)))</f>
        <v>1</v>
      </c>
      <c r="Z162" s="131" t="str" cm="1">
        <f t="array" ref="Z162">_xlfn.IFS(X162=4,"A",X162=3,"B",X162=2,"C",X162=1,"D")</f>
        <v>D</v>
      </c>
      <c r="AA162" s="257"/>
    </row>
    <row r="163" spans="1:27">
      <c r="B163" s="97"/>
      <c r="C163" s="98"/>
      <c r="D163" s="99"/>
      <c r="E163" s="450" t="s">
        <v>129</v>
      </c>
      <c r="F163" s="449"/>
      <c r="G163" s="443"/>
      <c r="H163" s="449"/>
      <c r="I163" s="443"/>
      <c r="J163" s="449"/>
      <c r="K163" s="443"/>
      <c r="L163" s="443"/>
      <c r="M163" s="100"/>
      <c r="N163" s="11"/>
      <c r="R163" s="131">
        <f t="shared" si="80"/>
        <v>0</v>
      </c>
      <c r="S163" s="260"/>
      <c r="T163" s="131">
        <f t="shared" si="81"/>
        <v>0</v>
      </c>
      <c r="U163" s="131">
        <f t="shared" si="83"/>
        <v>0</v>
      </c>
      <c r="V163" s="260"/>
      <c r="W163" s="131" t="str">
        <f t="shared" si="84"/>
        <v/>
      </c>
      <c r="X163" s="131">
        <f t="shared" si="82"/>
        <v>1</v>
      </c>
      <c r="Y163" s="131">
        <f t="shared" si="85"/>
        <v>1</v>
      </c>
      <c r="Z163" s="131" t="str" cm="1">
        <f t="array" ref="Z163">_xlfn.IFS(X163=4,"A",X163=3,"B",X163=2,"C",X163=1,"D")</f>
        <v>D</v>
      </c>
      <c r="AA163" s="257"/>
    </row>
    <row r="164" spans="1:27" s="101" customFormat="1">
      <c r="A164" s="11"/>
      <c r="B164" s="97"/>
      <c r="C164" s="98"/>
      <c r="D164" s="99"/>
      <c r="E164" s="450" t="s">
        <v>129</v>
      </c>
      <c r="F164" s="449"/>
      <c r="G164" s="443"/>
      <c r="H164" s="449"/>
      <c r="I164" s="443"/>
      <c r="J164" s="449"/>
      <c r="K164" s="443"/>
      <c r="L164" s="443"/>
      <c r="M164" s="100"/>
      <c r="N164" s="11"/>
      <c r="Q164" s="11"/>
      <c r="R164" s="131">
        <f t="shared" si="80"/>
        <v>0</v>
      </c>
      <c r="S164" s="260"/>
      <c r="T164" s="131">
        <f t="shared" si="81"/>
        <v>0</v>
      </c>
      <c r="U164" s="131">
        <f t="shared" si="83"/>
        <v>0</v>
      </c>
      <c r="V164" s="260"/>
      <c r="W164" s="131" t="str">
        <f t="shared" si="84"/>
        <v/>
      </c>
      <c r="X164" s="131">
        <f t="shared" si="82"/>
        <v>1</v>
      </c>
      <c r="Y164" s="131">
        <f t="shared" si="85"/>
        <v>1</v>
      </c>
      <c r="Z164" s="131" t="str" cm="1">
        <f t="array" ref="Z164">_xlfn.IFS(X164=4,"A",X164=3,"B",X164=2,"C",X164=1,"D")</f>
        <v>D</v>
      </c>
      <c r="AA164" s="131"/>
    </row>
    <row r="165" spans="1:27" customFormat="1" ht="7.5" customHeight="1">
      <c r="B165" s="65"/>
      <c r="C165" s="4"/>
      <c r="D165" s="4"/>
      <c r="E165" s="4"/>
      <c r="F165" s="4"/>
      <c r="G165" s="4"/>
      <c r="H165" s="4"/>
      <c r="I165" s="4"/>
      <c r="J165" s="4"/>
      <c r="K165" s="4"/>
      <c r="L165" s="4"/>
      <c r="M165" s="9"/>
      <c r="N165" s="2"/>
      <c r="O165" s="2"/>
      <c r="P165" s="2"/>
      <c r="R165" s="131">
        <f t="shared" si="80"/>
        <v>0</v>
      </c>
      <c r="S165" s="260"/>
      <c r="T165" s="131">
        <f t="shared" si="81"/>
        <v>0</v>
      </c>
      <c r="U165" s="131">
        <f>IF(AND(J165="実施済",K165="実施済"),$T165*1,0)</f>
        <v>0</v>
      </c>
      <c r="V165" s="260"/>
      <c r="W165" s="131" t="str">
        <f t="shared" si="84"/>
        <v/>
      </c>
      <c r="X165" s="131">
        <f t="shared" si="82"/>
        <v>1</v>
      </c>
      <c r="Y165" s="131">
        <f t="shared" si="85"/>
        <v>1</v>
      </c>
      <c r="Z165" s="131" t="str" cm="1">
        <f t="array" ref="Z165">_xlfn.IFS(X165=4,"A",X165=3,"B",X165=2,"C",X165=1,"D")</f>
        <v>D</v>
      </c>
      <c r="AA165" s="177"/>
    </row>
    <row r="166" spans="1:27" customFormat="1" ht="18" customHeight="1">
      <c r="N166" s="2"/>
      <c r="O166" s="2"/>
      <c r="P166" s="2"/>
      <c r="R166" s="131">
        <f t="shared" si="80"/>
        <v>0</v>
      </c>
      <c r="S166" s="260"/>
      <c r="T166" s="131">
        <f t="shared" si="81"/>
        <v>0</v>
      </c>
      <c r="U166" s="131">
        <f t="shared" ref="U166" si="86">IF(AND(J166="実施済",K166="実施済"),$T166*1,0)</f>
        <v>0</v>
      </c>
      <c r="V166" s="260"/>
      <c r="W166" s="131" t="str">
        <f t="shared" si="84"/>
        <v/>
      </c>
      <c r="X166" s="131">
        <f t="shared" si="82"/>
        <v>1</v>
      </c>
      <c r="Y166" s="131">
        <f t="shared" si="85"/>
        <v>1</v>
      </c>
      <c r="Z166" s="131" t="str" cm="1">
        <f t="array" ref="Z166">_xlfn.IFS(X166=4,"A",X166=3,"B",X166=2,"C",X166=1,"D")</f>
        <v>D</v>
      </c>
      <c r="AA166" s="177"/>
    </row>
    <row r="167" spans="1:27" customFormat="1" ht="103.5" customHeight="1">
      <c r="C167" s="78"/>
      <c r="D167" s="79"/>
      <c r="E167" s="71" t="s">
        <v>238</v>
      </c>
      <c r="F167" s="1057"/>
      <c r="G167" s="1057"/>
      <c r="H167" s="1057"/>
      <c r="I167" s="1057"/>
      <c r="J167" s="1057"/>
      <c r="K167" s="1057"/>
      <c r="L167" s="1057"/>
      <c r="M167" s="80" t="s">
        <v>132</v>
      </c>
      <c r="N167" s="80"/>
    </row>
    <row r="168" spans="1:27" customFormat="1" ht="146.25" customHeight="1">
      <c r="C168" s="75"/>
      <c r="D168" s="68"/>
      <c r="E168" s="71" t="s">
        <v>237</v>
      </c>
      <c r="F168" s="1057"/>
      <c r="G168" s="1057"/>
      <c r="H168" s="1057"/>
      <c r="I168" s="1057"/>
      <c r="J168" s="1057"/>
      <c r="K168" s="1057"/>
      <c r="L168" s="1057"/>
      <c r="N168" s="2"/>
      <c r="O168" s="2"/>
      <c r="P168" s="2"/>
    </row>
    <row r="169" spans="1:27" customFormat="1" ht="13.5" customHeight="1" thickBot="1">
      <c r="A169" s="81"/>
      <c r="B169" s="81"/>
      <c r="C169" s="81"/>
      <c r="D169" s="81"/>
      <c r="E169" s="81"/>
      <c r="F169" s="81"/>
      <c r="G169" s="81"/>
      <c r="H169" s="81"/>
      <c r="I169" s="81"/>
      <c r="J169" s="81"/>
      <c r="K169" s="81"/>
      <c r="L169" s="81"/>
      <c r="M169" s="81"/>
      <c r="N169" s="82"/>
      <c r="O169" s="2"/>
      <c r="P169" s="2"/>
    </row>
    <row r="170" spans="1:27" customFormat="1" ht="13.5" customHeight="1">
      <c r="A170" s="83"/>
      <c r="B170" s="83"/>
      <c r="C170" s="83"/>
      <c r="D170" s="83"/>
      <c r="E170" s="83"/>
      <c r="F170" s="83"/>
      <c r="G170" s="83"/>
      <c r="H170" s="83"/>
      <c r="I170" s="83"/>
      <c r="J170" s="83"/>
      <c r="K170" s="83"/>
      <c r="L170" s="83"/>
      <c r="M170" s="83"/>
      <c r="N170" s="84"/>
      <c r="O170" s="2"/>
      <c r="P170" s="2"/>
    </row>
    <row r="171" spans="1:27" customFormat="1" ht="15" customHeight="1">
      <c r="B171" s="10"/>
      <c r="C171" s="5"/>
      <c r="D171" s="5"/>
      <c r="E171" s="5"/>
      <c r="F171" s="5"/>
      <c r="G171" s="5"/>
      <c r="H171" s="5"/>
      <c r="I171" s="5"/>
      <c r="J171" s="5"/>
      <c r="K171" s="5"/>
      <c r="L171" s="5"/>
      <c r="M171" s="6"/>
      <c r="R171" s="11" t="str">
        <f>D172</f>
        <v>(選択してください)</v>
      </c>
    </row>
    <row r="172" spans="1:27" customFormat="1">
      <c r="B172" s="7"/>
      <c r="C172" s="77" t="str">
        <f ca="1">IFERROR(OFFSET('4.2民生電力需要量'!$C$1,MATCH(D172,'4.2民生電力需要量'!$E:$E,0)-1,0),"")</f>
        <v/>
      </c>
      <c r="D172" s="96" t="s">
        <v>130</v>
      </c>
      <c r="E172" s="72" t="s">
        <v>131</v>
      </c>
      <c r="F172" s="1063" t="str">
        <f ca="1">IFERROR(OFFSET('4.2民生電力需要量'!$G$1,MATCH($D172,'4.2民生電力需要量'!$E:$E,0)-1,0),"")</f>
        <v/>
      </c>
      <c r="G172" s="1063"/>
      <c r="H172" s="1063"/>
      <c r="I172" s="1063"/>
      <c r="J172" s="1063"/>
      <c r="K172" s="1063"/>
      <c r="L172" s="1063"/>
      <c r="M172" s="8"/>
      <c r="R172" s="257" t="str">
        <f ca="1">IFERROR(OFFSET('4.2民生電力需要量'!$G$1,MATCH($D172,'4.2民生電力需要量'!$E:$E,0)-1,0),"")</f>
        <v/>
      </c>
      <c r="S172" s="177"/>
      <c r="T172" s="177"/>
      <c r="U172" s="177"/>
      <c r="V172" s="177"/>
      <c r="W172" s="177"/>
      <c r="X172" s="177"/>
      <c r="Y172" s="177"/>
      <c r="Z172" s="177"/>
      <c r="AA172" s="177">
        <f ca="1">(F172=R172)*1</f>
        <v>1</v>
      </c>
    </row>
    <row r="173" spans="1:27" customFormat="1">
      <c r="B173" s="7"/>
      <c r="C173" s="74"/>
      <c r="D173" s="66"/>
      <c r="E173" s="72" t="s">
        <v>221</v>
      </c>
      <c r="F173" s="1062" t="str">
        <f ca="1">IFERROR(OFFSET('4.2民生電力需要量'!$I$1,MATCH($D172,'4.2民生電力需要量'!$E:$E,0)-1,0),"")</f>
        <v/>
      </c>
      <c r="G173" s="1062"/>
      <c r="H173" s="1062"/>
      <c r="I173" s="1062"/>
      <c r="J173" s="1062"/>
      <c r="K173" s="1062"/>
      <c r="L173" s="1062"/>
      <c r="M173" s="8"/>
      <c r="R173" s="257" t="str">
        <f ca="1">IFERROR(OFFSET('4.2民生電力需要量'!$I$1,MATCH($D172,'4.2民生電力需要量'!$E:$E,0)-1,0),"")</f>
        <v/>
      </c>
      <c r="S173" s="177"/>
      <c r="T173" s="177"/>
      <c r="U173" s="177"/>
      <c r="V173" s="177"/>
      <c r="W173" s="177"/>
      <c r="X173" s="177"/>
      <c r="Y173" s="177"/>
      <c r="Z173" s="177"/>
      <c r="AA173" s="177">
        <f t="shared" ref="AA173:AA174" ca="1" si="87">(F173=R173)*1</f>
        <v>1</v>
      </c>
    </row>
    <row r="174" spans="1:27" customFormat="1">
      <c r="B174" s="7"/>
      <c r="C174" s="74"/>
      <c r="D174" s="66"/>
      <c r="E174" s="72" t="s">
        <v>176</v>
      </c>
      <c r="F174" s="1063" t="str">
        <f>_xlfn.IFNA(R174,"")</f>
        <v/>
      </c>
      <c r="G174" s="1063"/>
      <c r="H174" s="1063"/>
      <c r="I174" s="1063"/>
      <c r="J174" s="1063"/>
      <c r="K174" s="1063"/>
      <c r="L174" s="1063"/>
      <c r="M174" s="8"/>
      <c r="R174" s="131" t="str">
        <f>IF(OR(COUNTIF($E176:$E181,"&lt;&gt;〇〇(合意形成対象者名に書き換え)")=3,COUNTIF($E176:$E181,"")&gt;3),"",IF(PRODUCT($Y176:$Y181)=1,Z176,""))</f>
        <v/>
      </c>
      <c r="S174" s="177"/>
      <c r="T174" s="177"/>
      <c r="U174" s="177"/>
      <c r="V174" s="177"/>
      <c r="W174" s="177"/>
      <c r="X174" s="177"/>
      <c r="Y174" s="177"/>
      <c r="Z174" s="177"/>
      <c r="AA174" s="177">
        <f t="shared" si="87"/>
        <v>1</v>
      </c>
    </row>
    <row r="175" spans="1:27" ht="63.75" customHeight="1">
      <c r="B175" s="97"/>
      <c r="C175" s="98"/>
      <c r="D175" s="99"/>
      <c r="E175" s="374"/>
      <c r="F175" s="315" t="s">
        <v>270</v>
      </c>
      <c r="G175" s="315" t="s">
        <v>273</v>
      </c>
      <c r="H175" s="315" t="s">
        <v>274</v>
      </c>
      <c r="I175" s="315" t="s">
        <v>271</v>
      </c>
      <c r="J175" s="315" t="s">
        <v>440</v>
      </c>
      <c r="K175" s="315" t="s">
        <v>441</v>
      </c>
      <c r="L175" s="315" t="s">
        <v>272</v>
      </c>
      <c r="M175" s="100"/>
      <c r="N175" s="11"/>
      <c r="R175" s="128" t="s">
        <v>302</v>
      </c>
      <c r="S175" s="259" t="s">
        <v>429</v>
      </c>
      <c r="T175" s="128" t="s">
        <v>430</v>
      </c>
      <c r="U175" s="298" t="s">
        <v>442</v>
      </c>
      <c r="V175" s="258" t="s">
        <v>272</v>
      </c>
      <c r="W175" s="128" t="s">
        <v>432</v>
      </c>
      <c r="X175" s="131" t="s">
        <v>408</v>
      </c>
      <c r="Y175" s="131" t="s">
        <v>436</v>
      </c>
      <c r="Z175" s="128" t="s">
        <v>431</v>
      </c>
      <c r="AA175" s="257"/>
    </row>
    <row r="176" spans="1:27" hidden="1">
      <c r="B176" s="97"/>
      <c r="C176" s="98"/>
      <c r="D176" s="99"/>
      <c r="E176" s="444"/>
      <c r="F176" s="445"/>
      <c r="G176" s="441"/>
      <c r="H176" s="445"/>
      <c r="I176" s="441"/>
      <c r="J176" s="445"/>
      <c r="K176" s="441"/>
      <c r="L176" s="446"/>
      <c r="M176" s="100"/>
      <c r="N176" s="11"/>
      <c r="R176" s="131">
        <f t="shared" ref="R176:R181" si="88">IF(F176="実施済",1,0)</f>
        <v>0</v>
      </c>
      <c r="S176" s="260"/>
      <c r="T176" s="131">
        <f t="shared" ref="T176:T181" si="89">IF(AND(H176="実施済",I176="実施済"),R176*1,0)</f>
        <v>0</v>
      </c>
      <c r="U176" s="131">
        <f>IF(AND(J176="実施済",K176="実施済"),$T176*1,0)</f>
        <v>0</v>
      </c>
      <c r="V176" s="260"/>
      <c r="W176" s="131" t="str">
        <f>IF(OR(E176="〇〇(合意形成対象者名に書き換え)",E176=""),"",SUM(R176,T176,U176))</f>
        <v/>
      </c>
      <c r="X176" s="131">
        <f t="shared" ref="X176:X181" si="90">MIN($W$176:$W$181)+1</f>
        <v>1</v>
      </c>
      <c r="Y176" s="131">
        <f>IF(E176="",1,IF(AND(E176="〇〇(合意形成対象者名に書き換え)",COUNTA($F176:$L176)=0),1,IF(AND(E176&lt;&gt;"〇〇(合意形成対象者名に書き換え)",COUNTA($F176:$L176)=7),1,0)))</f>
        <v>1</v>
      </c>
      <c r="Z176" s="131" t="str" cm="1">
        <f t="array" ref="Z176">_xlfn.IFS(X176=4,"A",X176=3,"B",X176=2,"C",X176=1,"D")</f>
        <v>D</v>
      </c>
      <c r="AA176" s="257"/>
    </row>
    <row r="177" spans="1:27">
      <c r="B177" s="97"/>
      <c r="C177" s="98"/>
      <c r="D177" s="99"/>
      <c r="E177" s="450" t="s">
        <v>129</v>
      </c>
      <c r="F177" s="449"/>
      <c r="G177" s="443"/>
      <c r="H177" s="449"/>
      <c r="I177" s="443"/>
      <c r="J177" s="449"/>
      <c r="K177" s="443"/>
      <c r="L177" s="443"/>
      <c r="M177" s="100"/>
      <c r="N177" s="11"/>
      <c r="R177" s="131">
        <f t="shared" si="88"/>
        <v>0</v>
      </c>
      <c r="S177" s="260"/>
      <c r="T177" s="131">
        <f t="shared" si="89"/>
        <v>0</v>
      </c>
      <c r="U177" s="131">
        <f t="shared" ref="U177:U179" si="91">IF(AND(J177="実施済",K177="実施済"),$T177*1,0)</f>
        <v>0</v>
      </c>
      <c r="V177" s="260"/>
      <c r="W177" s="131" t="str">
        <f t="shared" ref="W177:W181" si="92">IF(OR(E177="〇〇(合意形成対象者名に書き換え)",E177=""),"",SUM(R177,T177,U177))</f>
        <v/>
      </c>
      <c r="X177" s="131">
        <f t="shared" si="90"/>
        <v>1</v>
      </c>
      <c r="Y177" s="131">
        <f t="shared" ref="Y177:Y181" si="93">IF(E177="",1,IF(AND(E177="〇〇(合意形成対象者名に書き換え)",COUNTA($F177:$L177)=0),1,IF(AND(E177&lt;&gt;"〇〇(合意形成対象者名に書き換え)",COUNTA($F177:$L177)=7),1,0)))</f>
        <v>1</v>
      </c>
      <c r="Z177" s="131" t="str" cm="1">
        <f t="array" ref="Z177">_xlfn.IFS(X177=4,"A",X177=3,"B",X177=2,"C",X177=1,"D")</f>
        <v>D</v>
      </c>
      <c r="AA177" s="257"/>
    </row>
    <row r="178" spans="1:27">
      <c r="B178" s="97"/>
      <c r="C178" s="98"/>
      <c r="D178" s="99"/>
      <c r="E178" s="450" t="s">
        <v>129</v>
      </c>
      <c r="F178" s="449"/>
      <c r="G178" s="443"/>
      <c r="H178" s="449"/>
      <c r="I178" s="443"/>
      <c r="J178" s="449"/>
      <c r="K178" s="443"/>
      <c r="L178" s="443"/>
      <c r="M178" s="100"/>
      <c r="N178" s="11"/>
      <c r="R178" s="131">
        <f t="shared" si="88"/>
        <v>0</v>
      </c>
      <c r="S178" s="260"/>
      <c r="T178" s="131">
        <f t="shared" si="89"/>
        <v>0</v>
      </c>
      <c r="U178" s="131">
        <f t="shared" si="91"/>
        <v>0</v>
      </c>
      <c r="V178" s="260"/>
      <c r="W178" s="131" t="str">
        <f t="shared" si="92"/>
        <v/>
      </c>
      <c r="X178" s="131">
        <f t="shared" si="90"/>
        <v>1</v>
      </c>
      <c r="Y178" s="131">
        <f t="shared" si="93"/>
        <v>1</v>
      </c>
      <c r="Z178" s="131" t="str" cm="1">
        <f t="array" ref="Z178">_xlfn.IFS(X178=4,"A",X178=3,"B",X178=2,"C",X178=1,"D")</f>
        <v>D</v>
      </c>
      <c r="AA178" s="257"/>
    </row>
    <row r="179" spans="1:27" s="101" customFormat="1">
      <c r="A179" s="11"/>
      <c r="B179" s="97"/>
      <c r="C179" s="98"/>
      <c r="D179" s="99"/>
      <c r="E179" s="450" t="s">
        <v>129</v>
      </c>
      <c r="F179" s="449"/>
      <c r="G179" s="443"/>
      <c r="H179" s="449"/>
      <c r="I179" s="443"/>
      <c r="J179" s="449"/>
      <c r="K179" s="443"/>
      <c r="L179" s="443"/>
      <c r="M179" s="100"/>
      <c r="N179" s="11"/>
      <c r="Q179" s="11"/>
      <c r="R179" s="131">
        <f t="shared" si="88"/>
        <v>0</v>
      </c>
      <c r="S179" s="260"/>
      <c r="T179" s="131">
        <f t="shared" si="89"/>
        <v>0</v>
      </c>
      <c r="U179" s="131">
        <f t="shared" si="91"/>
        <v>0</v>
      </c>
      <c r="V179" s="260"/>
      <c r="W179" s="131" t="str">
        <f t="shared" si="92"/>
        <v/>
      </c>
      <c r="X179" s="131">
        <f t="shared" si="90"/>
        <v>1</v>
      </c>
      <c r="Y179" s="131">
        <f t="shared" si="93"/>
        <v>1</v>
      </c>
      <c r="Z179" s="131" t="str" cm="1">
        <f t="array" ref="Z179">_xlfn.IFS(X179=4,"A",X179=3,"B",X179=2,"C",X179=1,"D")</f>
        <v>D</v>
      </c>
      <c r="AA179" s="131"/>
    </row>
    <row r="180" spans="1:27" customFormat="1" ht="7.5" customHeight="1">
      <c r="B180" s="65"/>
      <c r="C180" s="4"/>
      <c r="D180" s="4"/>
      <c r="E180" s="4"/>
      <c r="F180" s="4"/>
      <c r="G180" s="4"/>
      <c r="H180" s="4"/>
      <c r="I180" s="4"/>
      <c r="J180" s="4"/>
      <c r="K180" s="4"/>
      <c r="L180" s="4"/>
      <c r="M180" s="9"/>
      <c r="N180" s="2"/>
      <c r="O180" s="2"/>
      <c r="P180" s="2"/>
      <c r="R180" s="131">
        <f t="shared" si="88"/>
        <v>0</v>
      </c>
      <c r="S180" s="260"/>
      <c r="T180" s="131">
        <f t="shared" si="89"/>
        <v>0</v>
      </c>
      <c r="U180" s="131">
        <f>IF(AND(J180="実施済",K180="実施済"),$T180*1,0)</f>
        <v>0</v>
      </c>
      <c r="V180" s="260"/>
      <c r="W180" s="131" t="str">
        <f t="shared" si="92"/>
        <v/>
      </c>
      <c r="X180" s="131">
        <f t="shared" si="90"/>
        <v>1</v>
      </c>
      <c r="Y180" s="131">
        <f t="shared" si="93"/>
        <v>1</v>
      </c>
      <c r="Z180" s="131" t="str" cm="1">
        <f t="array" ref="Z180">_xlfn.IFS(X180=4,"A",X180=3,"B",X180=2,"C",X180=1,"D")</f>
        <v>D</v>
      </c>
      <c r="AA180" s="177"/>
    </row>
    <row r="181" spans="1:27" customFormat="1" ht="18" customHeight="1">
      <c r="N181" s="2"/>
      <c r="O181" s="2"/>
      <c r="P181" s="2"/>
      <c r="R181" s="131">
        <f t="shared" si="88"/>
        <v>0</v>
      </c>
      <c r="S181" s="260"/>
      <c r="T181" s="131">
        <f t="shared" si="89"/>
        <v>0</v>
      </c>
      <c r="U181" s="131">
        <f t="shared" ref="U181" si="94">IF(AND(J181="実施済",K181="実施済"),$T181*1,0)</f>
        <v>0</v>
      </c>
      <c r="V181" s="260"/>
      <c r="W181" s="131" t="str">
        <f t="shared" si="92"/>
        <v/>
      </c>
      <c r="X181" s="131">
        <f t="shared" si="90"/>
        <v>1</v>
      </c>
      <c r="Y181" s="131">
        <f t="shared" si="93"/>
        <v>1</v>
      </c>
      <c r="Z181" s="131" t="str" cm="1">
        <f t="array" ref="Z181">_xlfn.IFS(X181=4,"A",X181=3,"B",X181=2,"C",X181=1,"D")</f>
        <v>D</v>
      </c>
      <c r="AA181" s="177"/>
    </row>
    <row r="182" spans="1:27" customFormat="1" ht="103.5" customHeight="1">
      <c r="C182" s="78"/>
      <c r="D182" s="79"/>
      <c r="E182" s="71" t="s">
        <v>238</v>
      </c>
      <c r="F182" s="1057"/>
      <c r="G182" s="1057"/>
      <c r="H182" s="1057"/>
      <c r="I182" s="1057"/>
      <c r="J182" s="1057"/>
      <c r="K182" s="1057"/>
      <c r="L182" s="1057"/>
      <c r="M182" s="80" t="s">
        <v>132</v>
      </c>
      <c r="N182" s="80"/>
    </row>
    <row r="183" spans="1:27" customFormat="1" ht="146.25" customHeight="1">
      <c r="C183" s="75"/>
      <c r="D183" s="68"/>
      <c r="E183" s="71" t="s">
        <v>237</v>
      </c>
      <c r="F183" s="1057"/>
      <c r="G183" s="1057"/>
      <c r="H183" s="1057"/>
      <c r="I183" s="1057"/>
      <c r="J183" s="1057"/>
      <c r="K183" s="1057"/>
      <c r="L183" s="1057"/>
      <c r="N183" s="2"/>
      <c r="O183" s="2"/>
      <c r="P183" s="2"/>
    </row>
    <row r="184" spans="1:27" customFormat="1" ht="13.5" customHeight="1" thickBot="1">
      <c r="A184" s="81"/>
      <c r="B184" s="81"/>
      <c r="C184" s="81"/>
      <c r="D184" s="81"/>
      <c r="E184" s="81"/>
      <c r="F184" s="81"/>
      <c r="G184" s="81"/>
      <c r="H184" s="81"/>
      <c r="I184" s="81"/>
      <c r="J184" s="81"/>
      <c r="K184" s="81"/>
      <c r="L184" s="81"/>
      <c r="M184" s="81"/>
      <c r="N184" s="82"/>
      <c r="O184" s="2"/>
      <c r="P184" s="2"/>
    </row>
    <row r="185" spans="1:27" customFormat="1" ht="13.5" customHeight="1">
      <c r="A185" s="83"/>
      <c r="B185" s="83"/>
      <c r="C185" s="83"/>
      <c r="D185" s="83"/>
      <c r="E185" s="83"/>
      <c r="F185" s="83"/>
      <c r="G185" s="83"/>
      <c r="H185" s="83"/>
      <c r="I185" s="83"/>
      <c r="J185" s="83"/>
      <c r="K185" s="83"/>
      <c r="L185" s="83"/>
      <c r="M185" s="83"/>
      <c r="N185" s="84"/>
      <c r="O185" s="2"/>
      <c r="P185" s="2"/>
    </row>
    <row r="186" spans="1:27" customFormat="1" ht="15" customHeight="1">
      <c r="B186" s="10"/>
      <c r="C186" s="5"/>
      <c r="D186" s="5"/>
      <c r="E186" s="5"/>
      <c r="F186" s="5"/>
      <c r="G186" s="5"/>
      <c r="H186" s="5"/>
      <c r="I186" s="5"/>
      <c r="J186" s="5"/>
      <c r="K186" s="5"/>
      <c r="L186" s="5"/>
      <c r="M186" s="6"/>
      <c r="R186" s="11" t="str">
        <f>D187</f>
        <v>(選択してください)</v>
      </c>
    </row>
    <row r="187" spans="1:27" customFormat="1">
      <c r="B187" s="7"/>
      <c r="C187" s="77" t="str">
        <f ca="1">IFERROR(OFFSET('4.2民生電力需要量'!$C$1,MATCH(D187,'4.2民生電力需要量'!$E:$E,0)-1,0),"")</f>
        <v/>
      </c>
      <c r="D187" s="96" t="s">
        <v>130</v>
      </c>
      <c r="E187" s="72" t="s">
        <v>131</v>
      </c>
      <c r="F187" s="1063" t="str">
        <f ca="1">IFERROR(OFFSET('4.2民生電力需要量'!$G$1,MATCH($D187,'4.2民生電力需要量'!$E:$E,0)-1,0),"")</f>
        <v/>
      </c>
      <c r="G187" s="1063"/>
      <c r="H187" s="1063"/>
      <c r="I187" s="1063"/>
      <c r="J187" s="1063"/>
      <c r="K187" s="1063"/>
      <c r="L187" s="1063"/>
      <c r="M187" s="8"/>
      <c r="R187" s="257" t="str">
        <f ca="1">IFERROR(OFFSET('4.2民生電力需要量'!$G$1,MATCH($D187,'4.2民生電力需要量'!$E:$E,0)-1,0),"")</f>
        <v/>
      </c>
      <c r="S187" s="177"/>
      <c r="T187" s="177"/>
      <c r="U187" s="177"/>
      <c r="V187" s="177"/>
      <c r="W187" s="177"/>
      <c r="X187" s="177"/>
      <c r="Y187" s="177"/>
      <c r="Z187" s="177"/>
      <c r="AA187" s="177">
        <f ca="1">(F187=R187)*1</f>
        <v>1</v>
      </c>
    </row>
    <row r="188" spans="1:27" customFormat="1">
      <c r="B188" s="7"/>
      <c r="C188" s="74"/>
      <c r="D188" s="66"/>
      <c r="E188" s="72" t="s">
        <v>221</v>
      </c>
      <c r="F188" s="1062" t="str">
        <f ca="1">IFERROR(OFFSET('4.2民生電力需要量'!$I$1,MATCH($D187,'4.2民生電力需要量'!$E:$E,0)-1,0),"")</f>
        <v/>
      </c>
      <c r="G188" s="1062"/>
      <c r="H188" s="1062"/>
      <c r="I188" s="1062"/>
      <c r="J188" s="1062"/>
      <c r="K188" s="1062"/>
      <c r="L188" s="1062"/>
      <c r="M188" s="8"/>
      <c r="R188" s="257" t="str">
        <f ca="1">IFERROR(OFFSET('4.2民生電力需要量'!$I$1,MATCH($D187,'4.2民生電力需要量'!$E:$E,0)-1,0),"")</f>
        <v/>
      </c>
      <c r="S188" s="177"/>
      <c r="T188" s="177"/>
      <c r="U188" s="177"/>
      <c r="V188" s="177"/>
      <c r="W188" s="177"/>
      <c r="X188" s="177"/>
      <c r="Y188" s="177"/>
      <c r="Z188" s="177"/>
      <c r="AA188" s="177">
        <f t="shared" ref="AA188:AA189" ca="1" si="95">(F188=R188)*1</f>
        <v>1</v>
      </c>
    </row>
    <row r="189" spans="1:27" customFormat="1">
      <c r="B189" s="7"/>
      <c r="C189" s="74"/>
      <c r="D189" s="66"/>
      <c r="E189" s="72" t="s">
        <v>176</v>
      </c>
      <c r="F189" s="1063" t="str">
        <f>_xlfn.IFNA(R189,"")</f>
        <v/>
      </c>
      <c r="G189" s="1063"/>
      <c r="H189" s="1063"/>
      <c r="I189" s="1063"/>
      <c r="J189" s="1063"/>
      <c r="K189" s="1063"/>
      <c r="L189" s="1063"/>
      <c r="M189" s="8"/>
      <c r="R189" s="131" t="str">
        <f>IF(OR(COUNTIF($E191:$E196,"&lt;&gt;〇〇(合意形成対象者名に書き換え)")=3,COUNTIF($E191:$E196,"")&gt;3),"",IF(PRODUCT($Y191:$Y196)=1,Z191,""))</f>
        <v/>
      </c>
      <c r="S189" s="177"/>
      <c r="T189" s="177"/>
      <c r="U189" s="177"/>
      <c r="V189" s="177"/>
      <c r="W189" s="177"/>
      <c r="X189" s="177"/>
      <c r="Y189" s="177"/>
      <c r="Z189" s="177"/>
      <c r="AA189" s="177">
        <f t="shared" si="95"/>
        <v>1</v>
      </c>
    </row>
    <row r="190" spans="1:27" ht="63.75" customHeight="1">
      <c r="B190" s="97"/>
      <c r="C190" s="98"/>
      <c r="D190" s="99"/>
      <c r="E190" s="374"/>
      <c r="F190" s="315" t="s">
        <v>270</v>
      </c>
      <c r="G190" s="315" t="s">
        <v>273</v>
      </c>
      <c r="H190" s="315" t="s">
        <v>274</v>
      </c>
      <c r="I190" s="315" t="s">
        <v>271</v>
      </c>
      <c r="J190" s="315" t="s">
        <v>440</v>
      </c>
      <c r="K190" s="315" t="s">
        <v>441</v>
      </c>
      <c r="L190" s="315" t="s">
        <v>272</v>
      </c>
      <c r="M190" s="100"/>
      <c r="N190" s="11"/>
      <c r="R190" s="128" t="s">
        <v>302</v>
      </c>
      <c r="S190" s="259" t="s">
        <v>429</v>
      </c>
      <c r="T190" s="128" t="s">
        <v>430</v>
      </c>
      <c r="U190" s="298" t="s">
        <v>442</v>
      </c>
      <c r="V190" s="258" t="s">
        <v>272</v>
      </c>
      <c r="W190" s="128" t="s">
        <v>432</v>
      </c>
      <c r="X190" s="131" t="s">
        <v>408</v>
      </c>
      <c r="Y190" s="131" t="s">
        <v>436</v>
      </c>
      <c r="Z190" s="128" t="s">
        <v>431</v>
      </c>
      <c r="AA190" s="257"/>
    </row>
    <row r="191" spans="1:27" hidden="1">
      <c r="B191" s="97"/>
      <c r="C191" s="98"/>
      <c r="D191" s="99"/>
      <c r="E191" s="444"/>
      <c r="F191" s="445"/>
      <c r="G191" s="441"/>
      <c r="H191" s="445"/>
      <c r="I191" s="441"/>
      <c r="J191" s="445"/>
      <c r="K191" s="441"/>
      <c r="L191" s="446"/>
      <c r="M191" s="100"/>
      <c r="N191" s="11"/>
      <c r="R191" s="131">
        <f t="shared" ref="R191:R196" si="96">IF(F191="実施済",1,0)</f>
        <v>0</v>
      </c>
      <c r="S191" s="260"/>
      <c r="T191" s="131">
        <f t="shared" ref="T191:T196" si="97">IF(AND(H191="実施済",I191="実施済"),R191*1,0)</f>
        <v>0</v>
      </c>
      <c r="U191" s="131">
        <f>IF(AND(J191="実施済",K191="実施済"),$T191*1,0)</f>
        <v>0</v>
      </c>
      <c r="V191" s="260"/>
      <c r="W191" s="131" t="str">
        <f>IF(OR(E191="〇〇(合意形成対象者名に書き換え)",E191=""),"",SUM(R191,T191,U191))</f>
        <v/>
      </c>
      <c r="X191" s="131">
        <f t="shared" ref="X191:X196" si="98">MIN($W$191:$W$196)+1</f>
        <v>1</v>
      </c>
      <c r="Y191" s="131">
        <f>IF(E191="",1,IF(AND(E191="〇〇(合意形成対象者名に書き換え)",COUNTA($F191:$L191)=0),1,IF(AND(E191&lt;&gt;"〇〇(合意形成対象者名に書き換え)",COUNTA($F191:$L191)=7),1,0)))</f>
        <v>1</v>
      </c>
      <c r="Z191" s="131" t="str" cm="1">
        <f t="array" ref="Z191">_xlfn.IFS(X191=4,"A",X191=3,"B",X191=2,"C",X191=1,"D")</f>
        <v>D</v>
      </c>
      <c r="AA191" s="257"/>
    </row>
    <row r="192" spans="1:27">
      <c r="B192" s="97"/>
      <c r="C192" s="98"/>
      <c r="D192" s="99"/>
      <c r="E192" s="450" t="s">
        <v>129</v>
      </c>
      <c r="F192" s="449"/>
      <c r="G192" s="443"/>
      <c r="H192" s="449"/>
      <c r="I192" s="443"/>
      <c r="J192" s="449"/>
      <c r="K192" s="443"/>
      <c r="L192" s="443"/>
      <c r="M192" s="100"/>
      <c r="N192" s="11"/>
      <c r="R192" s="131">
        <f t="shared" si="96"/>
        <v>0</v>
      </c>
      <c r="S192" s="260"/>
      <c r="T192" s="131">
        <f t="shared" si="97"/>
        <v>0</v>
      </c>
      <c r="U192" s="131">
        <f t="shared" ref="U192:U194" si="99">IF(AND(J192="実施済",K192="実施済"),$T192*1,0)</f>
        <v>0</v>
      </c>
      <c r="V192" s="260"/>
      <c r="W192" s="131" t="str">
        <f t="shared" ref="W192:W196" si="100">IF(OR(E192="〇〇(合意形成対象者名に書き換え)",E192=""),"",SUM(R192,T192,U192))</f>
        <v/>
      </c>
      <c r="X192" s="131">
        <f t="shared" si="98"/>
        <v>1</v>
      </c>
      <c r="Y192" s="131">
        <f t="shared" ref="Y192:Y196" si="101">IF(E192="",1,IF(AND(E192="〇〇(合意形成対象者名に書き換え)",COUNTA($F192:$L192)=0),1,IF(AND(E192&lt;&gt;"〇〇(合意形成対象者名に書き換え)",COUNTA($F192:$L192)=7),1,0)))</f>
        <v>1</v>
      </c>
      <c r="Z192" s="131" t="str" cm="1">
        <f t="array" ref="Z192">_xlfn.IFS(X192=4,"A",X192=3,"B",X192=2,"C",X192=1,"D")</f>
        <v>D</v>
      </c>
      <c r="AA192" s="257"/>
    </row>
    <row r="193" spans="1:27">
      <c r="B193" s="97"/>
      <c r="C193" s="98"/>
      <c r="D193" s="99"/>
      <c r="E193" s="450" t="s">
        <v>129</v>
      </c>
      <c r="F193" s="449"/>
      <c r="G193" s="443"/>
      <c r="H193" s="449"/>
      <c r="I193" s="443"/>
      <c r="J193" s="449"/>
      <c r="K193" s="443"/>
      <c r="L193" s="443"/>
      <c r="M193" s="100"/>
      <c r="N193" s="11"/>
      <c r="R193" s="131">
        <f t="shared" si="96"/>
        <v>0</v>
      </c>
      <c r="S193" s="260"/>
      <c r="T193" s="131">
        <f t="shared" si="97"/>
        <v>0</v>
      </c>
      <c r="U193" s="131">
        <f t="shared" si="99"/>
        <v>0</v>
      </c>
      <c r="V193" s="260"/>
      <c r="W193" s="131" t="str">
        <f t="shared" si="100"/>
        <v/>
      </c>
      <c r="X193" s="131">
        <f t="shared" si="98"/>
        <v>1</v>
      </c>
      <c r="Y193" s="131">
        <f t="shared" si="101"/>
        <v>1</v>
      </c>
      <c r="Z193" s="131" t="str" cm="1">
        <f t="array" ref="Z193">_xlfn.IFS(X193=4,"A",X193=3,"B",X193=2,"C",X193=1,"D")</f>
        <v>D</v>
      </c>
      <c r="AA193" s="257"/>
    </row>
    <row r="194" spans="1:27" s="101" customFormat="1">
      <c r="A194" s="11"/>
      <c r="B194" s="97"/>
      <c r="C194" s="98"/>
      <c r="D194" s="99"/>
      <c r="E194" s="450" t="s">
        <v>129</v>
      </c>
      <c r="F194" s="449"/>
      <c r="G194" s="443"/>
      <c r="H194" s="449"/>
      <c r="I194" s="443"/>
      <c r="J194" s="449"/>
      <c r="K194" s="443"/>
      <c r="L194" s="443"/>
      <c r="M194" s="100"/>
      <c r="N194" s="11"/>
      <c r="Q194" s="11"/>
      <c r="R194" s="131">
        <f t="shared" si="96"/>
        <v>0</v>
      </c>
      <c r="S194" s="260"/>
      <c r="T194" s="131">
        <f t="shared" si="97"/>
        <v>0</v>
      </c>
      <c r="U194" s="131">
        <f t="shared" si="99"/>
        <v>0</v>
      </c>
      <c r="V194" s="260"/>
      <c r="W194" s="131" t="str">
        <f t="shared" si="100"/>
        <v/>
      </c>
      <c r="X194" s="131">
        <f t="shared" si="98"/>
        <v>1</v>
      </c>
      <c r="Y194" s="131">
        <f t="shared" si="101"/>
        <v>1</v>
      </c>
      <c r="Z194" s="131" t="str" cm="1">
        <f t="array" ref="Z194">_xlfn.IFS(X194=4,"A",X194=3,"B",X194=2,"C",X194=1,"D")</f>
        <v>D</v>
      </c>
      <c r="AA194" s="131"/>
    </row>
    <row r="195" spans="1:27" customFormat="1" ht="7.5" customHeight="1">
      <c r="B195" s="65"/>
      <c r="C195" s="4"/>
      <c r="D195" s="4"/>
      <c r="E195" s="4"/>
      <c r="F195" s="4"/>
      <c r="G195" s="4"/>
      <c r="H195" s="4"/>
      <c r="I195" s="4"/>
      <c r="J195" s="4"/>
      <c r="K195" s="4"/>
      <c r="L195" s="4"/>
      <c r="M195" s="9"/>
      <c r="N195" s="2"/>
      <c r="O195" s="2"/>
      <c r="P195" s="2"/>
      <c r="R195" s="131">
        <f t="shared" si="96"/>
        <v>0</v>
      </c>
      <c r="S195" s="260"/>
      <c r="T195" s="131">
        <f t="shared" si="97"/>
        <v>0</v>
      </c>
      <c r="U195" s="131">
        <f>IF(AND(J195="実施済",K195="実施済"),$T195*1,0)</f>
        <v>0</v>
      </c>
      <c r="V195" s="260"/>
      <c r="W195" s="131" t="str">
        <f t="shared" si="100"/>
        <v/>
      </c>
      <c r="X195" s="131">
        <f t="shared" si="98"/>
        <v>1</v>
      </c>
      <c r="Y195" s="131">
        <f t="shared" si="101"/>
        <v>1</v>
      </c>
      <c r="Z195" s="131" t="str" cm="1">
        <f t="array" ref="Z195">_xlfn.IFS(X195=4,"A",X195=3,"B",X195=2,"C",X195=1,"D")</f>
        <v>D</v>
      </c>
      <c r="AA195" s="177"/>
    </row>
    <row r="196" spans="1:27" customFormat="1" ht="18" customHeight="1">
      <c r="N196" s="2"/>
      <c r="O196" s="2"/>
      <c r="P196" s="2"/>
      <c r="R196" s="131">
        <f t="shared" si="96"/>
        <v>0</v>
      </c>
      <c r="S196" s="260"/>
      <c r="T196" s="131">
        <f t="shared" si="97"/>
        <v>0</v>
      </c>
      <c r="U196" s="131">
        <f t="shared" ref="U196" si="102">IF(AND(J196="実施済",K196="実施済"),$T196*1,0)</f>
        <v>0</v>
      </c>
      <c r="V196" s="260"/>
      <c r="W196" s="131" t="str">
        <f t="shared" si="100"/>
        <v/>
      </c>
      <c r="X196" s="131">
        <f t="shared" si="98"/>
        <v>1</v>
      </c>
      <c r="Y196" s="131">
        <f t="shared" si="101"/>
        <v>1</v>
      </c>
      <c r="Z196" s="131" t="str" cm="1">
        <f t="array" ref="Z196">_xlfn.IFS(X196=4,"A",X196=3,"B",X196=2,"C",X196=1,"D")</f>
        <v>D</v>
      </c>
      <c r="AA196" s="177"/>
    </row>
    <row r="197" spans="1:27" customFormat="1" ht="103.5" customHeight="1">
      <c r="C197" s="78"/>
      <c r="D197" s="79"/>
      <c r="E197" s="71" t="s">
        <v>238</v>
      </c>
      <c r="F197" s="1057"/>
      <c r="G197" s="1057"/>
      <c r="H197" s="1057"/>
      <c r="I197" s="1057"/>
      <c r="J197" s="1057"/>
      <c r="K197" s="1057"/>
      <c r="L197" s="1057"/>
      <c r="M197" s="80" t="s">
        <v>132</v>
      </c>
      <c r="N197" s="80"/>
    </row>
    <row r="198" spans="1:27" customFormat="1" ht="146.25" customHeight="1">
      <c r="C198" s="75"/>
      <c r="D198" s="68"/>
      <c r="E198" s="71" t="s">
        <v>237</v>
      </c>
      <c r="F198" s="1057"/>
      <c r="G198" s="1057"/>
      <c r="H198" s="1057"/>
      <c r="I198" s="1057"/>
      <c r="J198" s="1057"/>
      <c r="K198" s="1057"/>
      <c r="L198" s="1057"/>
      <c r="N198" s="2"/>
      <c r="O198" s="2"/>
      <c r="P198" s="2"/>
    </row>
    <row r="199" spans="1:27" customFormat="1" ht="13.5" customHeight="1" thickBot="1">
      <c r="A199" s="81"/>
      <c r="B199" s="81"/>
      <c r="C199" s="81"/>
      <c r="D199" s="81"/>
      <c r="E199" s="81"/>
      <c r="F199" s="81"/>
      <c r="G199" s="81"/>
      <c r="H199" s="81"/>
      <c r="I199" s="81"/>
      <c r="J199" s="81"/>
      <c r="K199" s="81"/>
      <c r="L199" s="81"/>
      <c r="M199" s="81"/>
      <c r="N199" s="82"/>
      <c r="O199" s="2"/>
      <c r="P199" s="2"/>
    </row>
    <row r="200" spans="1:27" customFormat="1" ht="13.5" customHeight="1">
      <c r="A200" s="83"/>
      <c r="B200" s="83"/>
      <c r="C200" s="83"/>
      <c r="D200" s="83"/>
      <c r="E200" s="83"/>
      <c r="F200" s="83"/>
      <c r="G200" s="83"/>
      <c r="H200" s="83"/>
      <c r="I200" s="83"/>
      <c r="J200" s="83"/>
      <c r="K200" s="83"/>
      <c r="L200" s="83"/>
      <c r="M200" s="83"/>
      <c r="N200" s="84"/>
      <c r="O200" s="2"/>
      <c r="P200" s="2"/>
    </row>
    <row r="201" spans="1:27" customFormat="1" ht="15" customHeight="1">
      <c r="B201" s="10"/>
      <c r="C201" s="5"/>
      <c r="D201" s="5"/>
      <c r="E201" s="5"/>
      <c r="F201" s="5"/>
      <c r="G201" s="5"/>
      <c r="H201" s="5"/>
      <c r="I201" s="5"/>
      <c r="J201" s="5"/>
      <c r="K201" s="5"/>
      <c r="L201" s="5"/>
      <c r="M201" s="6"/>
      <c r="R201" s="11" t="str">
        <f>D202</f>
        <v>(選択してください)</v>
      </c>
    </row>
    <row r="202" spans="1:27" customFormat="1">
      <c r="B202" s="7"/>
      <c r="C202" s="77" t="str">
        <f ca="1">IFERROR(OFFSET('4.2民生電力需要量'!$C$1,MATCH(D202,'4.2民生電力需要量'!$E:$E,0)-1,0),"")</f>
        <v/>
      </c>
      <c r="D202" s="96" t="s">
        <v>130</v>
      </c>
      <c r="E202" s="72" t="s">
        <v>131</v>
      </c>
      <c r="F202" s="1063" t="str">
        <f ca="1">IFERROR(OFFSET('4.2民生電力需要量'!$G$1,MATCH($D202,'4.2民生電力需要量'!$E:$E,0)-1,0),"")</f>
        <v/>
      </c>
      <c r="G202" s="1063"/>
      <c r="H202" s="1063"/>
      <c r="I202" s="1063"/>
      <c r="J202" s="1063"/>
      <c r="K202" s="1063"/>
      <c r="L202" s="1063"/>
      <c r="M202" s="8"/>
      <c r="R202" s="257" t="str">
        <f ca="1">IFERROR(OFFSET('4.2民生電力需要量'!$G$1,MATCH($D202,'4.2民生電力需要量'!$E:$E,0)-1,0),"")</f>
        <v/>
      </c>
      <c r="S202" s="177"/>
      <c r="T202" s="177"/>
      <c r="U202" s="177"/>
      <c r="V202" s="177"/>
      <c r="W202" s="177"/>
      <c r="X202" s="177"/>
      <c r="Y202" s="177"/>
      <c r="Z202" s="177"/>
      <c r="AA202" s="177">
        <f ca="1">(F202=R202)*1</f>
        <v>1</v>
      </c>
    </row>
    <row r="203" spans="1:27" customFormat="1">
      <c r="B203" s="7"/>
      <c r="C203" s="74"/>
      <c r="D203" s="66"/>
      <c r="E203" s="72" t="s">
        <v>221</v>
      </c>
      <c r="F203" s="1062" t="str">
        <f ca="1">IFERROR(OFFSET('4.2民生電力需要量'!$I$1,MATCH($D202,'4.2民生電力需要量'!$E:$E,0)-1,0),"")</f>
        <v/>
      </c>
      <c r="G203" s="1062"/>
      <c r="H203" s="1062"/>
      <c r="I203" s="1062"/>
      <c r="J203" s="1062"/>
      <c r="K203" s="1062"/>
      <c r="L203" s="1062"/>
      <c r="M203" s="8"/>
      <c r="R203" s="257" t="str">
        <f ca="1">IFERROR(OFFSET('4.2民生電力需要量'!$I$1,MATCH($D202,'4.2民生電力需要量'!$E:$E,0)-1,0),"")</f>
        <v/>
      </c>
      <c r="S203" s="177"/>
      <c r="T203" s="177"/>
      <c r="U203" s="177"/>
      <c r="V203" s="177"/>
      <c r="W203" s="177"/>
      <c r="X203" s="177"/>
      <c r="Y203" s="177"/>
      <c r="Z203" s="177"/>
      <c r="AA203" s="177">
        <f t="shared" ref="AA203:AA204" ca="1" si="103">(F203=R203)*1</f>
        <v>1</v>
      </c>
    </row>
    <row r="204" spans="1:27" customFormat="1">
      <c r="B204" s="7"/>
      <c r="C204" s="74"/>
      <c r="D204" s="66"/>
      <c r="E204" s="72" t="s">
        <v>176</v>
      </c>
      <c r="F204" s="1063" t="str">
        <f>_xlfn.IFNA(R204,"")</f>
        <v/>
      </c>
      <c r="G204" s="1063"/>
      <c r="H204" s="1063"/>
      <c r="I204" s="1063"/>
      <c r="J204" s="1063"/>
      <c r="K204" s="1063"/>
      <c r="L204" s="1063"/>
      <c r="M204" s="8"/>
      <c r="R204" s="131" t="str">
        <f>IF(OR(COUNTIF($E206:$E211,"&lt;&gt;〇〇(合意形成対象者名に書き換え)")=3,COUNTIF($E206:$E211,"")&gt;3),"",IF(PRODUCT($Y206:$Y211)=1,Z206,""))</f>
        <v/>
      </c>
      <c r="S204" s="177"/>
      <c r="T204" s="177"/>
      <c r="U204" s="177"/>
      <c r="V204" s="177"/>
      <c r="W204" s="177"/>
      <c r="X204" s="177"/>
      <c r="Y204" s="177"/>
      <c r="Z204" s="177"/>
      <c r="AA204" s="177">
        <f t="shared" si="103"/>
        <v>1</v>
      </c>
    </row>
    <row r="205" spans="1:27" ht="63.75" customHeight="1">
      <c r="B205" s="97"/>
      <c r="C205" s="98"/>
      <c r="D205" s="99"/>
      <c r="E205" s="374"/>
      <c r="F205" s="315" t="s">
        <v>270</v>
      </c>
      <c r="G205" s="315" t="s">
        <v>273</v>
      </c>
      <c r="H205" s="315" t="s">
        <v>274</v>
      </c>
      <c r="I205" s="315" t="s">
        <v>271</v>
      </c>
      <c r="J205" s="315" t="s">
        <v>440</v>
      </c>
      <c r="K205" s="315" t="s">
        <v>441</v>
      </c>
      <c r="L205" s="315" t="s">
        <v>272</v>
      </c>
      <c r="M205" s="100"/>
      <c r="N205" s="11"/>
      <c r="R205" s="128" t="s">
        <v>302</v>
      </c>
      <c r="S205" s="259" t="s">
        <v>429</v>
      </c>
      <c r="T205" s="128" t="s">
        <v>430</v>
      </c>
      <c r="U205" s="298" t="s">
        <v>442</v>
      </c>
      <c r="V205" s="258" t="s">
        <v>272</v>
      </c>
      <c r="W205" s="128" t="s">
        <v>432</v>
      </c>
      <c r="X205" s="131" t="s">
        <v>408</v>
      </c>
      <c r="Y205" s="131" t="s">
        <v>436</v>
      </c>
      <c r="Z205" s="128" t="s">
        <v>431</v>
      </c>
      <c r="AA205" s="257"/>
    </row>
    <row r="206" spans="1:27" hidden="1">
      <c r="B206" s="97"/>
      <c r="C206" s="98"/>
      <c r="D206" s="99"/>
      <c r="E206" s="444"/>
      <c r="F206" s="445"/>
      <c r="G206" s="441"/>
      <c r="H206" s="445"/>
      <c r="I206" s="441"/>
      <c r="J206" s="445"/>
      <c r="K206" s="441"/>
      <c r="L206" s="446"/>
      <c r="M206" s="100"/>
      <c r="N206" s="11"/>
      <c r="R206" s="131">
        <f t="shared" ref="R206:R211" si="104">IF(F206="実施済",1,0)</f>
        <v>0</v>
      </c>
      <c r="S206" s="260"/>
      <c r="T206" s="131">
        <f t="shared" ref="T206:T211" si="105">IF(AND(H206="実施済",I206="実施済"),R206*1,0)</f>
        <v>0</v>
      </c>
      <c r="U206" s="131">
        <f>IF(AND(J206="実施済",K206="実施済"),$T206*1,0)</f>
        <v>0</v>
      </c>
      <c r="V206" s="260"/>
      <c r="W206" s="131" t="str">
        <f>IF(OR(E206="〇〇(合意形成対象者名に書き換え)",E206=""),"",SUM(R206,T206,U206))</f>
        <v/>
      </c>
      <c r="X206" s="131">
        <f t="shared" ref="X206:X211" si="106">MIN($W$206:$W$211)+1</f>
        <v>1</v>
      </c>
      <c r="Y206" s="131">
        <f>IF(E206="",1,IF(AND(E206="〇〇(合意形成対象者名に書き換え)",COUNTA($F206:$L206)=0),1,IF(AND(E206&lt;&gt;"〇〇(合意形成対象者名に書き換え)",COUNTA($F206:$L206)=7),1,0)))</f>
        <v>1</v>
      </c>
      <c r="Z206" s="131" t="str" cm="1">
        <f t="array" ref="Z206">_xlfn.IFS(X206=4,"A",X206=3,"B",X206=2,"C",X206=1,"D")</f>
        <v>D</v>
      </c>
      <c r="AA206" s="257"/>
    </row>
    <row r="207" spans="1:27">
      <c r="B207" s="97"/>
      <c r="C207" s="98"/>
      <c r="D207" s="99"/>
      <c r="E207" s="450" t="s">
        <v>129</v>
      </c>
      <c r="F207" s="449"/>
      <c r="G207" s="443"/>
      <c r="H207" s="449"/>
      <c r="I207" s="443"/>
      <c r="J207" s="449"/>
      <c r="K207" s="443"/>
      <c r="L207" s="443"/>
      <c r="M207" s="100"/>
      <c r="N207" s="11"/>
      <c r="R207" s="131">
        <f t="shared" si="104"/>
        <v>0</v>
      </c>
      <c r="S207" s="260"/>
      <c r="T207" s="131">
        <f t="shared" si="105"/>
        <v>0</v>
      </c>
      <c r="U207" s="131">
        <f t="shared" ref="U207:U209" si="107">IF(AND(J207="実施済",K207="実施済"),$T207*1,0)</f>
        <v>0</v>
      </c>
      <c r="V207" s="260"/>
      <c r="W207" s="131" t="str">
        <f t="shared" ref="W207:W211" si="108">IF(OR(E207="〇〇(合意形成対象者名に書き換え)",E207=""),"",SUM(R207,T207,U207))</f>
        <v/>
      </c>
      <c r="X207" s="131">
        <f t="shared" si="106"/>
        <v>1</v>
      </c>
      <c r="Y207" s="131">
        <f t="shared" ref="Y207:Y211" si="109">IF(E207="",1,IF(AND(E207="〇〇(合意形成対象者名に書き換え)",COUNTA($F207:$L207)=0),1,IF(AND(E207&lt;&gt;"〇〇(合意形成対象者名に書き換え)",COUNTA($F207:$L207)=7),1,0)))</f>
        <v>1</v>
      </c>
      <c r="Z207" s="131" t="str" cm="1">
        <f t="array" ref="Z207">_xlfn.IFS(X207=4,"A",X207=3,"B",X207=2,"C",X207=1,"D")</f>
        <v>D</v>
      </c>
      <c r="AA207" s="257"/>
    </row>
    <row r="208" spans="1:27">
      <c r="B208" s="97"/>
      <c r="C208" s="98"/>
      <c r="D208" s="99"/>
      <c r="E208" s="450" t="s">
        <v>129</v>
      </c>
      <c r="F208" s="449"/>
      <c r="G208" s="443"/>
      <c r="H208" s="449"/>
      <c r="I208" s="443"/>
      <c r="J208" s="449"/>
      <c r="K208" s="443"/>
      <c r="L208" s="443"/>
      <c r="M208" s="100"/>
      <c r="N208" s="11"/>
      <c r="R208" s="131">
        <f t="shared" si="104"/>
        <v>0</v>
      </c>
      <c r="S208" s="260"/>
      <c r="T208" s="131">
        <f t="shared" si="105"/>
        <v>0</v>
      </c>
      <c r="U208" s="131">
        <f t="shared" si="107"/>
        <v>0</v>
      </c>
      <c r="V208" s="260"/>
      <c r="W208" s="131" t="str">
        <f t="shared" si="108"/>
        <v/>
      </c>
      <c r="X208" s="131">
        <f t="shared" si="106"/>
        <v>1</v>
      </c>
      <c r="Y208" s="131">
        <f t="shared" si="109"/>
        <v>1</v>
      </c>
      <c r="Z208" s="131" t="str" cm="1">
        <f t="array" ref="Z208">_xlfn.IFS(X208=4,"A",X208=3,"B",X208=2,"C",X208=1,"D")</f>
        <v>D</v>
      </c>
      <c r="AA208" s="257"/>
    </row>
    <row r="209" spans="1:27" s="101" customFormat="1">
      <c r="A209" s="11"/>
      <c r="B209" s="97"/>
      <c r="C209" s="98"/>
      <c r="D209" s="99"/>
      <c r="E209" s="450" t="s">
        <v>129</v>
      </c>
      <c r="F209" s="449"/>
      <c r="G209" s="443"/>
      <c r="H209" s="449"/>
      <c r="I209" s="443"/>
      <c r="J209" s="449"/>
      <c r="K209" s="443"/>
      <c r="L209" s="443"/>
      <c r="M209" s="100"/>
      <c r="N209" s="11"/>
      <c r="Q209" s="11"/>
      <c r="R209" s="131">
        <f t="shared" si="104"/>
        <v>0</v>
      </c>
      <c r="S209" s="260"/>
      <c r="T209" s="131">
        <f t="shared" si="105"/>
        <v>0</v>
      </c>
      <c r="U209" s="131">
        <f t="shared" si="107"/>
        <v>0</v>
      </c>
      <c r="V209" s="260"/>
      <c r="W209" s="131" t="str">
        <f t="shared" si="108"/>
        <v/>
      </c>
      <c r="X209" s="131">
        <f t="shared" si="106"/>
        <v>1</v>
      </c>
      <c r="Y209" s="131">
        <f t="shared" si="109"/>
        <v>1</v>
      </c>
      <c r="Z209" s="131" t="str" cm="1">
        <f t="array" ref="Z209">_xlfn.IFS(X209=4,"A",X209=3,"B",X209=2,"C",X209=1,"D")</f>
        <v>D</v>
      </c>
      <c r="AA209" s="131"/>
    </row>
    <row r="210" spans="1:27" customFormat="1" ht="7.5" customHeight="1">
      <c r="B210" s="65"/>
      <c r="C210" s="4"/>
      <c r="D210" s="4"/>
      <c r="E210" s="4"/>
      <c r="F210" s="4"/>
      <c r="G210" s="4"/>
      <c r="H210" s="4"/>
      <c r="I210" s="4"/>
      <c r="J210" s="4"/>
      <c r="K210" s="4"/>
      <c r="L210" s="4"/>
      <c r="M210" s="9"/>
      <c r="N210" s="2"/>
      <c r="O210" s="2"/>
      <c r="P210" s="2"/>
      <c r="R210" s="131">
        <f t="shared" si="104"/>
        <v>0</v>
      </c>
      <c r="S210" s="260"/>
      <c r="T210" s="131">
        <f t="shared" si="105"/>
        <v>0</v>
      </c>
      <c r="U210" s="131">
        <f>IF(AND(J210="実施済",K210="実施済"),$T210*1,0)</f>
        <v>0</v>
      </c>
      <c r="V210" s="260"/>
      <c r="W210" s="131" t="str">
        <f t="shared" si="108"/>
        <v/>
      </c>
      <c r="X210" s="131">
        <f t="shared" si="106"/>
        <v>1</v>
      </c>
      <c r="Y210" s="131">
        <f t="shared" si="109"/>
        <v>1</v>
      </c>
      <c r="Z210" s="131" t="str" cm="1">
        <f t="array" ref="Z210">_xlfn.IFS(X210=4,"A",X210=3,"B",X210=2,"C",X210=1,"D")</f>
        <v>D</v>
      </c>
      <c r="AA210" s="177"/>
    </row>
    <row r="211" spans="1:27" customFormat="1" ht="18" customHeight="1">
      <c r="N211" s="2"/>
      <c r="O211" s="2"/>
      <c r="P211" s="2"/>
      <c r="R211" s="131">
        <f t="shared" si="104"/>
        <v>0</v>
      </c>
      <c r="S211" s="260"/>
      <c r="T211" s="131">
        <f t="shared" si="105"/>
        <v>0</v>
      </c>
      <c r="U211" s="131">
        <f t="shared" ref="U211" si="110">IF(AND(J211="実施済",K211="実施済"),$T211*1,0)</f>
        <v>0</v>
      </c>
      <c r="V211" s="260"/>
      <c r="W211" s="131" t="str">
        <f t="shared" si="108"/>
        <v/>
      </c>
      <c r="X211" s="131">
        <f t="shared" si="106"/>
        <v>1</v>
      </c>
      <c r="Y211" s="131">
        <f t="shared" si="109"/>
        <v>1</v>
      </c>
      <c r="Z211" s="131" t="str" cm="1">
        <f t="array" ref="Z211">_xlfn.IFS(X211=4,"A",X211=3,"B",X211=2,"C",X211=1,"D")</f>
        <v>D</v>
      </c>
      <c r="AA211" s="177"/>
    </row>
    <row r="212" spans="1:27" customFormat="1" ht="103.5" customHeight="1">
      <c r="C212" s="78"/>
      <c r="D212" s="79"/>
      <c r="E212" s="71" t="s">
        <v>238</v>
      </c>
      <c r="F212" s="1057"/>
      <c r="G212" s="1057"/>
      <c r="H212" s="1057"/>
      <c r="I212" s="1057"/>
      <c r="J212" s="1057"/>
      <c r="K212" s="1057"/>
      <c r="L212" s="1057"/>
      <c r="M212" s="80" t="s">
        <v>132</v>
      </c>
      <c r="N212" s="80"/>
    </row>
    <row r="213" spans="1:27" customFormat="1" ht="146.25" customHeight="1">
      <c r="C213" s="75"/>
      <c r="D213" s="68"/>
      <c r="E213" s="71" t="s">
        <v>237</v>
      </c>
      <c r="F213" s="1057"/>
      <c r="G213" s="1057"/>
      <c r="H213" s="1057"/>
      <c r="I213" s="1057"/>
      <c r="J213" s="1057"/>
      <c r="K213" s="1057"/>
      <c r="L213" s="1057"/>
      <c r="N213" s="2"/>
      <c r="O213" s="2"/>
      <c r="P213" s="2"/>
    </row>
    <row r="214" spans="1:27" customFormat="1" ht="13.5" customHeight="1" thickBot="1">
      <c r="A214" s="81"/>
      <c r="B214" s="81"/>
      <c r="C214" s="81"/>
      <c r="D214" s="81"/>
      <c r="E214" s="81"/>
      <c r="F214" s="81"/>
      <c r="G214" s="81"/>
      <c r="H214" s="81"/>
      <c r="I214" s="81"/>
      <c r="J214" s="81"/>
      <c r="K214" s="81"/>
      <c r="L214" s="81"/>
      <c r="M214" s="81"/>
      <c r="N214" s="82"/>
      <c r="O214" s="2"/>
      <c r="P214" s="2"/>
    </row>
    <row r="215" spans="1:27" customFormat="1" ht="13.5" customHeight="1">
      <c r="A215" s="83"/>
      <c r="B215" s="83"/>
      <c r="C215" s="83"/>
      <c r="D215" s="83"/>
      <c r="E215" s="83"/>
      <c r="F215" s="83"/>
      <c r="G215" s="83"/>
      <c r="H215" s="83"/>
      <c r="I215" s="83"/>
      <c r="J215" s="83"/>
      <c r="K215" s="83"/>
      <c r="L215" s="83"/>
      <c r="M215" s="83"/>
      <c r="N215" s="84"/>
      <c r="O215" s="2"/>
      <c r="P215" s="2"/>
    </row>
    <row r="216" spans="1:27" customFormat="1" ht="15" customHeight="1">
      <c r="B216" s="10"/>
      <c r="C216" s="5"/>
      <c r="D216" s="5"/>
      <c r="E216" s="5"/>
      <c r="F216" s="5"/>
      <c r="G216" s="5"/>
      <c r="H216" s="5"/>
      <c r="I216" s="5"/>
      <c r="J216" s="5"/>
      <c r="K216" s="5"/>
      <c r="L216" s="5"/>
      <c r="M216" s="6"/>
      <c r="R216" s="11" t="str">
        <f>D217</f>
        <v>(選択してください)</v>
      </c>
    </row>
    <row r="217" spans="1:27" customFormat="1">
      <c r="B217" s="7"/>
      <c r="C217" s="77" t="str">
        <f ca="1">IFERROR(OFFSET('4.2民生電力需要量'!$C$1,MATCH(D217,'4.2民生電力需要量'!$E:$E,0)-1,0),"")</f>
        <v/>
      </c>
      <c r="D217" s="96" t="s">
        <v>130</v>
      </c>
      <c r="E217" s="72" t="s">
        <v>131</v>
      </c>
      <c r="F217" s="1063" t="str">
        <f ca="1">IFERROR(OFFSET('4.2民生電力需要量'!$G$1,MATCH($D217,'4.2民生電力需要量'!$E:$E,0)-1,0),"")</f>
        <v/>
      </c>
      <c r="G217" s="1063"/>
      <c r="H217" s="1063"/>
      <c r="I217" s="1063"/>
      <c r="J217" s="1063"/>
      <c r="K217" s="1063"/>
      <c r="L217" s="1063"/>
      <c r="M217" s="8"/>
      <c r="R217" s="257" t="str">
        <f ca="1">IFERROR(OFFSET('4.2民生電力需要量'!$G$1,MATCH($D217,'4.2民生電力需要量'!$E:$E,0)-1,0),"")</f>
        <v/>
      </c>
      <c r="S217" s="177"/>
      <c r="T217" s="177"/>
      <c r="U217" s="177"/>
      <c r="V217" s="177"/>
      <c r="W217" s="177"/>
      <c r="X217" s="177"/>
      <c r="Y217" s="177"/>
      <c r="Z217" s="177"/>
      <c r="AA217" s="177">
        <f ca="1">(F217=R217)*1</f>
        <v>1</v>
      </c>
    </row>
    <row r="218" spans="1:27" customFormat="1">
      <c r="B218" s="7"/>
      <c r="C218" s="74"/>
      <c r="D218" s="66"/>
      <c r="E218" s="72" t="s">
        <v>221</v>
      </c>
      <c r="F218" s="1062" t="str">
        <f ca="1">IFERROR(OFFSET('4.2民生電力需要量'!$I$1,MATCH($D217,'4.2民生電力需要量'!$E:$E,0)-1,0),"")</f>
        <v/>
      </c>
      <c r="G218" s="1062"/>
      <c r="H218" s="1062"/>
      <c r="I218" s="1062"/>
      <c r="J218" s="1062"/>
      <c r="K218" s="1062"/>
      <c r="L218" s="1062"/>
      <c r="M218" s="8"/>
      <c r="R218" s="257" t="str">
        <f ca="1">IFERROR(OFFSET('4.2民生電力需要量'!$I$1,MATCH($D217,'4.2民生電力需要量'!$E:$E,0)-1,0),"")</f>
        <v/>
      </c>
      <c r="S218" s="177"/>
      <c r="T218" s="177"/>
      <c r="U218" s="177"/>
      <c r="V218" s="177"/>
      <c r="W218" s="177"/>
      <c r="X218" s="177"/>
      <c r="Y218" s="177"/>
      <c r="Z218" s="177"/>
      <c r="AA218" s="177">
        <f t="shared" ref="AA218:AA219" ca="1" si="111">(F218=R218)*1</f>
        <v>1</v>
      </c>
    </row>
    <row r="219" spans="1:27" customFormat="1">
      <c r="B219" s="7"/>
      <c r="C219" s="74"/>
      <c r="D219" s="66"/>
      <c r="E219" s="72" t="s">
        <v>176</v>
      </c>
      <c r="F219" s="1063" t="str">
        <f>_xlfn.IFNA(R219,"")</f>
        <v/>
      </c>
      <c r="G219" s="1063"/>
      <c r="H219" s="1063"/>
      <c r="I219" s="1063"/>
      <c r="J219" s="1063"/>
      <c r="K219" s="1063"/>
      <c r="L219" s="1063"/>
      <c r="M219" s="8"/>
      <c r="R219" s="131" t="str">
        <f>IF(OR(COUNTIF($E221:$E226,"&lt;&gt;〇〇(合意形成対象者名に書き換え)")=3,COUNTIF($E221:$E226,"")&gt;3),"",IF(PRODUCT($Y221:$Y226)=1,Z221,""))</f>
        <v/>
      </c>
      <c r="S219" s="177"/>
      <c r="T219" s="177"/>
      <c r="U219" s="177"/>
      <c r="V219" s="177"/>
      <c r="W219" s="177"/>
      <c r="X219" s="177"/>
      <c r="Y219" s="177"/>
      <c r="Z219" s="177"/>
      <c r="AA219" s="177">
        <f t="shared" si="111"/>
        <v>1</v>
      </c>
    </row>
    <row r="220" spans="1:27" ht="63.75" customHeight="1">
      <c r="B220" s="97"/>
      <c r="C220" s="98"/>
      <c r="D220" s="99"/>
      <c r="E220" s="374"/>
      <c r="F220" s="315" t="s">
        <v>270</v>
      </c>
      <c r="G220" s="315" t="s">
        <v>273</v>
      </c>
      <c r="H220" s="315" t="s">
        <v>274</v>
      </c>
      <c r="I220" s="315" t="s">
        <v>271</v>
      </c>
      <c r="J220" s="315" t="s">
        <v>440</v>
      </c>
      <c r="K220" s="315" t="s">
        <v>441</v>
      </c>
      <c r="L220" s="315" t="s">
        <v>272</v>
      </c>
      <c r="M220" s="100"/>
      <c r="N220" s="11"/>
      <c r="R220" s="128" t="s">
        <v>302</v>
      </c>
      <c r="S220" s="259" t="s">
        <v>429</v>
      </c>
      <c r="T220" s="128" t="s">
        <v>430</v>
      </c>
      <c r="U220" s="298" t="s">
        <v>442</v>
      </c>
      <c r="V220" s="258" t="s">
        <v>272</v>
      </c>
      <c r="W220" s="128" t="s">
        <v>432</v>
      </c>
      <c r="X220" s="131" t="s">
        <v>408</v>
      </c>
      <c r="Y220" s="131" t="s">
        <v>436</v>
      </c>
      <c r="Z220" s="128" t="s">
        <v>431</v>
      </c>
      <c r="AA220" s="257"/>
    </row>
    <row r="221" spans="1:27" hidden="1">
      <c r="B221" s="97"/>
      <c r="C221" s="98"/>
      <c r="D221" s="99"/>
      <c r="E221" s="444"/>
      <c r="F221" s="445"/>
      <c r="G221" s="441"/>
      <c r="H221" s="445"/>
      <c r="I221" s="441"/>
      <c r="J221" s="445"/>
      <c r="K221" s="441"/>
      <c r="L221" s="446"/>
      <c r="M221" s="100"/>
      <c r="N221" s="11"/>
      <c r="R221" s="131">
        <f t="shared" ref="R221:R226" si="112">IF(F221="実施済",1,0)</f>
        <v>0</v>
      </c>
      <c r="S221" s="260"/>
      <c r="T221" s="131">
        <f t="shared" ref="T221:T226" si="113">IF(AND(H221="実施済",I221="実施済"),R221*1,0)</f>
        <v>0</v>
      </c>
      <c r="U221" s="131">
        <f>IF(AND(J221="実施済",K221="実施済"),$T221*1,0)</f>
        <v>0</v>
      </c>
      <c r="V221" s="260"/>
      <c r="W221" s="131" t="str">
        <f>IF(OR(E221="〇〇(合意形成対象者名に書き換え)",E221=""),"",SUM(R221,T221,U221))</f>
        <v/>
      </c>
      <c r="X221" s="131">
        <f t="shared" ref="X221:X226" si="114">MIN($W$221:$W$226)+1</f>
        <v>1</v>
      </c>
      <c r="Y221" s="131">
        <f>IF(E221="",1,IF(AND(E221="〇〇(合意形成対象者名に書き換え)",COUNTA($F221:$L221)=0),1,IF(AND(E221&lt;&gt;"〇〇(合意形成対象者名に書き換え)",COUNTA($F221:$L221)=7),1,0)))</f>
        <v>1</v>
      </c>
      <c r="Z221" s="131" t="str" cm="1">
        <f t="array" ref="Z221">_xlfn.IFS(X221=4,"A",X221=3,"B",X221=2,"C",X221=1,"D")</f>
        <v>D</v>
      </c>
      <c r="AA221" s="257"/>
    </row>
    <row r="222" spans="1:27">
      <c r="B222" s="97"/>
      <c r="C222" s="98"/>
      <c r="D222" s="99"/>
      <c r="E222" s="450" t="s">
        <v>129</v>
      </c>
      <c r="F222" s="449"/>
      <c r="G222" s="443"/>
      <c r="H222" s="449"/>
      <c r="I222" s="443"/>
      <c r="J222" s="449"/>
      <c r="K222" s="443"/>
      <c r="L222" s="443"/>
      <c r="M222" s="100"/>
      <c r="N222" s="11"/>
      <c r="R222" s="131">
        <f t="shared" si="112"/>
        <v>0</v>
      </c>
      <c r="S222" s="260"/>
      <c r="T222" s="131">
        <f t="shared" si="113"/>
        <v>0</v>
      </c>
      <c r="U222" s="131">
        <f t="shared" ref="U222:U224" si="115">IF(AND(J222="実施済",K222="実施済"),$T222*1,0)</f>
        <v>0</v>
      </c>
      <c r="V222" s="260"/>
      <c r="W222" s="131" t="str">
        <f t="shared" ref="W222:W226" si="116">IF(OR(E222="〇〇(合意形成対象者名に書き換え)",E222=""),"",SUM(R222,T222,U222))</f>
        <v/>
      </c>
      <c r="X222" s="131">
        <f t="shared" si="114"/>
        <v>1</v>
      </c>
      <c r="Y222" s="131">
        <f t="shared" ref="Y222:Y226" si="117">IF(E222="",1,IF(AND(E222="〇〇(合意形成対象者名に書き換え)",COUNTA($F222:$L222)=0),1,IF(AND(E222&lt;&gt;"〇〇(合意形成対象者名に書き換え)",COUNTA($F222:$L222)=7),1,0)))</f>
        <v>1</v>
      </c>
      <c r="Z222" s="131" t="str" cm="1">
        <f t="array" ref="Z222">_xlfn.IFS(X222=4,"A",X222=3,"B",X222=2,"C",X222=1,"D")</f>
        <v>D</v>
      </c>
      <c r="AA222" s="257"/>
    </row>
    <row r="223" spans="1:27">
      <c r="B223" s="97"/>
      <c r="C223" s="98"/>
      <c r="D223" s="99"/>
      <c r="E223" s="450" t="s">
        <v>129</v>
      </c>
      <c r="F223" s="449"/>
      <c r="G223" s="443"/>
      <c r="H223" s="449"/>
      <c r="I223" s="443"/>
      <c r="J223" s="449"/>
      <c r="K223" s="443"/>
      <c r="L223" s="443"/>
      <c r="M223" s="100"/>
      <c r="N223" s="11"/>
      <c r="R223" s="131">
        <f t="shared" si="112"/>
        <v>0</v>
      </c>
      <c r="S223" s="260"/>
      <c r="T223" s="131">
        <f t="shared" si="113"/>
        <v>0</v>
      </c>
      <c r="U223" s="131">
        <f t="shared" si="115"/>
        <v>0</v>
      </c>
      <c r="V223" s="260"/>
      <c r="W223" s="131" t="str">
        <f t="shared" si="116"/>
        <v/>
      </c>
      <c r="X223" s="131">
        <f t="shared" si="114"/>
        <v>1</v>
      </c>
      <c r="Y223" s="131">
        <f t="shared" si="117"/>
        <v>1</v>
      </c>
      <c r="Z223" s="131" t="str" cm="1">
        <f t="array" ref="Z223">_xlfn.IFS(X223=4,"A",X223=3,"B",X223=2,"C",X223=1,"D")</f>
        <v>D</v>
      </c>
      <c r="AA223" s="257"/>
    </row>
    <row r="224" spans="1:27" s="101" customFormat="1">
      <c r="A224" s="11"/>
      <c r="B224" s="97"/>
      <c r="C224" s="98"/>
      <c r="D224" s="99"/>
      <c r="E224" s="450" t="s">
        <v>129</v>
      </c>
      <c r="F224" s="449"/>
      <c r="G224" s="443"/>
      <c r="H224" s="449"/>
      <c r="I224" s="443"/>
      <c r="J224" s="449"/>
      <c r="K224" s="443"/>
      <c r="L224" s="443"/>
      <c r="M224" s="100"/>
      <c r="N224" s="11"/>
      <c r="Q224" s="11"/>
      <c r="R224" s="131">
        <f t="shared" si="112"/>
        <v>0</v>
      </c>
      <c r="S224" s="260"/>
      <c r="T224" s="131">
        <f t="shared" si="113"/>
        <v>0</v>
      </c>
      <c r="U224" s="131">
        <f t="shared" si="115"/>
        <v>0</v>
      </c>
      <c r="V224" s="260"/>
      <c r="W224" s="131" t="str">
        <f t="shared" si="116"/>
        <v/>
      </c>
      <c r="X224" s="131">
        <f t="shared" si="114"/>
        <v>1</v>
      </c>
      <c r="Y224" s="131">
        <f t="shared" si="117"/>
        <v>1</v>
      </c>
      <c r="Z224" s="131" t="str" cm="1">
        <f t="array" ref="Z224">_xlfn.IFS(X224=4,"A",X224=3,"B",X224=2,"C",X224=1,"D")</f>
        <v>D</v>
      </c>
      <c r="AA224" s="131"/>
    </row>
    <row r="225" spans="1:27" customFormat="1" ht="7.5" customHeight="1">
      <c r="B225" s="65"/>
      <c r="C225" s="4"/>
      <c r="D225" s="4"/>
      <c r="E225" s="4"/>
      <c r="F225" s="4"/>
      <c r="G225" s="4"/>
      <c r="H225" s="4"/>
      <c r="I225" s="4"/>
      <c r="J225" s="4"/>
      <c r="K225" s="4"/>
      <c r="L225" s="4"/>
      <c r="M225" s="9"/>
      <c r="N225" s="2"/>
      <c r="O225" s="2"/>
      <c r="P225" s="2"/>
      <c r="R225" s="131">
        <f t="shared" si="112"/>
        <v>0</v>
      </c>
      <c r="S225" s="260"/>
      <c r="T225" s="131">
        <f t="shared" si="113"/>
        <v>0</v>
      </c>
      <c r="U225" s="131">
        <f>IF(AND(J225="実施済",K225="実施済"),$T225*1,0)</f>
        <v>0</v>
      </c>
      <c r="V225" s="260"/>
      <c r="W225" s="131" t="str">
        <f t="shared" si="116"/>
        <v/>
      </c>
      <c r="X225" s="131">
        <f t="shared" si="114"/>
        <v>1</v>
      </c>
      <c r="Y225" s="131">
        <f t="shared" si="117"/>
        <v>1</v>
      </c>
      <c r="Z225" s="131" t="str" cm="1">
        <f t="array" ref="Z225">_xlfn.IFS(X225=4,"A",X225=3,"B",X225=2,"C",X225=1,"D")</f>
        <v>D</v>
      </c>
      <c r="AA225" s="177"/>
    </row>
    <row r="226" spans="1:27" customFormat="1" ht="18" customHeight="1">
      <c r="N226" s="2"/>
      <c r="O226" s="2"/>
      <c r="P226" s="2"/>
      <c r="R226" s="131">
        <f t="shared" si="112"/>
        <v>0</v>
      </c>
      <c r="S226" s="260"/>
      <c r="T226" s="131">
        <f t="shared" si="113"/>
        <v>0</v>
      </c>
      <c r="U226" s="131">
        <f t="shared" ref="U226" si="118">IF(AND(J226="実施済",K226="実施済"),$T226*1,0)</f>
        <v>0</v>
      </c>
      <c r="V226" s="260"/>
      <c r="W226" s="131" t="str">
        <f t="shared" si="116"/>
        <v/>
      </c>
      <c r="X226" s="131">
        <f t="shared" si="114"/>
        <v>1</v>
      </c>
      <c r="Y226" s="131">
        <f t="shared" si="117"/>
        <v>1</v>
      </c>
      <c r="Z226" s="131" t="str" cm="1">
        <f t="array" ref="Z226">_xlfn.IFS(X226=4,"A",X226=3,"B",X226=2,"C",X226=1,"D")</f>
        <v>D</v>
      </c>
      <c r="AA226" s="177"/>
    </row>
    <row r="227" spans="1:27" customFormat="1" ht="103.5" customHeight="1">
      <c r="C227" s="78"/>
      <c r="D227" s="79"/>
      <c r="E227" s="71" t="s">
        <v>238</v>
      </c>
      <c r="F227" s="1057"/>
      <c r="G227" s="1057"/>
      <c r="H227" s="1057"/>
      <c r="I227" s="1057"/>
      <c r="J227" s="1057"/>
      <c r="K227" s="1057"/>
      <c r="L227" s="1057"/>
      <c r="M227" s="80" t="s">
        <v>132</v>
      </c>
      <c r="N227" s="80"/>
    </row>
    <row r="228" spans="1:27" customFormat="1" ht="146.25" customHeight="1">
      <c r="C228" s="75"/>
      <c r="D228" s="68"/>
      <c r="E228" s="71" t="s">
        <v>237</v>
      </c>
      <c r="F228" s="1057"/>
      <c r="G228" s="1057"/>
      <c r="H228" s="1057"/>
      <c r="I228" s="1057"/>
      <c r="J228" s="1057"/>
      <c r="K228" s="1057"/>
      <c r="L228" s="1057"/>
      <c r="N228" s="2"/>
      <c r="O228" s="2"/>
      <c r="P228" s="2"/>
    </row>
    <row r="229" spans="1:27" customFormat="1" ht="13.5" customHeight="1" thickBot="1">
      <c r="A229" s="81"/>
      <c r="B229" s="81"/>
      <c r="C229" s="81"/>
      <c r="D229" s="81"/>
      <c r="E229" s="81"/>
      <c r="F229" s="81"/>
      <c r="G229" s="81"/>
      <c r="H229" s="81"/>
      <c r="I229" s="81"/>
      <c r="J229" s="81"/>
      <c r="K229" s="81"/>
      <c r="L229" s="81"/>
      <c r="M229" s="81"/>
      <c r="N229" s="82"/>
      <c r="O229" s="2"/>
      <c r="P229" s="2"/>
    </row>
    <row r="230" spans="1:27" customFormat="1" ht="13.5" customHeight="1">
      <c r="A230" s="83"/>
      <c r="B230" s="83"/>
      <c r="C230" s="83"/>
      <c r="D230" s="83"/>
      <c r="E230" s="83"/>
      <c r="F230" s="83"/>
      <c r="G230" s="83"/>
      <c r="H230" s="83"/>
      <c r="I230" s="83"/>
      <c r="J230" s="83"/>
      <c r="K230" s="83"/>
      <c r="L230" s="83"/>
      <c r="M230" s="83"/>
      <c r="N230" s="84"/>
      <c r="O230" s="2"/>
      <c r="P230" s="2"/>
    </row>
    <row r="231" spans="1:27" customFormat="1" ht="15" customHeight="1">
      <c r="B231" s="10"/>
      <c r="C231" s="5"/>
      <c r="D231" s="5"/>
      <c r="E231" s="5"/>
      <c r="F231" s="5"/>
      <c r="G231" s="5"/>
      <c r="H231" s="5"/>
      <c r="I231" s="5"/>
      <c r="J231" s="5"/>
      <c r="K231" s="5"/>
      <c r="L231" s="5"/>
      <c r="M231" s="6"/>
      <c r="R231" s="11" t="str">
        <f>D232</f>
        <v>(選択してください)</v>
      </c>
    </row>
    <row r="232" spans="1:27" customFormat="1">
      <c r="B232" s="7"/>
      <c r="C232" s="77" t="str">
        <f ca="1">IFERROR(OFFSET('4.2民生電力需要量'!$C$1,MATCH(D232,'4.2民生電力需要量'!$E:$E,0)-1,0),"")</f>
        <v/>
      </c>
      <c r="D232" s="96" t="s">
        <v>130</v>
      </c>
      <c r="E232" s="72" t="s">
        <v>131</v>
      </c>
      <c r="F232" s="1063" t="str">
        <f ca="1">IFERROR(OFFSET('4.2民生電力需要量'!$G$1,MATCH($D232,'4.2民生電力需要量'!$E:$E,0)-1,0),"")</f>
        <v/>
      </c>
      <c r="G232" s="1063"/>
      <c r="H232" s="1063"/>
      <c r="I232" s="1063"/>
      <c r="J232" s="1063"/>
      <c r="K232" s="1063"/>
      <c r="L232" s="1063"/>
      <c r="M232" s="8"/>
      <c r="R232" s="257" t="str">
        <f ca="1">IFERROR(OFFSET('4.2民生電力需要量'!$G$1,MATCH($D232,'4.2民生電力需要量'!$E:$E,0)-1,0),"")</f>
        <v/>
      </c>
      <c r="S232" s="177"/>
      <c r="T232" s="177"/>
      <c r="U232" s="177"/>
      <c r="V232" s="177"/>
      <c r="W232" s="177"/>
      <c r="X232" s="177"/>
      <c r="Y232" s="177"/>
      <c r="Z232" s="177"/>
      <c r="AA232" s="177">
        <f ca="1">(F232=R232)*1</f>
        <v>1</v>
      </c>
    </row>
    <row r="233" spans="1:27" customFormat="1">
      <c r="B233" s="7"/>
      <c r="C233" s="74"/>
      <c r="D233" s="66"/>
      <c r="E233" s="72" t="s">
        <v>221</v>
      </c>
      <c r="F233" s="1062" t="str">
        <f ca="1">IFERROR(OFFSET('4.2民生電力需要量'!$I$1,MATCH($D232,'4.2民生電力需要量'!$E:$E,0)-1,0),"")</f>
        <v/>
      </c>
      <c r="G233" s="1062"/>
      <c r="H233" s="1062"/>
      <c r="I233" s="1062"/>
      <c r="J233" s="1062"/>
      <c r="K233" s="1062"/>
      <c r="L233" s="1062"/>
      <c r="M233" s="8"/>
      <c r="R233" s="257" t="str">
        <f ca="1">IFERROR(OFFSET('4.2民生電力需要量'!$I$1,MATCH($D232,'4.2民生電力需要量'!$E:$E,0)-1,0),"")</f>
        <v/>
      </c>
      <c r="S233" s="177"/>
      <c r="T233" s="177"/>
      <c r="U233" s="177"/>
      <c r="V233" s="177"/>
      <c r="W233" s="177"/>
      <c r="X233" s="177"/>
      <c r="Y233" s="177"/>
      <c r="Z233" s="177"/>
      <c r="AA233" s="177">
        <f t="shared" ref="AA233:AA234" ca="1" si="119">(F233=R233)*1</f>
        <v>1</v>
      </c>
    </row>
    <row r="234" spans="1:27" customFormat="1">
      <c r="B234" s="7"/>
      <c r="C234" s="74"/>
      <c r="D234" s="66"/>
      <c r="E234" s="72" t="s">
        <v>176</v>
      </c>
      <c r="F234" s="1063" t="str">
        <f>_xlfn.IFNA(R234,"")</f>
        <v/>
      </c>
      <c r="G234" s="1063"/>
      <c r="H234" s="1063"/>
      <c r="I234" s="1063"/>
      <c r="J234" s="1063"/>
      <c r="K234" s="1063"/>
      <c r="L234" s="1063"/>
      <c r="M234" s="8"/>
      <c r="R234" s="131" t="str">
        <f>IF(OR(COUNTIF($E236:$E241,"&lt;&gt;〇〇(合意形成対象者名に書き換え)")=3,COUNTIF($E236:$E241,"")&gt;3),"",IF(PRODUCT($Y236:$Y241)=1,Z236,""))</f>
        <v/>
      </c>
      <c r="S234" s="177"/>
      <c r="T234" s="177"/>
      <c r="U234" s="177"/>
      <c r="V234" s="177"/>
      <c r="W234" s="177"/>
      <c r="X234" s="177"/>
      <c r="Y234" s="177"/>
      <c r="Z234" s="177"/>
      <c r="AA234" s="177">
        <f t="shared" si="119"/>
        <v>1</v>
      </c>
    </row>
    <row r="235" spans="1:27" ht="63.75" customHeight="1">
      <c r="B235" s="97"/>
      <c r="C235" s="98"/>
      <c r="D235" s="99"/>
      <c r="E235" s="374"/>
      <c r="F235" s="315" t="s">
        <v>270</v>
      </c>
      <c r="G235" s="315" t="s">
        <v>273</v>
      </c>
      <c r="H235" s="315" t="s">
        <v>274</v>
      </c>
      <c r="I235" s="315" t="s">
        <v>271</v>
      </c>
      <c r="J235" s="315" t="s">
        <v>440</v>
      </c>
      <c r="K235" s="315" t="s">
        <v>441</v>
      </c>
      <c r="L235" s="315" t="s">
        <v>272</v>
      </c>
      <c r="M235" s="100"/>
      <c r="N235" s="11"/>
      <c r="R235" s="128" t="s">
        <v>302</v>
      </c>
      <c r="S235" s="259" t="s">
        <v>429</v>
      </c>
      <c r="T235" s="128" t="s">
        <v>430</v>
      </c>
      <c r="U235" s="298" t="s">
        <v>442</v>
      </c>
      <c r="V235" s="258" t="s">
        <v>272</v>
      </c>
      <c r="W235" s="128" t="s">
        <v>432</v>
      </c>
      <c r="X235" s="131" t="s">
        <v>408</v>
      </c>
      <c r="Y235" s="131" t="s">
        <v>436</v>
      </c>
      <c r="Z235" s="128" t="s">
        <v>431</v>
      </c>
      <c r="AA235" s="257"/>
    </row>
    <row r="236" spans="1:27" hidden="1">
      <c r="B236" s="97"/>
      <c r="C236" s="98"/>
      <c r="D236" s="99"/>
      <c r="E236" s="444"/>
      <c r="F236" s="445"/>
      <c r="G236" s="441"/>
      <c r="H236" s="445"/>
      <c r="I236" s="441"/>
      <c r="J236" s="445"/>
      <c r="K236" s="441"/>
      <c r="L236" s="446"/>
      <c r="M236" s="100"/>
      <c r="N236" s="11"/>
      <c r="R236" s="131">
        <f t="shared" ref="R236:R241" si="120">IF(F236="実施済",1,0)</f>
        <v>0</v>
      </c>
      <c r="S236" s="260"/>
      <c r="T236" s="131">
        <f t="shared" ref="T236:T241" si="121">IF(AND(H236="実施済",I236="実施済"),R236*1,0)</f>
        <v>0</v>
      </c>
      <c r="U236" s="131">
        <f>IF(AND(J236="実施済",K236="実施済"),$T236*1,0)</f>
        <v>0</v>
      </c>
      <c r="V236" s="260"/>
      <c r="W236" s="131" t="str">
        <f>IF(OR(E236="〇〇(合意形成対象者名に書き換え)",E236=""),"",SUM(R236,T236,U236))</f>
        <v/>
      </c>
      <c r="X236" s="131">
        <f t="shared" ref="X236:X241" si="122">MIN($W$236:$W$241)+1</f>
        <v>1</v>
      </c>
      <c r="Y236" s="131">
        <f>IF(E236="",1,IF(AND(E236="〇〇(合意形成対象者名に書き換え)",COUNTA($F236:$L236)=0),1,IF(AND(E236&lt;&gt;"〇〇(合意形成対象者名に書き換え)",COUNTA($F236:$L236)=7),1,0)))</f>
        <v>1</v>
      </c>
      <c r="Z236" s="131" t="str" cm="1">
        <f t="array" ref="Z236">_xlfn.IFS(X236=4,"A",X236=3,"B",X236=2,"C",X236=1,"D")</f>
        <v>D</v>
      </c>
      <c r="AA236" s="257"/>
    </row>
    <row r="237" spans="1:27">
      <c r="B237" s="97"/>
      <c r="C237" s="98"/>
      <c r="D237" s="99"/>
      <c r="E237" s="450" t="s">
        <v>129</v>
      </c>
      <c r="F237" s="449"/>
      <c r="G237" s="443"/>
      <c r="H237" s="449"/>
      <c r="I237" s="443"/>
      <c r="J237" s="449"/>
      <c r="K237" s="443"/>
      <c r="L237" s="443"/>
      <c r="M237" s="100"/>
      <c r="N237" s="11"/>
      <c r="R237" s="131">
        <f t="shared" si="120"/>
        <v>0</v>
      </c>
      <c r="S237" s="260"/>
      <c r="T237" s="131">
        <f t="shared" si="121"/>
        <v>0</v>
      </c>
      <c r="U237" s="131">
        <f t="shared" ref="U237:U239" si="123">IF(AND(J237="実施済",K237="実施済"),$T237*1,0)</f>
        <v>0</v>
      </c>
      <c r="V237" s="260"/>
      <c r="W237" s="131" t="str">
        <f t="shared" ref="W237:W241" si="124">IF(OR(E237="〇〇(合意形成対象者名に書き換え)",E237=""),"",SUM(R237,T237,U237))</f>
        <v/>
      </c>
      <c r="X237" s="131">
        <f t="shared" si="122"/>
        <v>1</v>
      </c>
      <c r="Y237" s="131">
        <f t="shared" ref="Y237:Y241" si="125">IF(E237="",1,IF(AND(E237="〇〇(合意形成対象者名に書き換え)",COUNTA($F237:$L237)=0),1,IF(AND(E237&lt;&gt;"〇〇(合意形成対象者名に書き換え)",COUNTA($F237:$L237)=7),1,0)))</f>
        <v>1</v>
      </c>
      <c r="Z237" s="131" t="str" cm="1">
        <f t="array" ref="Z237">_xlfn.IFS(X237=4,"A",X237=3,"B",X237=2,"C",X237=1,"D")</f>
        <v>D</v>
      </c>
      <c r="AA237" s="257"/>
    </row>
    <row r="238" spans="1:27">
      <c r="B238" s="97"/>
      <c r="C238" s="98"/>
      <c r="D238" s="99"/>
      <c r="E238" s="450" t="s">
        <v>129</v>
      </c>
      <c r="F238" s="449"/>
      <c r="G238" s="443"/>
      <c r="H238" s="449"/>
      <c r="I238" s="443"/>
      <c r="J238" s="449"/>
      <c r="K238" s="443"/>
      <c r="L238" s="443"/>
      <c r="M238" s="100"/>
      <c r="N238" s="11"/>
      <c r="R238" s="131">
        <f t="shared" si="120"/>
        <v>0</v>
      </c>
      <c r="S238" s="260"/>
      <c r="T238" s="131">
        <f t="shared" si="121"/>
        <v>0</v>
      </c>
      <c r="U238" s="131">
        <f t="shared" si="123"/>
        <v>0</v>
      </c>
      <c r="V238" s="260"/>
      <c r="W238" s="131" t="str">
        <f t="shared" si="124"/>
        <v/>
      </c>
      <c r="X238" s="131">
        <f t="shared" si="122"/>
        <v>1</v>
      </c>
      <c r="Y238" s="131">
        <f t="shared" si="125"/>
        <v>1</v>
      </c>
      <c r="Z238" s="131" t="str" cm="1">
        <f t="array" ref="Z238">_xlfn.IFS(X238=4,"A",X238=3,"B",X238=2,"C",X238=1,"D")</f>
        <v>D</v>
      </c>
      <c r="AA238" s="257"/>
    </row>
    <row r="239" spans="1:27" s="101" customFormat="1">
      <c r="A239" s="11"/>
      <c r="B239" s="97"/>
      <c r="C239" s="98"/>
      <c r="D239" s="99"/>
      <c r="E239" s="450" t="s">
        <v>129</v>
      </c>
      <c r="F239" s="449"/>
      <c r="G239" s="443"/>
      <c r="H239" s="449"/>
      <c r="I239" s="443"/>
      <c r="J239" s="449"/>
      <c r="K239" s="443"/>
      <c r="L239" s="443"/>
      <c r="M239" s="100"/>
      <c r="N239" s="11"/>
      <c r="Q239" s="11"/>
      <c r="R239" s="131">
        <f t="shared" si="120"/>
        <v>0</v>
      </c>
      <c r="S239" s="260"/>
      <c r="T239" s="131">
        <f t="shared" si="121"/>
        <v>0</v>
      </c>
      <c r="U239" s="131">
        <f t="shared" si="123"/>
        <v>0</v>
      </c>
      <c r="V239" s="260"/>
      <c r="W239" s="131" t="str">
        <f t="shared" si="124"/>
        <v/>
      </c>
      <c r="X239" s="131">
        <f t="shared" si="122"/>
        <v>1</v>
      </c>
      <c r="Y239" s="131">
        <f t="shared" si="125"/>
        <v>1</v>
      </c>
      <c r="Z239" s="131" t="str" cm="1">
        <f t="array" ref="Z239">_xlfn.IFS(X239=4,"A",X239=3,"B",X239=2,"C",X239=1,"D")</f>
        <v>D</v>
      </c>
      <c r="AA239" s="131"/>
    </row>
    <row r="240" spans="1:27" customFormat="1" ht="7.5" customHeight="1">
      <c r="B240" s="65"/>
      <c r="C240" s="4"/>
      <c r="D240" s="4"/>
      <c r="E240" s="4"/>
      <c r="F240" s="4"/>
      <c r="G240" s="4"/>
      <c r="H240" s="4"/>
      <c r="I240" s="4"/>
      <c r="J240" s="4"/>
      <c r="K240" s="4"/>
      <c r="L240" s="4"/>
      <c r="M240" s="9"/>
      <c r="N240" s="2"/>
      <c r="O240" s="2"/>
      <c r="P240" s="2"/>
      <c r="R240" s="131">
        <f t="shared" si="120"/>
        <v>0</v>
      </c>
      <c r="S240" s="260"/>
      <c r="T240" s="131">
        <f t="shared" si="121"/>
        <v>0</v>
      </c>
      <c r="U240" s="131">
        <f>IF(AND(J240="実施済",K240="実施済"),$T240*1,0)</f>
        <v>0</v>
      </c>
      <c r="V240" s="260"/>
      <c r="W240" s="131" t="str">
        <f t="shared" si="124"/>
        <v/>
      </c>
      <c r="X240" s="131">
        <f t="shared" si="122"/>
        <v>1</v>
      </c>
      <c r="Y240" s="131">
        <f t="shared" si="125"/>
        <v>1</v>
      </c>
      <c r="Z240" s="131" t="str" cm="1">
        <f t="array" ref="Z240">_xlfn.IFS(X240=4,"A",X240=3,"B",X240=2,"C",X240=1,"D")</f>
        <v>D</v>
      </c>
      <c r="AA240" s="177"/>
    </row>
    <row r="241" spans="1:27" customFormat="1" ht="18" customHeight="1">
      <c r="N241" s="2"/>
      <c r="O241" s="2"/>
      <c r="P241" s="2"/>
      <c r="R241" s="131">
        <f t="shared" si="120"/>
        <v>0</v>
      </c>
      <c r="S241" s="260"/>
      <c r="T241" s="131">
        <f t="shared" si="121"/>
        <v>0</v>
      </c>
      <c r="U241" s="131">
        <f t="shared" ref="U241" si="126">IF(AND(J241="実施済",K241="実施済"),$T241*1,0)</f>
        <v>0</v>
      </c>
      <c r="V241" s="260"/>
      <c r="W241" s="131" t="str">
        <f t="shared" si="124"/>
        <v/>
      </c>
      <c r="X241" s="131">
        <f t="shared" si="122"/>
        <v>1</v>
      </c>
      <c r="Y241" s="131">
        <f t="shared" si="125"/>
        <v>1</v>
      </c>
      <c r="Z241" s="131" t="str" cm="1">
        <f t="array" ref="Z241">_xlfn.IFS(X241=4,"A",X241=3,"B",X241=2,"C",X241=1,"D")</f>
        <v>D</v>
      </c>
      <c r="AA241" s="177"/>
    </row>
    <row r="242" spans="1:27" customFormat="1" ht="103.5" customHeight="1">
      <c r="C242" s="78"/>
      <c r="D242" s="79"/>
      <c r="E242" s="71" t="s">
        <v>238</v>
      </c>
      <c r="F242" s="1057"/>
      <c r="G242" s="1057"/>
      <c r="H242" s="1057"/>
      <c r="I242" s="1057"/>
      <c r="J242" s="1057"/>
      <c r="K242" s="1057"/>
      <c r="L242" s="1057"/>
      <c r="M242" s="80" t="s">
        <v>132</v>
      </c>
      <c r="N242" s="80"/>
    </row>
    <row r="243" spans="1:27" customFormat="1" ht="146.25" customHeight="1">
      <c r="C243" s="75"/>
      <c r="D243" s="68"/>
      <c r="E243" s="71" t="s">
        <v>237</v>
      </c>
      <c r="F243" s="1057"/>
      <c r="G243" s="1057"/>
      <c r="H243" s="1057"/>
      <c r="I243" s="1057"/>
      <c r="J243" s="1057"/>
      <c r="K243" s="1057"/>
      <c r="L243" s="1057"/>
      <c r="N243" s="2"/>
      <c r="O243" s="2"/>
      <c r="P243" s="2"/>
    </row>
    <row r="244" spans="1:27" customFormat="1" ht="13.5" customHeight="1" thickBot="1">
      <c r="A244" s="81"/>
      <c r="B244" s="81"/>
      <c r="C244" s="81"/>
      <c r="D244" s="81"/>
      <c r="E244" s="81"/>
      <c r="F244" s="81"/>
      <c r="G244" s="81"/>
      <c r="H244" s="81"/>
      <c r="I244" s="81"/>
      <c r="J244" s="81"/>
      <c r="K244" s="81"/>
      <c r="L244" s="81"/>
      <c r="M244" s="81"/>
      <c r="N244" s="82"/>
      <c r="O244" s="2"/>
      <c r="P244" s="2"/>
    </row>
    <row r="245" spans="1:27" customFormat="1" ht="13.5" customHeight="1">
      <c r="A245" s="83"/>
      <c r="B245" s="83"/>
      <c r="C245" s="83"/>
      <c r="D245" s="83"/>
      <c r="E245" s="83"/>
      <c r="F245" s="83"/>
      <c r="G245" s="83"/>
      <c r="H245" s="83"/>
      <c r="I245" s="83"/>
      <c r="J245" s="83"/>
      <c r="K245" s="83"/>
      <c r="L245" s="83"/>
      <c r="M245" s="83"/>
      <c r="N245" s="84"/>
      <c r="O245" s="2"/>
      <c r="P245" s="2"/>
    </row>
    <row r="246" spans="1:27" customFormat="1" ht="15" customHeight="1">
      <c r="B246" s="10"/>
      <c r="C246" s="5"/>
      <c r="D246" s="5"/>
      <c r="E246" s="5"/>
      <c r="F246" s="5"/>
      <c r="G246" s="5"/>
      <c r="H246" s="5"/>
      <c r="I246" s="5"/>
      <c r="J246" s="5"/>
      <c r="K246" s="5"/>
      <c r="L246" s="5"/>
      <c r="M246" s="6"/>
      <c r="R246" s="11" t="str">
        <f>D247</f>
        <v>(選択してください)</v>
      </c>
    </row>
    <row r="247" spans="1:27" customFormat="1">
      <c r="B247" s="7"/>
      <c r="C247" s="77" t="str">
        <f ca="1">IFERROR(OFFSET('4.2民生電力需要量'!$C$1,MATCH(D247,'4.2民生電力需要量'!$E:$E,0)-1,0),"")</f>
        <v/>
      </c>
      <c r="D247" s="96" t="s">
        <v>130</v>
      </c>
      <c r="E247" s="72" t="s">
        <v>131</v>
      </c>
      <c r="F247" s="1063" t="str">
        <f ca="1">IFERROR(OFFSET('4.2民生電力需要量'!$G$1,MATCH($D247,'4.2民生電力需要量'!$E:$E,0)-1,0),"")</f>
        <v/>
      </c>
      <c r="G247" s="1063"/>
      <c r="H247" s="1063"/>
      <c r="I247" s="1063"/>
      <c r="J247" s="1063"/>
      <c r="K247" s="1063"/>
      <c r="L247" s="1063"/>
      <c r="M247" s="8"/>
      <c r="R247" s="257" t="str">
        <f ca="1">IFERROR(OFFSET('4.2民生電力需要量'!$G$1,MATCH($D247,'4.2民生電力需要量'!$E:$E,0)-1,0),"")</f>
        <v/>
      </c>
      <c r="S247" s="177"/>
      <c r="T247" s="177"/>
      <c r="U247" s="177"/>
      <c r="V247" s="177"/>
      <c r="W247" s="177"/>
      <c r="X247" s="177"/>
      <c r="Y247" s="177"/>
      <c r="Z247" s="177"/>
      <c r="AA247" s="177">
        <f ca="1">(F247=R247)*1</f>
        <v>1</v>
      </c>
    </row>
    <row r="248" spans="1:27" customFormat="1">
      <c r="B248" s="7"/>
      <c r="C248" s="74"/>
      <c r="D248" s="66"/>
      <c r="E248" s="72" t="s">
        <v>221</v>
      </c>
      <c r="F248" s="1062" t="str">
        <f ca="1">IFERROR(OFFSET('4.2民生電力需要量'!$I$1,MATCH($D247,'4.2民生電力需要量'!$E:$E,0)-1,0),"")</f>
        <v/>
      </c>
      <c r="G248" s="1062"/>
      <c r="H248" s="1062"/>
      <c r="I248" s="1062"/>
      <c r="J248" s="1062"/>
      <c r="K248" s="1062"/>
      <c r="L248" s="1062"/>
      <c r="M248" s="8"/>
      <c r="R248" s="257" t="str">
        <f ca="1">IFERROR(OFFSET('4.2民生電力需要量'!$I$1,MATCH($D247,'4.2民生電力需要量'!$E:$E,0)-1,0),"")</f>
        <v/>
      </c>
      <c r="S248" s="177"/>
      <c r="T248" s="177"/>
      <c r="U248" s="177"/>
      <c r="V248" s="177"/>
      <c r="W248" s="177"/>
      <c r="X248" s="177"/>
      <c r="Y248" s="177"/>
      <c r="Z248" s="177"/>
      <c r="AA248" s="177">
        <f t="shared" ref="AA248:AA249" ca="1" si="127">(F248=R248)*1</f>
        <v>1</v>
      </c>
    </row>
    <row r="249" spans="1:27" customFormat="1">
      <c r="B249" s="7"/>
      <c r="C249" s="74"/>
      <c r="D249" s="66"/>
      <c r="E249" s="72" t="s">
        <v>176</v>
      </c>
      <c r="F249" s="1063" t="str">
        <f>_xlfn.IFNA(R249,"")</f>
        <v/>
      </c>
      <c r="G249" s="1063"/>
      <c r="H249" s="1063"/>
      <c r="I249" s="1063"/>
      <c r="J249" s="1063"/>
      <c r="K249" s="1063"/>
      <c r="L249" s="1063"/>
      <c r="M249" s="8"/>
      <c r="R249" s="131" t="str">
        <f>IF(OR(COUNTIF($E251:$E256,"&lt;&gt;〇〇(合意形成対象者名に書き換え)")=3,COUNTIF($E251:$E256,"")&gt;3),"",IF(PRODUCT($Y251:$Y256)=1,Z251,""))</f>
        <v/>
      </c>
      <c r="S249" s="177"/>
      <c r="T249" s="177"/>
      <c r="U249" s="177"/>
      <c r="V249" s="177"/>
      <c r="W249" s="177"/>
      <c r="X249" s="177"/>
      <c r="Y249" s="177"/>
      <c r="Z249" s="177"/>
      <c r="AA249" s="177">
        <f t="shared" si="127"/>
        <v>1</v>
      </c>
    </row>
    <row r="250" spans="1:27" ht="63.75" customHeight="1">
      <c r="B250" s="97"/>
      <c r="C250" s="98"/>
      <c r="D250" s="99"/>
      <c r="E250" s="374"/>
      <c r="F250" s="315" t="s">
        <v>270</v>
      </c>
      <c r="G250" s="315" t="s">
        <v>273</v>
      </c>
      <c r="H250" s="315" t="s">
        <v>274</v>
      </c>
      <c r="I250" s="315" t="s">
        <v>271</v>
      </c>
      <c r="J250" s="315" t="s">
        <v>440</v>
      </c>
      <c r="K250" s="315" t="s">
        <v>441</v>
      </c>
      <c r="L250" s="315" t="s">
        <v>272</v>
      </c>
      <c r="M250" s="100"/>
      <c r="N250" s="11"/>
      <c r="R250" s="128" t="s">
        <v>302</v>
      </c>
      <c r="S250" s="259" t="s">
        <v>429</v>
      </c>
      <c r="T250" s="128" t="s">
        <v>430</v>
      </c>
      <c r="U250" s="298" t="s">
        <v>442</v>
      </c>
      <c r="V250" s="258" t="s">
        <v>272</v>
      </c>
      <c r="W250" s="128" t="s">
        <v>432</v>
      </c>
      <c r="X250" s="131" t="s">
        <v>408</v>
      </c>
      <c r="Y250" s="131" t="s">
        <v>436</v>
      </c>
      <c r="Z250" s="128" t="s">
        <v>431</v>
      </c>
      <c r="AA250" s="257"/>
    </row>
    <row r="251" spans="1:27" hidden="1">
      <c r="B251" s="97"/>
      <c r="C251" s="98"/>
      <c r="D251" s="99"/>
      <c r="E251" s="444"/>
      <c r="F251" s="445"/>
      <c r="G251" s="441"/>
      <c r="H251" s="445"/>
      <c r="I251" s="441"/>
      <c r="J251" s="445"/>
      <c r="K251" s="441"/>
      <c r="L251" s="446"/>
      <c r="M251" s="100"/>
      <c r="N251" s="11"/>
      <c r="R251" s="131">
        <f t="shared" ref="R251:R256" si="128">IF(F251="実施済",1,0)</f>
        <v>0</v>
      </c>
      <c r="S251" s="260"/>
      <c r="T251" s="131">
        <f t="shared" ref="T251:T256" si="129">IF(AND(H251="実施済",I251="実施済"),R251*1,0)</f>
        <v>0</v>
      </c>
      <c r="U251" s="131">
        <f>IF(AND(J251="実施済",K251="実施済"),$T251*1,0)</f>
        <v>0</v>
      </c>
      <c r="V251" s="260"/>
      <c r="W251" s="131" t="str">
        <f>IF(OR(E251="〇〇(合意形成対象者名に書き換え)",E251=""),"",SUM(R251,T251,U251))</f>
        <v/>
      </c>
      <c r="X251" s="131">
        <f t="shared" ref="X251:X256" si="130">MIN($W$251:$W$256)+1</f>
        <v>1</v>
      </c>
      <c r="Y251" s="131">
        <f>IF(E251="",1,IF(AND(E251="〇〇(合意形成対象者名に書き換え)",COUNTA($F251:$L251)=0),1,IF(AND(E251&lt;&gt;"〇〇(合意形成対象者名に書き換え)",COUNTA($F251:$L251)=7),1,0)))</f>
        <v>1</v>
      </c>
      <c r="Z251" s="131" t="str" cm="1">
        <f t="array" ref="Z251">_xlfn.IFS(X251=4,"A",X251=3,"B",X251=2,"C",X251=1,"D")</f>
        <v>D</v>
      </c>
      <c r="AA251" s="257"/>
    </row>
    <row r="252" spans="1:27">
      <c r="B252" s="97"/>
      <c r="C252" s="98"/>
      <c r="D252" s="99"/>
      <c r="E252" s="450" t="s">
        <v>129</v>
      </c>
      <c r="F252" s="449"/>
      <c r="G252" s="443"/>
      <c r="H252" s="449"/>
      <c r="I252" s="443"/>
      <c r="J252" s="449"/>
      <c r="K252" s="443"/>
      <c r="L252" s="443"/>
      <c r="M252" s="100"/>
      <c r="N252" s="11"/>
      <c r="R252" s="131">
        <f t="shared" si="128"/>
        <v>0</v>
      </c>
      <c r="S252" s="260"/>
      <c r="T252" s="131">
        <f t="shared" si="129"/>
        <v>0</v>
      </c>
      <c r="U252" s="131">
        <f t="shared" ref="U252:U254" si="131">IF(AND(J252="実施済",K252="実施済"),$T252*1,0)</f>
        <v>0</v>
      </c>
      <c r="V252" s="260"/>
      <c r="W252" s="131" t="str">
        <f t="shared" ref="W252:W256" si="132">IF(OR(E252="〇〇(合意形成対象者名に書き換え)",E252=""),"",SUM(R252,T252,U252))</f>
        <v/>
      </c>
      <c r="X252" s="131">
        <f t="shared" si="130"/>
        <v>1</v>
      </c>
      <c r="Y252" s="131">
        <f t="shared" ref="Y252:Y256" si="133">IF(E252="",1,IF(AND(E252="〇〇(合意形成対象者名に書き換え)",COUNTA($F252:$L252)=0),1,IF(AND(E252&lt;&gt;"〇〇(合意形成対象者名に書き換え)",COUNTA($F252:$L252)=7),1,0)))</f>
        <v>1</v>
      </c>
      <c r="Z252" s="131" t="str" cm="1">
        <f t="array" ref="Z252">_xlfn.IFS(X252=4,"A",X252=3,"B",X252=2,"C",X252=1,"D")</f>
        <v>D</v>
      </c>
      <c r="AA252" s="257"/>
    </row>
    <row r="253" spans="1:27">
      <c r="B253" s="97"/>
      <c r="C253" s="98"/>
      <c r="D253" s="99"/>
      <c r="E253" s="450" t="s">
        <v>129</v>
      </c>
      <c r="F253" s="449"/>
      <c r="G253" s="443"/>
      <c r="H253" s="449"/>
      <c r="I253" s="443"/>
      <c r="J253" s="449"/>
      <c r="K253" s="443"/>
      <c r="L253" s="443"/>
      <c r="M253" s="100"/>
      <c r="N253" s="11"/>
      <c r="R253" s="131">
        <f t="shared" si="128"/>
        <v>0</v>
      </c>
      <c r="S253" s="260"/>
      <c r="T253" s="131">
        <f t="shared" si="129"/>
        <v>0</v>
      </c>
      <c r="U253" s="131">
        <f t="shared" si="131"/>
        <v>0</v>
      </c>
      <c r="V253" s="260"/>
      <c r="W253" s="131" t="str">
        <f t="shared" si="132"/>
        <v/>
      </c>
      <c r="X253" s="131">
        <f t="shared" si="130"/>
        <v>1</v>
      </c>
      <c r="Y253" s="131">
        <f t="shared" si="133"/>
        <v>1</v>
      </c>
      <c r="Z253" s="131" t="str" cm="1">
        <f t="array" ref="Z253">_xlfn.IFS(X253=4,"A",X253=3,"B",X253=2,"C",X253=1,"D")</f>
        <v>D</v>
      </c>
      <c r="AA253" s="257"/>
    </row>
    <row r="254" spans="1:27" s="101" customFormat="1">
      <c r="A254" s="11"/>
      <c r="B254" s="97"/>
      <c r="C254" s="98"/>
      <c r="D254" s="99"/>
      <c r="E254" s="450" t="s">
        <v>129</v>
      </c>
      <c r="F254" s="449"/>
      <c r="G254" s="443"/>
      <c r="H254" s="449"/>
      <c r="I254" s="443"/>
      <c r="J254" s="449"/>
      <c r="K254" s="443"/>
      <c r="L254" s="443"/>
      <c r="M254" s="100"/>
      <c r="N254" s="11"/>
      <c r="Q254" s="11"/>
      <c r="R254" s="131">
        <f t="shared" si="128"/>
        <v>0</v>
      </c>
      <c r="S254" s="260"/>
      <c r="T254" s="131">
        <f t="shared" si="129"/>
        <v>0</v>
      </c>
      <c r="U254" s="131">
        <f t="shared" si="131"/>
        <v>0</v>
      </c>
      <c r="V254" s="260"/>
      <c r="W254" s="131" t="str">
        <f t="shared" si="132"/>
        <v/>
      </c>
      <c r="X254" s="131">
        <f t="shared" si="130"/>
        <v>1</v>
      </c>
      <c r="Y254" s="131">
        <f t="shared" si="133"/>
        <v>1</v>
      </c>
      <c r="Z254" s="131" t="str" cm="1">
        <f t="array" ref="Z254">_xlfn.IFS(X254=4,"A",X254=3,"B",X254=2,"C",X254=1,"D")</f>
        <v>D</v>
      </c>
      <c r="AA254" s="131"/>
    </row>
    <row r="255" spans="1:27" customFormat="1" ht="7.5" customHeight="1">
      <c r="B255" s="65"/>
      <c r="C255" s="4"/>
      <c r="D255" s="4"/>
      <c r="E255" s="4"/>
      <c r="F255" s="4"/>
      <c r="G255" s="4"/>
      <c r="H255" s="4"/>
      <c r="I255" s="4"/>
      <c r="J255" s="4"/>
      <c r="K255" s="4"/>
      <c r="L255" s="4"/>
      <c r="M255" s="9"/>
      <c r="N255" s="2"/>
      <c r="O255" s="2"/>
      <c r="P255" s="2"/>
      <c r="R255" s="131">
        <f t="shared" si="128"/>
        <v>0</v>
      </c>
      <c r="S255" s="260"/>
      <c r="T255" s="131">
        <f t="shared" si="129"/>
        <v>0</v>
      </c>
      <c r="U255" s="131">
        <f>IF(AND(J255="実施済",K255="実施済"),$T255*1,0)</f>
        <v>0</v>
      </c>
      <c r="V255" s="260"/>
      <c r="W255" s="131" t="str">
        <f t="shared" si="132"/>
        <v/>
      </c>
      <c r="X255" s="131">
        <f t="shared" si="130"/>
        <v>1</v>
      </c>
      <c r="Y255" s="131">
        <f t="shared" si="133"/>
        <v>1</v>
      </c>
      <c r="Z255" s="131" t="str" cm="1">
        <f t="array" ref="Z255">_xlfn.IFS(X255=4,"A",X255=3,"B",X255=2,"C",X255=1,"D")</f>
        <v>D</v>
      </c>
      <c r="AA255" s="177"/>
    </row>
    <row r="256" spans="1:27" customFormat="1" ht="18" customHeight="1">
      <c r="N256" s="2"/>
      <c r="O256" s="2"/>
      <c r="P256" s="2"/>
      <c r="R256" s="131">
        <f t="shared" si="128"/>
        <v>0</v>
      </c>
      <c r="S256" s="260"/>
      <c r="T256" s="131">
        <f t="shared" si="129"/>
        <v>0</v>
      </c>
      <c r="U256" s="131">
        <f t="shared" ref="U256" si="134">IF(AND(J256="実施済",K256="実施済"),$T256*1,0)</f>
        <v>0</v>
      </c>
      <c r="V256" s="260"/>
      <c r="W256" s="131" t="str">
        <f t="shared" si="132"/>
        <v/>
      </c>
      <c r="X256" s="131">
        <f t="shared" si="130"/>
        <v>1</v>
      </c>
      <c r="Y256" s="131">
        <f t="shared" si="133"/>
        <v>1</v>
      </c>
      <c r="Z256" s="131" t="str" cm="1">
        <f t="array" ref="Z256">_xlfn.IFS(X256=4,"A",X256=3,"B",X256=2,"C",X256=1,"D")</f>
        <v>D</v>
      </c>
      <c r="AA256" s="177"/>
    </row>
    <row r="257" spans="1:27" customFormat="1" ht="103.5" customHeight="1">
      <c r="C257" s="78"/>
      <c r="D257" s="79"/>
      <c r="E257" s="71" t="s">
        <v>238</v>
      </c>
      <c r="F257" s="1057"/>
      <c r="G257" s="1057"/>
      <c r="H257" s="1057"/>
      <c r="I257" s="1057"/>
      <c r="J257" s="1057"/>
      <c r="K257" s="1057"/>
      <c r="L257" s="1057"/>
      <c r="M257" s="80" t="s">
        <v>132</v>
      </c>
      <c r="N257" s="80"/>
    </row>
    <row r="258" spans="1:27" customFormat="1" ht="146.25" customHeight="1">
      <c r="C258" s="75"/>
      <c r="D258" s="68"/>
      <c r="E258" s="71" t="s">
        <v>237</v>
      </c>
      <c r="F258" s="1057"/>
      <c r="G258" s="1057"/>
      <c r="H258" s="1057"/>
      <c r="I258" s="1057"/>
      <c r="J258" s="1057"/>
      <c r="K258" s="1057"/>
      <c r="L258" s="1057"/>
      <c r="N258" s="2"/>
      <c r="O258" s="2"/>
      <c r="P258" s="2"/>
    </row>
    <row r="259" spans="1:27" customFormat="1" ht="13.5" customHeight="1" thickBot="1">
      <c r="A259" s="81"/>
      <c r="B259" s="81"/>
      <c r="C259" s="81"/>
      <c r="D259" s="81"/>
      <c r="E259" s="81"/>
      <c r="F259" s="81"/>
      <c r="G259" s="81"/>
      <c r="H259" s="81"/>
      <c r="I259" s="81"/>
      <c r="J259" s="81"/>
      <c r="K259" s="81"/>
      <c r="L259" s="81"/>
      <c r="M259" s="81"/>
      <c r="N259" s="82"/>
      <c r="O259" s="2"/>
      <c r="P259" s="2"/>
    </row>
    <row r="260" spans="1:27" customFormat="1" ht="13.5" customHeight="1">
      <c r="A260" s="83"/>
      <c r="B260" s="83"/>
      <c r="C260" s="83"/>
      <c r="D260" s="83"/>
      <c r="E260" s="83"/>
      <c r="F260" s="83"/>
      <c r="G260" s="83"/>
      <c r="H260" s="83"/>
      <c r="I260" s="83"/>
      <c r="J260" s="83"/>
      <c r="K260" s="83"/>
      <c r="L260" s="83"/>
      <c r="M260" s="83"/>
      <c r="N260" s="84"/>
      <c r="O260" s="2"/>
      <c r="P260" s="2"/>
    </row>
    <row r="261" spans="1:27" customFormat="1" ht="15" customHeight="1">
      <c r="B261" s="10"/>
      <c r="C261" s="5"/>
      <c r="D261" s="5"/>
      <c r="E261" s="5"/>
      <c r="F261" s="5"/>
      <c r="G261" s="5"/>
      <c r="H261" s="5"/>
      <c r="I261" s="5"/>
      <c r="J261" s="5"/>
      <c r="K261" s="5"/>
      <c r="L261" s="5"/>
      <c r="M261" s="6"/>
      <c r="R261" s="11" t="str">
        <f>D262</f>
        <v>(選択してください)</v>
      </c>
    </row>
    <row r="262" spans="1:27" customFormat="1">
      <c r="B262" s="7"/>
      <c r="C262" s="77" t="str">
        <f ca="1">IFERROR(OFFSET('4.2民生電力需要量'!$C$1,MATCH(D262,'4.2民生電力需要量'!$E:$E,0)-1,0),"")</f>
        <v/>
      </c>
      <c r="D262" s="96" t="s">
        <v>130</v>
      </c>
      <c r="E262" s="72" t="s">
        <v>131</v>
      </c>
      <c r="F262" s="1063" t="str">
        <f ca="1">IFERROR(OFFSET('4.2民生電力需要量'!$G$1,MATCH($D262,'4.2民生電力需要量'!$E:$E,0)-1,0),"")</f>
        <v/>
      </c>
      <c r="G262" s="1063"/>
      <c r="H262" s="1063"/>
      <c r="I262" s="1063"/>
      <c r="J262" s="1063"/>
      <c r="K262" s="1063"/>
      <c r="L262" s="1063"/>
      <c r="M262" s="8"/>
      <c r="R262" s="257" t="str">
        <f ca="1">IFERROR(OFFSET('4.2民生電力需要量'!$G$1,MATCH($D262,'4.2民生電力需要量'!$E:$E,0)-1,0),"")</f>
        <v/>
      </c>
      <c r="S262" s="177"/>
      <c r="T262" s="177"/>
      <c r="U262" s="177"/>
      <c r="V262" s="177"/>
      <c r="W262" s="177"/>
      <c r="X262" s="177"/>
      <c r="Y262" s="177"/>
      <c r="Z262" s="177"/>
      <c r="AA262" s="177">
        <f ca="1">(F262=R262)*1</f>
        <v>1</v>
      </c>
    </row>
    <row r="263" spans="1:27" customFormat="1">
      <c r="B263" s="7"/>
      <c r="C263" s="74"/>
      <c r="D263" s="66"/>
      <c r="E263" s="72" t="s">
        <v>221</v>
      </c>
      <c r="F263" s="1062" t="str">
        <f ca="1">IFERROR(OFFSET('4.2民生電力需要量'!$I$1,MATCH($D262,'4.2民生電力需要量'!$E:$E,0)-1,0),"")</f>
        <v/>
      </c>
      <c r="G263" s="1062"/>
      <c r="H263" s="1062"/>
      <c r="I263" s="1062"/>
      <c r="J263" s="1062"/>
      <c r="K263" s="1062"/>
      <c r="L263" s="1062"/>
      <c r="M263" s="8"/>
      <c r="R263" s="257" t="str">
        <f ca="1">IFERROR(OFFSET('4.2民生電力需要量'!$I$1,MATCH($D262,'4.2民生電力需要量'!$E:$E,0)-1,0),"")</f>
        <v/>
      </c>
      <c r="S263" s="177"/>
      <c r="T263" s="177"/>
      <c r="U263" s="177"/>
      <c r="V263" s="177"/>
      <c r="W263" s="177"/>
      <c r="X263" s="177"/>
      <c r="Y263" s="177"/>
      <c r="Z263" s="177"/>
      <c r="AA263" s="177">
        <f t="shared" ref="AA263:AA264" ca="1" si="135">(F263=R263)*1</f>
        <v>1</v>
      </c>
    </row>
    <row r="264" spans="1:27" customFormat="1">
      <c r="B264" s="7"/>
      <c r="C264" s="74"/>
      <c r="D264" s="66"/>
      <c r="E264" s="72" t="s">
        <v>176</v>
      </c>
      <c r="F264" s="1063" t="str">
        <f>_xlfn.IFNA(R264,"")</f>
        <v/>
      </c>
      <c r="G264" s="1063"/>
      <c r="H264" s="1063"/>
      <c r="I264" s="1063"/>
      <c r="J264" s="1063"/>
      <c r="K264" s="1063"/>
      <c r="L264" s="1063"/>
      <c r="M264" s="8"/>
      <c r="R264" s="131" t="str">
        <f>IF(OR(COUNTIF($E266:$E271,"&lt;&gt;〇〇(合意形成対象者名に書き換え)")=3,COUNTIF($E266:$E271,"")&gt;3),"",IF(PRODUCT($Y266:$Y271)=1,Z266,""))</f>
        <v/>
      </c>
      <c r="S264" s="177"/>
      <c r="T264" s="177"/>
      <c r="U264" s="177"/>
      <c r="V264" s="177"/>
      <c r="W264" s="177"/>
      <c r="X264" s="177"/>
      <c r="Y264" s="177"/>
      <c r="Z264" s="177"/>
      <c r="AA264" s="177">
        <f t="shared" si="135"/>
        <v>1</v>
      </c>
    </row>
    <row r="265" spans="1:27" ht="63.75" customHeight="1">
      <c r="B265" s="97"/>
      <c r="C265" s="98"/>
      <c r="D265" s="99"/>
      <c r="E265" s="374"/>
      <c r="F265" s="315" t="s">
        <v>270</v>
      </c>
      <c r="G265" s="315" t="s">
        <v>273</v>
      </c>
      <c r="H265" s="315" t="s">
        <v>274</v>
      </c>
      <c r="I265" s="315" t="s">
        <v>271</v>
      </c>
      <c r="J265" s="315" t="s">
        <v>440</v>
      </c>
      <c r="K265" s="315" t="s">
        <v>441</v>
      </c>
      <c r="L265" s="315" t="s">
        <v>272</v>
      </c>
      <c r="M265" s="100"/>
      <c r="N265" s="11"/>
      <c r="R265" s="128" t="s">
        <v>302</v>
      </c>
      <c r="S265" s="259" t="s">
        <v>429</v>
      </c>
      <c r="T265" s="128" t="s">
        <v>430</v>
      </c>
      <c r="U265" s="298" t="s">
        <v>442</v>
      </c>
      <c r="V265" s="258" t="s">
        <v>272</v>
      </c>
      <c r="W265" s="128" t="s">
        <v>432</v>
      </c>
      <c r="X265" s="131" t="s">
        <v>408</v>
      </c>
      <c r="Y265" s="131" t="s">
        <v>436</v>
      </c>
      <c r="Z265" s="128" t="s">
        <v>431</v>
      </c>
      <c r="AA265" s="257"/>
    </row>
    <row r="266" spans="1:27" hidden="1">
      <c r="B266" s="97"/>
      <c r="C266" s="98"/>
      <c r="D266" s="99"/>
      <c r="E266" s="444"/>
      <c r="F266" s="445"/>
      <c r="G266" s="441"/>
      <c r="H266" s="445"/>
      <c r="I266" s="441"/>
      <c r="J266" s="445"/>
      <c r="K266" s="441"/>
      <c r="L266" s="446"/>
      <c r="M266" s="100"/>
      <c r="N266" s="11"/>
      <c r="R266" s="131">
        <f t="shared" ref="R266:R271" si="136">IF(F266="実施済",1,0)</f>
        <v>0</v>
      </c>
      <c r="S266" s="260"/>
      <c r="T266" s="131">
        <f t="shared" ref="T266:T271" si="137">IF(AND(H266="実施済",I266="実施済"),R266*1,0)</f>
        <v>0</v>
      </c>
      <c r="U266" s="131">
        <f>IF(AND(J266="実施済",K266="実施済"),$T266*1,0)</f>
        <v>0</v>
      </c>
      <c r="V266" s="260"/>
      <c r="W266" s="131" t="str">
        <f>IF(OR(E266="〇〇(合意形成対象者名に書き換え)",E266=""),"",SUM(R266,T266,U266))</f>
        <v/>
      </c>
      <c r="X266" s="131">
        <f t="shared" ref="X266:X271" si="138">MIN($W$266:$W$271)+1</f>
        <v>1</v>
      </c>
      <c r="Y266" s="131">
        <f>IF(E266="",1,IF(AND(E266="〇〇(合意形成対象者名に書き換え)",COUNTA($F266:$L266)=0),1,IF(AND(E266&lt;&gt;"〇〇(合意形成対象者名に書き換え)",COUNTA($F266:$L266)=7),1,0)))</f>
        <v>1</v>
      </c>
      <c r="Z266" s="131" t="str" cm="1">
        <f t="array" ref="Z266">_xlfn.IFS(X266=4,"A",X266=3,"B",X266=2,"C",X266=1,"D")</f>
        <v>D</v>
      </c>
      <c r="AA266" s="257"/>
    </row>
    <row r="267" spans="1:27">
      <c r="B267" s="97"/>
      <c r="C267" s="98"/>
      <c r="D267" s="99"/>
      <c r="E267" s="450" t="s">
        <v>129</v>
      </c>
      <c r="F267" s="449"/>
      <c r="G267" s="443"/>
      <c r="H267" s="449"/>
      <c r="I267" s="443"/>
      <c r="J267" s="449"/>
      <c r="K267" s="443"/>
      <c r="L267" s="443"/>
      <c r="M267" s="100"/>
      <c r="N267" s="11"/>
      <c r="R267" s="131">
        <f t="shared" si="136"/>
        <v>0</v>
      </c>
      <c r="S267" s="260"/>
      <c r="T267" s="131">
        <f t="shared" si="137"/>
        <v>0</v>
      </c>
      <c r="U267" s="131">
        <f t="shared" ref="U267:U269" si="139">IF(AND(J267="実施済",K267="実施済"),$T267*1,0)</f>
        <v>0</v>
      </c>
      <c r="V267" s="260"/>
      <c r="W267" s="131" t="str">
        <f t="shared" ref="W267:W271" si="140">IF(OR(E267="〇〇(合意形成対象者名に書き換え)",E267=""),"",SUM(R267,T267,U267))</f>
        <v/>
      </c>
      <c r="X267" s="131">
        <f t="shared" si="138"/>
        <v>1</v>
      </c>
      <c r="Y267" s="131">
        <f t="shared" ref="Y267:Y271" si="141">IF(E267="",1,IF(AND(E267="〇〇(合意形成対象者名に書き換え)",COUNTA($F267:$L267)=0),1,IF(AND(E267&lt;&gt;"〇〇(合意形成対象者名に書き換え)",COUNTA($F267:$L267)=7),1,0)))</f>
        <v>1</v>
      </c>
      <c r="Z267" s="131" t="str" cm="1">
        <f t="array" ref="Z267">_xlfn.IFS(X267=4,"A",X267=3,"B",X267=2,"C",X267=1,"D")</f>
        <v>D</v>
      </c>
      <c r="AA267" s="257"/>
    </row>
    <row r="268" spans="1:27">
      <c r="B268" s="97"/>
      <c r="C268" s="98"/>
      <c r="D268" s="99"/>
      <c r="E268" s="450" t="s">
        <v>129</v>
      </c>
      <c r="F268" s="449"/>
      <c r="G268" s="443"/>
      <c r="H268" s="449"/>
      <c r="I268" s="443"/>
      <c r="J268" s="449"/>
      <c r="K268" s="443"/>
      <c r="L268" s="443"/>
      <c r="M268" s="100"/>
      <c r="N268" s="11"/>
      <c r="R268" s="131">
        <f t="shared" si="136"/>
        <v>0</v>
      </c>
      <c r="S268" s="260"/>
      <c r="T268" s="131">
        <f t="shared" si="137"/>
        <v>0</v>
      </c>
      <c r="U268" s="131">
        <f t="shared" si="139"/>
        <v>0</v>
      </c>
      <c r="V268" s="260"/>
      <c r="W268" s="131" t="str">
        <f t="shared" si="140"/>
        <v/>
      </c>
      <c r="X268" s="131">
        <f t="shared" si="138"/>
        <v>1</v>
      </c>
      <c r="Y268" s="131">
        <f t="shared" si="141"/>
        <v>1</v>
      </c>
      <c r="Z268" s="131" t="str" cm="1">
        <f t="array" ref="Z268">_xlfn.IFS(X268=4,"A",X268=3,"B",X268=2,"C",X268=1,"D")</f>
        <v>D</v>
      </c>
      <c r="AA268" s="257"/>
    </row>
    <row r="269" spans="1:27" s="101" customFormat="1">
      <c r="A269" s="11"/>
      <c r="B269" s="97"/>
      <c r="C269" s="98"/>
      <c r="D269" s="99"/>
      <c r="E269" s="450" t="s">
        <v>129</v>
      </c>
      <c r="F269" s="449"/>
      <c r="G269" s="443"/>
      <c r="H269" s="449"/>
      <c r="I269" s="443"/>
      <c r="J269" s="449"/>
      <c r="K269" s="443"/>
      <c r="L269" s="443"/>
      <c r="M269" s="100"/>
      <c r="N269" s="11"/>
      <c r="Q269" s="11"/>
      <c r="R269" s="131">
        <f t="shared" si="136"/>
        <v>0</v>
      </c>
      <c r="S269" s="260"/>
      <c r="T269" s="131">
        <f t="shared" si="137"/>
        <v>0</v>
      </c>
      <c r="U269" s="131">
        <f t="shared" si="139"/>
        <v>0</v>
      </c>
      <c r="V269" s="260"/>
      <c r="W269" s="131" t="str">
        <f t="shared" si="140"/>
        <v/>
      </c>
      <c r="X269" s="131">
        <f t="shared" si="138"/>
        <v>1</v>
      </c>
      <c r="Y269" s="131">
        <f t="shared" si="141"/>
        <v>1</v>
      </c>
      <c r="Z269" s="131" t="str" cm="1">
        <f t="array" ref="Z269">_xlfn.IFS(X269=4,"A",X269=3,"B",X269=2,"C",X269=1,"D")</f>
        <v>D</v>
      </c>
      <c r="AA269" s="131"/>
    </row>
    <row r="270" spans="1:27" customFormat="1" ht="7.5" customHeight="1">
      <c r="B270" s="65"/>
      <c r="C270" s="4"/>
      <c r="D270" s="4"/>
      <c r="E270" s="4"/>
      <c r="F270" s="4"/>
      <c r="G270" s="4"/>
      <c r="H270" s="4"/>
      <c r="I270" s="4"/>
      <c r="J270" s="4"/>
      <c r="K270" s="4"/>
      <c r="L270" s="4"/>
      <c r="M270" s="9"/>
      <c r="N270" s="2"/>
      <c r="O270" s="2"/>
      <c r="P270" s="2"/>
      <c r="R270" s="131">
        <f t="shared" si="136"/>
        <v>0</v>
      </c>
      <c r="S270" s="260"/>
      <c r="T270" s="131">
        <f t="shared" si="137"/>
        <v>0</v>
      </c>
      <c r="U270" s="131">
        <f>IF(AND(J270="実施済",K270="実施済"),$T270*1,0)</f>
        <v>0</v>
      </c>
      <c r="V270" s="260"/>
      <c r="W270" s="131" t="str">
        <f t="shared" si="140"/>
        <v/>
      </c>
      <c r="X270" s="131">
        <f t="shared" si="138"/>
        <v>1</v>
      </c>
      <c r="Y270" s="131">
        <f t="shared" si="141"/>
        <v>1</v>
      </c>
      <c r="Z270" s="131" t="str" cm="1">
        <f t="array" ref="Z270">_xlfn.IFS(X270=4,"A",X270=3,"B",X270=2,"C",X270=1,"D")</f>
        <v>D</v>
      </c>
      <c r="AA270" s="177"/>
    </row>
    <row r="271" spans="1:27" customFormat="1" ht="18" customHeight="1">
      <c r="N271" s="2"/>
      <c r="O271" s="2"/>
      <c r="P271" s="2"/>
      <c r="R271" s="131">
        <f t="shared" si="136"/>
        <v>0</v>
      </c>
      <c r="S271" s="260"/>
      <c r="T271" s="131">
        <f t="shared" si="137"/>
        <v>0</v>
      </c>
      <c r="U271" s="131">
        <f t="shared" ref="U271" si="142">IF(AND(J271="実施済",K271="実施済"),$T271*1,0)</f>
        <v>0</v>
      </c>
      <c r="V271" s="260"/>
      <c r="W271" s="131" t="str">
        <f t="shared" si="140"/>
        <v/>
      </c>
      <c r="X271" s="131">
        <f t="shared" si="138"/>
        <v>1</v>
      </c>
      <c r="Y271" s="131">
        <f t="shared" si="141"/>
        <v>1</v>
      </c>
      <c r="Z271" s="131" t="str" cm="1">
        <f t="array" ref="Z271">_xlfn.IFS(X271=4,"A",X271=3,"B",X271=2,"C",X271=1,"D")</f>
        <v>D</v>
      </c>
      <c r="AA271" s="177"/>
    </row>
    <row r="272" spans="1:27" customFormat="1" ht="103.5" customHeight="1">
      <c r="C272" s="78"/>
      <c r="D272" s="79"/>
      <c r="E272" s="71" t="s">
        <v>238</v>
      </c>
      <c r="F272" s="1057"/>
      <c r="G272" s="1057"/>
      <c r="H272" s="1057"/>
      <c r="I272" s="1057"/>
      <c r="J272" s="1057"/>
      <c r="K272" s="1057"/>
      <c r="L272" s="1057"/>
      <c r="M272" s="80" t="s">
        <v>132</v>
      </c>
      <c r="N272" s="80"/>
    </row>
    <row r="273" spans="1:27" customFormat="1" ht="146.25" customHeight="1">
      <c r="C273" s="75"/>
      <c r="D273" s="68"/>
      <c r="E273" s="71" t="s">
        <v>237</v>
      </c>
      <c r="F273" s="1057"/>
      <c r="G273" s="1057"/>
      <c r="H273" s="1057"/>
      <c r="I273" s="1057"/>
      <c r="J273" s="1057"/>
      <c r="K273" s="1057"/>
      <c r="L273" s="1057"/>
      <c r="N273" s="2"/>
      <c r="O273" s="2"/>
      <c r="P273" s="2"/>
    </row>
    <row r="274" spans="1:27" customFormat="1" ht="13.5" customHeight="1" thickBot="1">
      <c r="A274" s="81"/>
      <c r="B274" s="81"/>
      <c r="C274" s="81"/>
      <c r="D274" s="81"/>
      <c r="E274" s="81"/>
      <c r="F274" s="81"/>
      <c r="G274" s="81"/>
      <c r="H274" s="81"/>
      <c r="I274" s="81"/>
      <c r="J274" s="81"/>
      <c r="K274" s="81"/>
      <c r="L274" s="81"/>
      <c r="M274" s="81"/>
      <c r="N274" s="82"/>
      <c r="O274" s="2"/>
      <c r="P274" s="2"/>
    </row>
    <row r="275" spans="1:27" customFormat="1" ht="13.5" customHeight="1">
      <c r="A275" s="83"/>
      <c r="B275" s="83"/>
      <c r="C275" s="83"/>
      <c r="D275" s="83"/>
      <c r="E275" s="83"/>
      <c r="F275" s="83"/>
      <c r="G275" s="83"/>
      <c r="H275" s="83"/>
      <c r="I275" s="83"/>
      <c r="J275" s="83"/>
      <c r="K275" s="83"/>
      <c r="L275" s="83"/>
      <c r="M275" s="83"/>
      <c r="N275" s="84"/>
      <c r="O275" s="2"/>
      <c r="P275" s="2"/>
    </row>
    <row r="276" spans="1:27" customFormat="1" ht="15" customHeight="1">
      <c r="B276" s="10"/>
      <c r="C276" s="5"/>
      <c r="D276" s="5"/>
      <c r="E276" s="5"/>
      <c r="F276" s="5"/>
      <c r="G276" s="5"/>
      <c r="H276" s="5"/>
      <c r="I276" s="5"/>
      <c r="J276" s="5"/>
      <c r="K276" s="5"/>
      <c r="L276" s="5"/>
      <c r="M276" s="6"/>
      <c r="R276" s="11" t="str">
        <f>D277</f>
        <v>(選択してください)</v>
      </c>
    </row>
    <row r="277" spans="1:27" customFormat="1">
      <c r="B277" s="7"/>
      <c r="C277" s="77" t="str">
        <f ca="1">IFERROR(OFFSET('4.2民生電力需要量'!$C$1,MATCH(D277,'4.2民生電力需要量'!$E:$E,0)-1,0),"")</f>
        <v/>
      </c>
      <c r="D277" s="96" t="s">
        <v>130</v>
      </c>
      <c r="E277" s="72" t="s">
        <v>131</v>
      </c>
      <c r="F277" s="1063" t="str">
        <f ca="1">IFERROR(OFFSET('4.2民生電力需要量'!$G$1,MATCH($D277,'4.2民生電力需要量'!$E:$E,0)-1,0),"")</f>
        <v/>
      </c>
      <c r="G277" s="1063"/>
      <c r="H277" s="1063"/>
      <c r="I277" s="1063"/>
      <c r="J277" s="1063"/>
      <c r="K277" s="1063"/>
      <c r="L277" s="1063"/>
      <c r="M277" s="8"/>
      <c r="R277" s="257" t="str">
        <f ca="1">IFERROR(OFFSET('4.2民生電力需要量'!$G$1,MATCH($D277,'4.2民生電力需要量'!$E:$E,0)-1,0),"")</f>
        <v/>
      </c>
      <c r="S277" s="177"/>
      <c r="T277" s="177"/>
      <c r="U277" s="177"/>
      <c r="V277" s="177"/>
      <c r="W277" s="177"/>
      <c r="X277" s="177"/>
      <c r="Y277" s="177"/>
      <c r="Z277" s="177"/>
      <c r="AA277" s="177">
        <f ca="1">(F277=R277)*1</f>
        <v>1</v>
      </c>
    </row>
    <row r="278" spans="1:27" customFormat="1">
      <c r="B278" s="7"/>
      <c r="C278" s="74"/>
      <c r="D278" s="66"/>
      <c r="E278" s="72" t="s">
        <v>221</v>
      </c>
      <c r="F278" s="1062" t="str">
        <f ca="1">IFERROR(OFFSET('4.2民生電力需要量'!$I$1,MATCH($D277,'4.2民生電力需要量'!$E:$E,0)-1,0),"")</f>
        <v/>
      </c>
      <c r="G278" s="1062"/>
      <c r="H278" s="1062"/>
      <c r="I278" s="1062"/>
      <c r="J278" s="1062"/>
      <c r="K278" s="1062"/>
      <c r="L278" s="1062"/>
      <c r="M278" s="8"/>
      <c r="R278" s="257" t="str">
        <f ca="1">IFERROR(OFFSET('4.2民生電力需要量'!$I$1,MATCH($D277,'4.2民生電力需要量'!$E:$E,0)-1,0),"")</f>
        <v/>
      </c>
      <c r="S278" s="177"/>
      <c r="T278" s="177"/>
      <c r="U278" s="177"/>
      <c r="V278" s="177"/>
      <c r="W278" s="177"/>
      <c r="X278" s="177"/>
      <c r="Y278" s="177"/>
      <c r="Z278" s="177"/>
      <c r="AA278" s="177">
        <f t="shared" ref="AA278:AA279" ca="1" si="143">(F278=R278)*1</f>
        <v>1</v>
      </c>
    </row>
    <row r="279" spans="1:27" customFormat="1">
      <c r="B279" s="7"/>
      <c r="C279" s="74"/>
      <c r="D279" s="66"/>
      <c r="E279" s="72" t="s">
        <v>176</v>
      </c>
      <c r="F279" s="1063" t="str">
        <f>_xlfn.IFNA(R279,"")</f>
        <v/>
      </c>
      <c r="G279" s="1063"/>
      <c r="H279" s="1063"/>
      <c r="I279" s="1063"/>
      <c r="J279" s="1063"/>
      <c r="K279" s="1063"/>
      <c r="L279" s="1063"/>
      <c r="M279" s="8"/>
      <c r="R279" s="131" t="str">
        <f>IF(OR(COUNTIF($E281:$E286,"&lt;&gt;〇〇(合意形成対象者名に書き換え)")=3,COUNTIF($E281:$E286,"")&gt;3),"",IF(PRODUCT($Y281:$Y286)=1,Z281,""))</f>
        <v/>
      </c>
      <c r="S279" s="177"/>
      <c r="T279" s="177"/>
      <c r="U279" s="177"/>
      <c r="V279" s="177"/>
      <c r="W279" s="177"/>
      <c r="X279" s="177"/>
      <c r="Y279" s="177"/>
      <c r="Z279" s="177"/>
      <c r="AA279" s="177">
        <f t="shared" si="143"/>
        <v>1</v>
      </c>
    </row>
    <row r="280" spans="1:27" ht="63.75" customHeight="1">
      <c r="B280" s="97"/>
      <c r="C280" s="98"/>
      <c r="D280" s="99"/>
      <c r="E280" s="374"/>
      <c r="F280" s="315" t="s">
        <v>270</v>
      </c>
      <c r="G280" s="315" t="s">
        <v>273</v>
      </c>
      <c r="H280" s="315" t="s">
        <v>274</v>
      </c>
      <c r="I280" s="315" t="s">
        <v>271</v>
      </c>
      <c r="J280" s="315" t="s">
        <v>440</v>
      </c>
      <c r="K280" s="315" t="s">
        <v>441</v>
      </c>
      <c r="L280" s="315" t="s">
        <v>272</v>
      </c>
      <c r="M280" s="100"/>
      <c r="N280" s="11"/>
      <c r="R280" s="128" t="s">
        <v>302</v>
      </c>
      <c r="S280" s="259" t="s">
        <v>429</v>
      </c>
      <c r="T280" s="128" t="s">
        <v>430</v>
      </c>
      <c r="U280" s="298" t="s">
        <v>442</v>
      </c>
      <c r="V280" s="258" t="s">
        <v>272</v>
      </c>
      <c r="W280" s="128" t="s">
        <v>432</v>
      </c>
      <c r="X280" s="131" t="s">
        <v>408</v>
      </c>
      <c r="Y280" s="131" t="s">
        <v>436</v>
      </c>
      <c r="Z280" s="128" t="s">
        <v>431</v>
      </c>
      <c r="AA280" s="257"/>
    </row>
    <row r="281" spans="1:27" hidden="1">
      <c r="B281" s="97"/>
      <c r="C281" s="98"/>
      <c r="D281" s="99"/>
      <c r="E281" s="444"/>
      <c r="F281" s="445"/>
      <c r="G281" s="441"/>
      <c r="H281" s="445"/>
      <c r="I281" s="441"/>
      <c r="J281" s="445"/>
      <c r="K281" s="441"/>
      <c r="L281" s="446"/>
      <c r="M281" s="100"/>
      <c r="N281" s="11"/>
      <c r="R281" s="131">
        <f t="shared" ref="R281:R286" si="144">IF(F281="実施済",1,0)</f>
        <v>0</v>
      </c>
      <c r="S281" s="260"/>
      <c r="T281" s="131">
        <f t="shared" ref="T281:T286" si="145">IF(AND(H281="実施済",I281="実施済"),R281*1,0)</f>
        <v>0</v>
      </c>
      <c r="U281" s="131">
        <f>IF(AND(J281="実施済",K281="実施済"),$T281*1,0)</f>
        <v>0</v>
      </c>
      <c r="V281" s="260"/>
      <c r="W281" s="131" t="str">
        <f>IF(OR(E281="〇〇(合意形成対象者名に書き換え)",E281=""),"",SUM(R281,T281,U281))</f>
        <v/>
      </c>
      <c r="X281" s="131">
        <f t="shared" ref="X281:X286" si="146">MIN($W$281:$W$286)+1</f>
        <v>1</v>
      </c>
      <c r="Y281" s="131">
        <f>IF(E281="",1,IF(AND(E281="〇〇(合意形成対象者名に書き換え)",COUNTA($F281:$L281)=0),1,IF(AND(E281&lt;&gt;"〇〇(合意形成対象者名に書き換え)",COUNTA($F281:$L281)=7),1,0)))</f>
        <v>1</v>
      </c>
      <c r="Z281" s="131" t="str" cm="1">
        <f t="array" ref="Z281">_xlfn.IFS(X281=4,"A",X281=3,"B",X281=2,"C",X281=1,"D")</f>
        <v>D</v>
      </c>
      <c r="AA281" s="257"/>
    </row>
    <row r="282" spans="1:27">
      <c r="B282" s="97"/>
      <c r="C282" s="98"/>
      <c r="D282" s="99"/>
      <c r="E282" s="450" t="s">
        <v>129</v>
      </c>
      <c r="F282" s="449"/>
      <c r="G282" s="443"/>
      <c r="H282" s="449"/>
      <c r="I282" s="443"/>
      <c r="J282" s="449"/>
      <c r="K282" s="443"/>
      <c r="L282" s="443"/>
      <c r="M282" s="100"/>
      <c r="N282" s="11"/>
      <c r="R282" s="131">
        <f t="shared" si="144"/>
        <v>0</v>
      </c>
      <c r="S282" s="260"/>
      <c r="T282" s="131">
        <f t="shared" si="145"/>
        <v>0</v>
      </c>
      <c r="U282" s="131">
        <f t="shared" ref="U282:U284" si="147">IF(AND(J282="実施済",K282="実施済"),$T282*1,0)</f>
        <v>0</v>
      </c>
      <c r="V282" s="260"/>
      <c r="W282" s="131" t="str">
        <f t="shared" ref="W282:W286" si="148">IF(OR(E282="〇〇(合意形成対象者名に書き換え)",E282=""),"",SUM(R282,T282,U282))</f>
        <v/>
      </c>
      <c r="X282" s="131">
        <f t="shared" si="146"/>
        <v>1</v>
      </c>
      <c r="Y282" s="131">
        <f t="shared" ref="Y282:Y286" si="149">IF(E282="",1,IF(AND(E282="〇〇(合意形成対象者名に書き換え)",COUNTA($F282:$L282)=0),1,IF(AND(E282&lt;&gt;"〇〇(合意形成対象者名に書き換え)",COUNTA($F282:$L282)=7),1,0)))</f>
        <v>1</v>
      </c>
      <c r="Z282" s="131" t="str" cm="1">
        <f t="array" ref="Z282">_xlfn.IFS(X282=4,"A",X282=3,"B",X282=2,"C",X282=1,"D")</f>
        <v>D</v>
      </c>
      <c r="AA282" s="257"/>
    </row>
    <row r="283" spans="1:27">
      <c r="B283" s="97"/>
      <c r="C283" s="98"/>
      <c r="D283" s="99"/>
      <c r="E283" s="450" t="s">
        <v>129</v>
      </c>
      <c r="F283" s="449"/>
      <c r="G283" s="443"/>
      <c r="H283" s="449"/>
      <c r="I283" s="443"/>
      <c r="J283" s="449"/>
      <c r="K283" s="443"/>
      <c r="L283" s="443"/>
      <c r="M283" s="100"/>
      <c r="N283" s="11"/>
      <c r="R283" s="131">
        <f t="shared" si="144"/>
        <v>0</v>
      </c>
      <c r="S283" s="260"/>
      <c r="T283" s="131">
        <f t="shared" si="145"/>
        <v>0</v>
      </c>
      <c r="U283" s="131">
        <f t="shared" si="147"/>
        <v>0</v>
      </c>
      <c r="V283" s="260"/>
      <c r="W283" s="131" t="str">
        <f t="shared" si="148"/>
        <v/>
      </c>
      <c r="X283" s="131">
        <f t="shared" si="146"/>
        <v>1</v>
      </c>
      <c r="Y283" s="131">
        <f t="shared" si="149"/>
        <v>1</v>
      </c>
      <c r="Z283" s="131" t="str" cm="1">
        <f t="array" ref="Z283">_xlfn.IFS(X283=4,"A",X283=3,"B",X283=2,"C",X283=1,"D")</f>
        <v>D</v>
      </c>
      <c r="AA283" s="257"/>
    </row>
    <row r="284" spans="1:27" s="101" customFormat="1">
      <c r="A284" s="11"/>
      <c r="B284" s="97"/>
      <c r="C284" s="98"/>
      <c r="D284" s="99"/>
      <c r="E284" s="450" t="s">
        <v>129</v>
      </c>
      <c r="F284" s="449"/>
      <c r="G284" s="443"/>
      <c r="H284" s="449"/>
      <c r="I284" s="443"/>
      <c r="J284" s="449"/>
      <c r="K284" s="443"/>
      <c r="L284" s="443"/>
      <c r="M284" s="100"/>
      <c r="N284" s="11"/>
      <c r="Q284" s="11"/>
      <c r="R284" s="131">
        <f t="shared" si="144"/>
        <v>0</v>
      </c>
      <c r="S284" s="260"/>
      <c r="T284" s="131">
        <f t="shared" si="145"/>
        <v>0</v>
      </c>
      <c r="U284" s="131">
        <f t="shared" si="147"/>
        <v>0</v>
      </c>
      <c r="V284" s="260"/>
      <c r="W284" s="131" t="str">
        <f t="shared" si="148"/>
        <v/>
      </c>
      <c r="X284" s="131">
        <f t="shared" si="146"/>
        <v>1</v>
      </c>
      <c r="Y284" s="131">
        <f t="shared" si="149"/>
        <v>1</v>
      </c>
      <c r="Z284" s="131" t="str" cm="1">
        <f t="array" ref="Z284">_xlfn.IFS(X284=4,"A",X284=3,"B",X284=2,"C",X284=1,"D")</f>
        <v>D</v>
      </c>
      <c r="AA284" s="131"/>
    </row>
    <row r="285" spans="1:27" customFormat="1" ht="7.5" customHeight="1">
      <c r="B285" s="65"/>
      <c r="C285" s="4"/>
      <c r="D285" s="4"/>
      <c r="E285" s="4"/>
      <c r="F285" s="4"/>
      <c r="G285" s="4"/>
      <c r="H285" s="4"/>
      <c r="I285" s="4"/>
      <c r="J285" s="4"/>
      <c r="K285" s="4"/>
      <c r="L285" s="4"/>
      <c r="M285" s="9"/>
      <c r="N285" s="2"/>
      <c r="O285" s="2"/>
      <c r="P285" s="2"/>
      <c r="R285" s="131">
        <f t="shared" si="144"/>
        <v>0</v>
      </c>
      <c r="S285" s="260"/>
      <c r="T285" s="131">
        <f t="shared" si="145"/>
        <v>0</v>
      </c>
      <c r="U285" s="131">
        <f>IF(AND(J285="実施済",K285="実施済"),$T285*1,0)</f>
        <v>0</v>
      </c>
      <c r="V285" s="260"/>
      <c r="W285" s="131" t="str">
        <f t="shared" si="148"/>
        <v/>
      </c>
      <c r="X285" s="131">
        <f t="shared" si="146"/>
        <v>1</v>
      </c>
      <c r="Y285" s="131">
        <f t="shared" si="149"/>
        <v>1</v>
      </c>
      <c r="Z285" s="131" t="str" cm="1">
        <f t="array" ref="Z285">_xlfn.IFS(X285=4,"A",X285=3,"B",X285=2,"C",X285=1,"D")</f>
        <v>D</v>
      </c>
      <c r="AA285" s="177"/>
    </row>
    <row r="286" spans="1:27" customFormat="1" ht="18" customHeight="1">
      <c r="N286" s="2"/>
      <c r="O286" s="2"/>
      <c r="P286" s="2"/>
      <c r="R286" s="131">
        <f t="shared" si="144"/>
        <v>0</v>
      </c>
      <c r="S286" s="260"/>
      <c r="T286" s="131">
        <f t="shared" si="145"/>
        <v>0</v>
      </c>
      <c r="U286" s="131">
        <f t="shared" ref="U286" si="150">IF(AND(J286="実施済",K286="実施済"),$T286*1,0)</f>
        <v>0</v>
      </c>
      <c r="V286" s="260"/>
      <c r="W286" s="131" t="str">
        <f t="shared" si="148"/>
        <v/>
      </c>
      <c r="X286" s="131">
        <f t="shared" si="146"/>
        <v>1</v>
      </c>
      <c r="Y286" s="131">
        <f t="shared" si="149"/>
        <v>1</v>
      </c>
      <c r="Z286" s="131" t="str" cm="1">
        <f t="array" ref="Z286">_xlfn.IFS(X286=4,"A",X286=3,"B",X286=2,"C",X286=1,"D")</f>
        <v>D</v>
      </c>
      <c r="AA286" s="177"/>
    </row>
    <row r="287" spans="1:27" customFormat="1" ht="103.5" customHeight="1">
      <c r="C287" s="78"/>
      <c r="D287" s="79"/>
      <c r="E287" s="71" t="s">
        <v>238</v>
      </c>
      <c r="F287" s="1057"/>
      <c r="G287" s="1057"/>
      <c r="H287" s="1057"/>
      <c r="I287" s="1057"/>
      <c r="J287" s="1057"/>
      <c r="K287" s="1057"/>
      <c r="L287" s="1057"/>
      <c r="M287" s="80" t="s">
        <v>132</v>
      </c>
      <c r="N287" s="80"/>
    </row>
    <row r="288" spans="1:27" customFormat="1" ht="146.25" customHeight="1">
      <c r="C288" s="75"/>
      <c r="D288" s="68"/>
      <c r="E288" s="71" t="s">
        <v>237</v>
      </c>
      <c r="F288" s="1057"/>
      <c r="G288" s="1057"/>
      <c r="H288" s="1057"/>
      <c r="I288" s="1057"/>
      <c r="J288" s="1057"/>
      <c r="K288" s="1057"/>
      <c r="L288" s="1057"/>
      <c r="N288" s="2"/>
      <c r="O288" s="2"/>
      <c r="P288" s="2"/>
    </row>
    <row r="289" spans="1:27" customFormat="1" ht="13.5" customHeight="1" thickBot="1">
      <c r="A289" s="81"/>
      <c r="B289" s="81"/>
      <c r="C289" s="81"/>
      <c r="D289" s="81"/>
      <c r="E289" s="81"/>
      <c r="F289" s="81"/>
      <c r="G289" s="81"/>
      <c r="H289" s="81"/>
      <c r="I289" s="81"/>
      <c r="J289" s="81"/>
      <c r="K289" s="81"/>
      <c r="L289" s="81"/>
      <c r="M289" s="81"/>
      <c r="N289" s="82"/>
      <c r="O289" s="2"/>
      <c r="P289" s="2"/>
    </row>
    <row r="290" spans="1:27" customFormat="1" ht="13.5" customHeight="1">
      <c r="A290" s="83"/>
      <c r="B290" s="83"/>
      <c r="C290" s="83"/>
      <c r="D290" s="83"/>
      <c r="E290" s="83"/>
      <c r="F290" s="83"/>
      <c r="G290" s="83"/>
      <c r="H290" s="83"/>
      <c r="I290" s="83"/>
      <c r="J290" s="83"/>
      <c r="K290" s="83"/>
      <c r="L290" s="83"/>
      <c r="M290" s="83"/>
      <c r="N290" s="84"/>
      <c r="O290" s="2"/>
      <c r="P290" s="2"/>
    </row>
    <row r="291" spans="1:27" customFormat="1" ht="15" customHeight="1">
      <c r="B291" s="10"/>
      <c r="C291" s="5"/>
      <c r="D291" s="5"/>
      <c r="E291" s="5"/>
      <c r="F291" s="5"/>
      <c r="G291" s="5"/>
      <c r="H291" s="5"/>
      <c r="I291" s="5"/>
      <c r="J291" s="5"/>
      <c r="K291" s="5"/>
      <c r="L291" s="5"/>
      <c r="M291" s="6"/>
      <c r="R291" s="11" t="str">
        <f>D292</f>
        <v>(選択してください)</v>
      </c>
    </row>
    <row r="292" spans="1:27" customFormat="1">
      <c r="B292" s="7"/>
      <c r="C292" s="77" t="str">
        <f ca="1">IFERROR(OFFSET('4.2民生電力需要量'!$C$1,MATCH(D292,'4.2民生電力需要量'!$E:$E,0)-1,0),"")</f>
        <v/>
      </c>
      <c r="D292" s="96" t="s">
        <v>130</v>
      </c>
      <c r="E292" s="72" t="s">
        <v>131</v>
      </c>
      <c r="F292" s="1063" t="str">
        <f ca="1">IFERROR(OFFSET('4.2民生電力需要量'!$G$1,MATCH($D292,'4.2民生電力需要量'!$E:$E,0)-1,0),"")</f>
        <v/>
      </c>
      <c r="G292" s="1063"/>
      <c r="H292" s="1063"/>
      <c r="I292" s="1063"/>
      <c r="J292" s="1063"/>
      <c r="K292" s="1063"/>
      <c r="L292" s="1063"/>
      <c r="M292" s="8"/>
      <c r="R292" s="257" t="str">
        <f ca="1">IFERROR(OFFSET('4.2民生電力需要量'!$G$1,MATCH($D292,'4.2民生電力需要量'!$E:$E,0)-1,0),"")</f>
        <v/>
      </c>
      <c r="S292" s="177"/>
      <c r="T292" s="177"/>
      <c r="U292" s="177"/>
      <c r="V292" s="177"/>
      <c r="W292" s="177"/>
      <c r="X292" s="177"/>
      <c r="Y292" s="177"/>
      <c r="Z292" s="177"/>
      <c r="AA292" s="177">
        <f ca="1">(F292=R292)*1</f>
        <v>1</v>
      </c>
    </row>
    <row r="293" spans="1:27" customFormat="1">
      <c r="B293" s="7"/>
      <c r="C293" s="74"/>
      <c r="D293" s="66"/>
      <c r="E293" s="72" t="s">
        <v>221</v>
      </c>
      <c r="F293" s="1062" t="str">
        <f ca="1">IFERROR(OFFSET('4.2民生電力需要量'!$I$1,MATCH($D292,'4.2民生電力需要量'!$E:$E,0)-1,0),"")</f>
        <v/>
      </c>
      <c r="G293" s="1062"/>
      <c r="H293" s="1062"/>
      <c r="I293" s="1062"/>
      <c r="J293" s="1062"/>
      <c r="K293" s="1062"/>
      <c r="L293" s="1062"/>
      <c r="M293" s="8"/>
      <c r="R293" s="257" t="str">
        <f ca="1">IFERROR(OFFSET('4.2民生電力需要量'!$I$1,MATCH($D292,'4.2民生電力需要量'!$E:$E,0)-1,0),"")</f>
        <v/>
      </c>
      <c r="S293" s="177"/>
      <c r="T293" s="177"/>
      <c r="U293" s="177"/>
      <c r="V293" s="177"/>
      <c r="W293" s="177"/>
      <c r="X293" s="177"/>
      <c r="Y293" s="177"/>
      <c r="Z293" s="177"/>
      <c r="AA293" s="177">
        <f t="shared" ref="AA293:AA294" ca="1" si="151">(F293=R293)*1</f>
        <v>1</v>
      </c>
    </row>
    <row r="294" spans="1:27" customFormat="1">
      <c r="B294" s="7"/>
      <c r="C294" s="74"/>
      <c r="D294" s="66"/>
      <c r="E294" s="72" t="s">
        <v>176</v>
      </c>
      <c r="F294" s="1063" t="str">
        <f>_xlfn.IFNA(R294,"")</f>
        <v/>
      </c>
      <c r="G294" s="1063"/>
      <c r="H294" s="1063"/>
      <c r="I294" s="1063"/>
      <c r="J294" s="1063"/>
      <c r="K294" s="1063"/>
      <c r="L294" s="1063"/>
      <c r="M294" s="8"/>
      <c r="R294" s="131" t="str">
        <f>IF(OR(COUNTIF($E296:$E301,"&lt;&gt;〇〇(合意形成対象者名に書き換え)")=3,COUNTIF($E296:$E301,"")&gt;3),"",IF(PRODUCT($Y296:$Y301)=1,Z296,""))</f>
        <v/>
      </c>
      <c r="S294" s="177"/>
      <c r="T294" s="177"/>
      <c r="U294" s="177"/>
      <c r="V294" s="177"/>
      <c r="W294" s="177"/>
      <c r="X294" s="177"/>
      <c r="Y294" s="177"/>
      <c r="Z294" s="177"/>
      <c r="AA294" s="177">
        <f t="shared" si="151"/>
        <v>1</v>
      </c>
    </row>
    <row r="295" spans="1:27" ht="63.75" customHeight="1">
      <c r="B295" s="97"/>
      <c r="C295" s="98"/>
      <c r="D295" s="99"/>
      <c r="E295" s="374"/>
      <c r="F295" s="315" t="s">
        <v>270</v>
      </c>
      <c r="G295" s="315" t="s">
        <v>273</v>
      </c>
      <c r="H295" s="315" t="s">
        <v>274</v>
      </c>
      <c r="I295" s="315" t="s">
        <v>271</v>
      </c>
      <c r="J295" s="315" t="s">
        <v>440</v>
      </c>
      <c r="K295" s="315" t="s">
        <v>441</v>
      </c>
      <c r="L295" s="315" t="s">
        <v>272</v>
      </c>
      <c r="M295" s="100"/>
      <c r="N295" s="11"/>
      <c r="R295" s="128" t="s">
        <v>302</v>
      </c>
      <c r="S295" s="259" t="s">
        <v>429</v>
      </c>
      <c r="T295" s="128" t="s">
        <v>430</v>
      </c>
      <c r="U295" s="298" t="s">
        <v>442</v>
      </c>
      <c r="V295" s="258" t="s">
        <v>272</v>
      </c>
      <c r="W295" s="128" t="s">
        <v>432</v>
      </c>
      <c r="X295" s="131" t="s">
        <v>408</v>
      </c>
      <c r="Y295" s="131" t="s">
        <v>436</v>
      </c>
      <c r="Z295" s="128" t="s">
        <v>431</v>
      </c>
      <c r="AA295" s="257"/>
    </row>
    <row r="296" spans="1:27" hidden="1">
      <c r="B296" s="97"/>
      <c r="C296" s="98"/>
      <c r="D296" s="99"/>
      <c r="E296" s="444"/>
      <c r="F296" s="445"/>
      <c r="G296" s="441"/>
      <c r="H296" s="445"/>
      <c r="I296" s="441"/>
      <c r="J296" s="445"/>
      <c r="K296" s="441"/>
      <c r="L296" s="446"/>
      <c r="M296" s="100"/>
      <c r="N296" s="11"/>
      <c r="R296" s="131">
        <f t="shared" ref="R296:R301" si="152">IF(F296="実施済",1,0)</f>
        <v>0</v>
      </c>
      <c r="S296" s="260"/>
      <c r="T296" s="131">
        <f t="shared" ref="T296:T301" si="153">IF(AND(H296="実施済",I296="実施済"),R296*1,0)</f>
        <v>0</v>
      </c>
      <c r="U296" s="131">
        <f>IF(AND(J296="実施済",K296="実施済"),$T296*1,0)</f>
        <v>0</v>
      </c>
      <c r="V296" s="260"/>
      <c r="W296" s="131" t="str">
        <f>IF(OR(E296="〇〇(合意形成対象者名に書き換え)",E296=""),"",SUM(R296,T296,U296))</f>
        <v/>
      </c>
      <c r="X296" s="131">
        <f t="shared" ref="X296:X301" si="154">MIN($W$296:$W$301)+1</f>
        <v>1</v>
      </c>
      <c r="Y296" s="131">
        <f>IF(E296="",1,IF(AND(E296="〇〇(合意形成対象者名に書き換え)",COUNTA($F296:$L296)=0),1,IF(AND(E296&lt;&gt;"〇〇(合意形成対象者名に書き換え)",COUNTA($F296:$L296)=7),1,0)))</f>
        <v>1</v>
      </c>
      <c r="Z296" s="131" t="str" cm="1">
        <f t="array" ref="Z296">_xlfn.IFS(X296=4,"A",X296=3,"B",X296=2,"C",X296=1,"D")</f>
        <v>D</v>
      </c>
      <c r="AA296" s="257"/>
    </row>
    <row r="297" spans="1:27">
      <c r="B297" s="97"/>
      <c r="C297" s="98"/>
      <c r="D297" s="99"/>
      <c r="E297" s="450" t="s">
        <v>129</v>
      </c>
      <c r="F297" s="449"/>
      <c r="G297" s="443"/>
      <c r="H297" s="449"/>
      <c r="I297" s="443"/>
      <c r="J297" s="449"/>
      <c r="K297" s="443"/>
      <c r="L297" s="443"/>
      <c r="M297" s="100"/>
      <c r="N297" s="11"/>
      <c r="R297" s="131">
        <f t="shared" si="152"/>
        <v>0</v>
      </c>
      <c r="S297" s="260"/>
      <c r="T297" s="131">
        <f t="shared" si="153"/>
        <v>0</v>
      </c>
      <c r="U297" s="131">
        <f t="shared" ref="U297:U299" si="155">IF(AND(J297="実施済",K297="実施済"),$T297*1,0)</f>
        <v>0</v>
      </c>
      <c r="V297" s="260"/>
      <c r="W297" s="131" t="str">
        <f t="shared" ref="W297:W301" si="156">IF(OR(E297="〇〇(合意形成対象者名に書き換え)",E297=""),"",SUM(R297,T297,U297))</f>
        <v/>
      </c>
      <c r="X297" s="131">
        <f t="shared" si="154"/>
        <v>1</v>
      </c>
      <c r="Y297" s="131">
        <f t="shared" ref="Y297:Y301" si="157">IF(E297="",1,IF(AND(E297="〇〇(合意形成対象者名に書き換え)",COUNTA($F297:$L297)=0),1,IF(AND(E297&lt;&gt;"〇〇(合意形成対象者名に書き換え)",COUNTA($F297:$L297)=7),1,0)))</f>
        <v>1</v>
      </c>
      <c r="Z297" s="131" t="str" cm="1">
        <f t="array" ref="Z297">_xlfn.IFS(X297=4,"A",X297=3,"B",X297=2,"C",X297=1,"D")</f>
        <v>D</v>
      </c>
      <c r="AA297" s="257"/>
    </row>
    <row r="298" spans="1:27">
      <c r="B298" s="97"/>
      <c r="C298" s="98"/>
      <c r="D298" s="99"/>
      <c r="E298" s="450" t="s">
        <v>129</v>
      </c>
      <c r="F298" s="449"/>
      <c r="G298" s="443"/>
      <c r="H298" s="449"/>
      <c r="I298" s="443"/>
      <c r="J298" s="449"/>
      <c r="K298" s="443"/>
      <c r="L298" s="443"/>
      <c r="M298" s="100"/>
      <c r="N298" s="11"/>
      <c r="R298" s="131">
        <f t="shared" si="152"/>
        <v>0</v>
      </c>
      <c r="S298" s="260"/>
      <c r="T298" s="131">
        <f t="shared" si="153"/>
        <v>0</v>
      </c>
      <c r="U298" s="131">
        <f t="shared" si="155"/>
        <v>0</v>
      </c>
      <c r="V298" s="260"/>
      <c r="W298" s="131" t="str">
        <f t="shared" si="156"/>
        <v/>
      </c>
      <c r="X298" s="131">
        <f t="shared" si="154"/>
        <v>1</v>
      </c>
      <c r="Y298" s="131">
        <f t="shared" si="157"/>
        <v>1</v>
      </c>
      <c r="Z298" s="131" t="str" cm="1">
        <f t="array" ref="Z298">_xlfn.IFS(X298=4,"A",X298=3,"B",X298=2,"C",X298=1,"D")</f>
        <v>D</v>
      </c>
      <c r="AA298" s="257"/>
    </row>
    <row r="299" spans="1:27" s="101" customFormat="1">
      <c r="A299" s="11"/>
      <c r="B299" s="97"/>
      <c r="C299" s="98"/>
      <c r="D299" s="99"/>
      <c r="E299" s="450" t="s">
        <v>129</v>
      </c>
      <c r="F299" s="449"/>
      <c r="G299" s="443"/>
      <c r="H299" s="449"/>
      <c r="I299" s="443"/>
      <c r="J299" s="449"/>
      <c r="K299" s="443"/>
      <c r="L299" s="443"/>
      <c r="M299" s="100"/>
      <c r="N299" s="11"/>
      <c r="Q299" s="11"/>
      <c r="R299" s="131">
        <f t="shared" si="152"/>
        <v>0</v>
      </c>
      <c r="S299" s="260"/>
      <c r="T299" s="131">
        <f t="shared" si="153"/>
        <v>0</v>
      </c>
      <c r="U299" s="131">
        <f t="shared" si="155"/>
        <v>0</v>
      </c>
      <c r="V299" s="260"/>
      <c r="W299" s="131" t="str">
        <f t="shared" si="156"/>
        <v/>
      </c>
      <c r="X299" s="131">
        <f t="shared" si="154"/>
        <v>1</v>
      </c>
      <c r="Y299" s="131">
        <f t="shared" si="157"/>
        <v>1</v>
      </c>
      <c r="Z299" s="131" t="str" cm="1">
        <f t="array" ref="Z299">_xlfn.IFS(X299=4,"A",X299=3,"B",X299=2,"C",X299=1,"D")</f>
        <v>D</v>
      </c>
      <c r="AA299" s="131"/>
    </row>
    <row r="300" spans="1:27" customFormat="1" ht="7.5" customHeight="1">
      <c r="B300" s="65"/>
      <c r="C300" s="4"/>
      <c r="D300" s="4"/>
      <c r="E300" s="4"/>
      <c r="F300" s="4"/>
      <c r="G300" s="4"/>
      <c r="H300" s="4"/>
      <c r="I300" s="4"/>
      <c r="J300" s="4"/>
      <c r="K300" s="4"/>
      <c r="L300" s="4"/>
      <c r="M300" s="9"/>
      <c r="N300" s="2"/>
      <c r="O300" s="2"/>
      <c r="P300" s="2"/>
      <c r="R300" s="131">
        <f t="shared" si="152"/>
        <v>0</v>
      </c>
      <c r="S300" s="260"/>
      <c r="T300" s="131">
        <f t="shared" si="153"/>
        <v>0</v>
      </c>
      <c r="U300" s="131">
        <f>IF(AND(J300="実施済",K300="実施済"),$T300*1,0)</f>
        <v>0</v>
      </c>
      <c r="V300" s="260"/>
      <c r="W300" s="131" t="str">
        <f t="shared" si="156"/>
        <v/>
      </c>
      <c r="X300" s="131">
        <f t="shared" si="154"/>
        <v>1</v>
      </c>
      <c r="Y300" s="131">
        <f t="shared" si="157"/>
        <v>1</v>
      </c>
      <c r="Z300" s="131" t="str" cm="1">
        <f t="array" ref="Z300">_xlfn.IFS(X300=4,"A",X300=3,"B",X300=2,"C",X300=1,"D")</f>
        <v>D</v>
      </c>
      <c r="AA300" s="177"/>
    </row>
    <row r="301" spans="1:27" customFormat="1" ht="18" customHeight="1">
      <c r="N301" s="2"/>
      <c r="O301" s="2"/>
      <c r="P301" s="2"/>
      <c r="R301" s="131">
        <f t="shared" si="152"/>
        <v>0</v>
      </c>
      <c r="S301" s="260"/>
      <c r="T301" s="131">
        <f t="shared" si="153"/>
        <v>0</v>
      </c>
      <c r="U301" s="131">
        <f t="shared" ref="U301" si="158">IF(AND(J301="実施済",K301="実施済"),$T301*1,0)</f>
        <v>0</v>
      </c>
      <c r="V301" s="260"/>
      <c r="W301" s="131" t="str">
        <f t="shared" si="156"/>
        <v/>
      </c>
      <c r="X301" s="131">
        <f t="shared" si="154"/>
        <v>1</v>
      </c>
      <c r="Y301" s="131">
        <f t="shared" si="157"/>
        <v>1</v>
      </c>
      <c r="Z301" s="131" t="str" cm="1">
        <f t="array" ref="Z301">_xlfn.IFS(X301=4,"A",X301=3,"B",X301=2,"C",X301=1,"D")</f>
        <v>D</v>
      </c>
      <c r="AA301" s="177"/>
    </row>
    <row r="302" spans="1:27" customFormat="1" ht="103.5" customHeight="1">
      <c r="C302" s="78"/>
      <c r="D302" s="79"/>
      <c r="E302" s="71" t="s">
        <v>238</v>
      </c>
      <c r="F302" s="1057"/>
      <c r="G302" s="1057"/>
      <c r="H302" s="1057"/>
      <c r="I302" s="1057"/>
      <c r="J302" s="1057"/>
      <c r="K302" s="1057"/>
      <c r="L302" s="1057"/>
      <c r="M302" s="80" t="s">
        <v>132</v>
      </c>
      <c r="N302" s="80"/>
    </row>
    <row r="303" spans="1:27" customFormat="1" ht="146.25" customHeight="1">
      <c r="C303" s="75"/>
      <c r="D303" s="68"/>
      <c r="E303" s="71" t="s">
        <v>237</v>
      </c>
      <c r="F303" s="1057"/>
      <c r="G303" s="1057"/>
      <c r="H303" s="1057"/>
      <c r="I303" s="1057"/>
      <c r="J303" s="1057"/>
      <c r="K303" s="1057"/>
      <c r="L303" s="1057"/>
      <c r="N303" s="2"/>
      <c r="O303" s="2"/>
      <c r="P303" s="2"/>
    </row>
    <row r="304" spans="1:27" customFormat="1" ht="13.5" customHeight="1" thickBot="1">
      <c r="A304" s="81"/>
      <c r="B304" s="81"/>
      <c r="C304" s="81"/>
      <c r="D304" s="81"/>
      <c r="E304" s="81"/>
      <c r="F304" s="81"/>
      <c r="G304" s="81"/>
      <c r="H304" s="81"/>
      <c r="I304" s="81"/>
      <c r="J304" s="81"/>
      <c r="K304" s="81"/>
      <c r="L304" s="81"/>
      <c r="M304" s="81"/>
      <c r="N304" s="82"/>
      <c r="O304" s="2"/>
      <c r="P304" s="2"/>
    </row>
    <row r="305" spans="1:27" customFormat="1" ht="13.5" customHeight="1">
      <c r="A305" s="83"/>
      <c r="B305" s="83"/>
      <c r="C305" s="83"/>
      <c r="D305" s="83"/>
      <c r="E305" s="83"/>
      <c r="F305" s="83"/>
      <c r="G305" s="83"/>
      <c r="H305" s="83"/>
      <c r="I305" s="83"/>
      <c r="J305" s="83"/>
      <c r="K305" s="83"/>
      <c r="L305" s="83"/>
      <c r="M305" s="83"/>
      <c r="N305" s="84"/>
      <c r="O305" s="2"/>
      <c r="P305" s="2"/>
    </row>
    <row r="306" spans="1:27" customFormat="1" ht="15" customHeight="1">
      <c r="B306" s="10"/>
      <c r="C306" s="5"/>
      <c r="D306" s="5"/>
      <c r="E306" s="5"/>
      <c r="F306" s="5"/>
      <c r="G306" s="5"/>
      <c r="H306" s="5"/>
      <c r="I306" s="5"/>
      <c r="J306" s="5"/>
      <c r="K306" s="5"/>
      <c r="L306" s="5"/>
      <c r="M306" s="6"/>
      <c r="R306" s="11" t="str">
        <f>D307</f>
        <v>(選択してください)</v>
      </c>
    </row>
    <row r="307" spans="1:27" customFormat="1">
      <c r="B307" s="7"/>
      <c r="C307" s="77" t="str">
        <f ca="1">IFERROR(OFFSET('4.2民生電力需要量'!$C$1,MATCH(D307,'4.2民生電力需要量'!$E:$E,0)-1,0),"")</f>
        <v/>
      </c>
      <c r="D307" s="96" t="s">
        <v>130</v>
      </c>
      <c r="E307" s="72" t="s">
        <v>131</v>
      </c>
      <c r="F307" s="1063" t="str">
        <f ca="1">IFERROR(OFFSET('4.2民生電力需要量'!$G$1,MATCH($D307,'4.2民生電力需要量'!$E:$E,0)-1,0),"")</f>
        <v/>
      </c>
      <c r="G307" s="1063"/>
      <c r="H307" s="1063"/>
      <c r="I307" s="1063"/>
      <c r="J307" s="1063"/>
      <c r="K307" s="1063"/>
      <c r="L307" s="1063"/>
      <c r="M307" s="8"/>
      <c r="R307" s="257" t="str">
        <f ca="1">IFERROR(OFFSET('4.2民生電力需要量'!$G$1,MATCH($D307,'4.2民生電力需要量'!$E:$E,0)-1,0),"")</f>
        <v/>
      </c>
      <c r="S307" s="177"/>
      <c r="T307" s="177"/>
      <c r="U307" s="177"/>
      <c r="V307" s="177"/>
      <c r="W307" s="177"/>
      <c r="X307" s="177"/>
      <c r="Y307" s="177"/>
      <c r="Z307" s="177"/>
      <c r="AA307" s="177">
        <f ca="1">(F307=R307)*1</f>
        <v>1</v>
      </c>
    </row>
    <row r="308" spans="1:27" customFormat="1">
      <c r="B308" s="7"/>
      <c r="C308" s="74"/>
      <c r="D308" s="66"/>
      <c r="E308" s="72" t="s">
        <v>221</v>
      </c>
      <c r="F308" s="1062" t="str">
        <f ca="1">IFERROR(OFFSET('4.2民生電力需要量'!$I$1,MATCH($D307,'4.2民生電力需要量'!$E:$E,0)-1,0),"")</f>
        <v/>
      </c>
      <c r="G308" s="1062"/>
      <c r="H308" s="1062"/>
      <c r="I308" s="1062"/>
      <c r="J308" s="1062"/>
      <c r="K308" s="1062"/>
      <c r="L308" s="1062"/>
      <c r="M308" s="8"/>
      <c r="R308" s="257" t="str">
        <f ca="1">IFERROR(OFFSET('4.2民生電力需要量'!$I$1,MATCH($D307,'4.2民生電力需要量'!$E:$E,0)-1,0),"")</f>
        <v/>
      </c>
      <c r="S308" s="177"/>
      <c r="T308" s="177"/>
      <c r="U308" s="177"/>
      <c r="V308" s="177"/>
      <c r="W308" s="177"/>
      <c r="X308" s="177"/>
      <c r="Y308" s="177"/>
      <c r="Z308" s="177"/>
      <c r="AA308" s="177">
        <f t="shared" ref="AA308:AA309" ca="1" si="159">(F308=R308)*1</f>
        <v>1</v>
      </c>
    </row>
    <row r="309" spans="1:27" customFormat="1">
      <c r="B309" s="7"/>
      <c r="C309" s="74"/>
      <c r="D309" s="66"/>
      <c r="E309" s="72" t="s">
        <v>176</v>
      </c>
      <c r="F309" s="1063" t="str">
        <f>_xlfn.IFNA(R309,"")</f>
        <v/>
      </c>
      <c r="G309" s="1063"/>
      <c r="H309" s="1063"/>
      <c r="I309" s="1063"/>
      <c r="J309" s="1063"/>
      <c r="K309" s="1063"/>
      <c r="L309" s="1063"/>
      <c r="M309" s="8"/>
      <c r="R309" s="131" t="str">
        <f>IF(OR(COUNTIF($E311:$E316,"&lt;&gt;〇〇(合意形成対象者名に書き換え)")=3,COUNTIF($E311:$E316,"")&gt;3),"",IF(PRODUCT($Y311:$Y316)=1,Z311,""))</f>
        <v/>
      </c>
      <c r="S309" s="177"/>
      <c r="T309" s="177"/>
      <c r="U309" s="177"/>
      <c r="V309" s="177"/>
      <c r="W309" s="177"/>
      <c r="X309" s="177"/>
      <c r="Y309" s="177"/>
      <c r="Z309" s="177"/>
      <c r="AA309" s="177">
        <f t="shared" si="159"/>
        <v>1</v>
      </c>
    </row>
    <row r="310" spans="1:27" ht="63.75" customHeight="1">
      <c r="B310" s="97"/>
      <c r="C310" s="98"/>
      <c r="D310" s="99"/>
      <c r="E310" s="374"/>
      <c r="F310" s="315" t="s">
        <v>270</v>
      </c>
      <c r="G310" s="315" t="s">
        <v>273</v>
      </c>
      <c r="H310" s="315" t="s">
        <v>274</v>
      </c>
      <c r="I310" s="315" t="s">
        <v>271</v>
      </c>
      <c r="J310" s="315" t="s">
        <v>440</v>
      </c>
      <c r="K310" s="315" t="s">
        <v>441</v>
      </c>
      <c r="L310" s="315" t="s">
        <v>272</v>
      </c>
      <c r="M310" s="100"/>
      <c r="N310" s="11"/>
      <c r="R310" s="128" t="s">
        <v>302</v>
      </c>
      <c r="S310" s="259" t="s">
        <v>429</v>
      </c>
      <c r="T310" s="128" t="s">
        <v>430</v>
      </c>
      <c r="U310" s="298" t="s">
        <v>442</v>
      </c>
      <c r="V310" s="258" t="s">
        <v>272</v>
      </c>
      <c r="W310" s="128" t="s">
        <v>432</v>
      </c>
      <c r="X310" s="131" t="s">
        <v>408</v>
      </c>
      <c r="Y310" s="131" t="s">
        <v>436</v>
      </c>
      <c r="Z310" s="128" t="s">
        <v>431</v>
      </c>
      <c r="AA310" s="257"/>
    </row>
    <row r="311" spans="1:27" hidden="1">
      <c r="B311" s="97"/>
      <c r="C311" s="98"/>
      <c r="D311" s="99"/>
      <c r="E311" s="444"/>
      <c r="F311" s="445"/>
      <c r="G311" s="441"/>
      <c r="H311" s="445"/>
      <c r="I311" s="441"/>
      <c r="J311" s="445"/>
      <c r="K311" s="441"/>
      <c r="L311" s="446"/>
      <c r="M311" s="100"/>
      <c r="N311" s="11"/>
      <c r="R311" s="131">
        <f t="shared" ref="R311:R316" si="160">IF(F311="実施済",1,0)</f>
        <v>0</v>
      </c>
      <c r="S311" s="260"/>
      <c r="T311" s="131">
        <f t="shared" ref="T311:T316" si="161">IF(AND(H311="実施済",I311="実施済"),R311*1,0)</f>
        <v>0</v>
      </c>
      <c r="U311" s="131">
        <f>IF(AND(J311="実施済",K311="実施済"),$T311*1,0)</f>
        <v>0</v>
      </c>
      <c r="V311" s="260"/>
      <c r="W311" s="131" t="str">
        <f>IF(OR(E311="〇〇(合意形成対象者名に書き換え)",E311=""),"",SUM(R311,T311,U311))</f>
        <v/>
      </c>
      <c r="X311" s="131">
        <f t="shared" ref="X311:X316" si="162">MIN($W$311:$W$316)+1</f>
        <v>1</v>
      </c>
      <c r="Y311" s="131">
        <f>IF(E311="",1,IF(AND(E311="〇〇(合意形成対象者名に書き換え)",COUNTA($F311:$L311)=0),1,IF(AND(E311&lt;&gt;"〇〇(合意形成対象者名に書き換え)",COUNTA($F311:$L311)=7),1,0)))</f>
        <v>1</v>
      </c>
      <c r="Z311" s="131" t="str" cm="1">
        <f t="array" ref="Z311">_xlfn.IFS(X311=4,"A",X311=3,"B",X311=2,"C",X311=1,"D")</f>
        <v>D</v>
      </c>
      <c r="AA311" s="257"/>
    </row>
    <row r="312" spans="1:27">
      <c r="B312" s="97"/>
      <c r="C312" s="98"/>
      <c r="D312" s="99"/>
      <c r="E312" s="450" t="s">
        <v>129</v>
      </c>
      <c r="F312" s="449"/>
      <c r="G312" s="443"/>
      <c r="H312" s="449"/>
      <c r="I312" s="443"/>
      <c r="J312" s="449"/>
      <c r="K312" s="443"/>
      <c r="L312" s="443"/>
      <c r="M312" s="100"/>
      <c r="N312" s="11"/>
      <c r="R312" s="131">
        <f t="shared" si="160"/>
        <v>0</v>
      </c>
      <c r="S312" s="260"/>
      <c r="T312" s="131">
        <f t="shared" si="161"/>
        <v>0</v>
      </c>
      <c r="U312" s="131">
        <f t="shared" ref="U312:U314" si="163">IF(AND(J312="実施済",K312="実施済"),$T312*1,0)</f>
        <v>0</v>
      </c>
      <c r="V312" s="260"/>
      <c r="W312" s="131" t="str">
        <f t="shared" ref="W312:W316" si="164">IF(OR(E312="〇〇(合意形成対象者名に書き換え)",E312=""),"",SUM(R312,T312,U312))</f>
        <v/>
      </c>
      <c r="X312" s="131">
        <f t="shared" si="162"/>
        <v>1</v>
      </c>
      <c r="Y312" s="131">
        <f t="shared" ref="Y312:Y316" si="165">IF(E312="",1,IF(AND(E312="〇〇(合意形成対象者名に書き換え)",COUNTA($F312:$L312)=0),1,IF(AND(E312&lt;&gt;"〇〇(合意形成対象者名に書き換え)",COUNTA($F312:$L312)=7),1,0)))</f>
        <v>1</v>
      </c>
      <c r="Z312" s="131" t="str" cm="1">
        <f t="array" ref="Z312">_xlfn.IFS(X312=4,"A",X312=3,"B",X312=2,"C",X312=1,"D")</f>
        <v>D</v>
      </c>
      <c r="AA312" s="257"/>
    </row>
    <row r="313" spans="1:27">
      <c r="B313" s="97"/>
      <c r="C313" s="98"/>
      <c r="D313" s="99"/>
      <c r="E313" s="450" t="s">
        <v>129</v>
      </c>
      <c r="F313" s="449"/>
      <c r="G313" s="443"/>
      <c r="H313" s="449"/>
      <c r="I313" s="443"/>
      <c r="J313" s="449"/>
      <c r="K313" s="443"/>
      <c r="L313" s="443"/>
      <c r="M313" s="100"/>
      <c r="N313" s="11"/>
      <c r="R313" s="131">
        <f t="shared" si="160"/>
        <v>0</v>
      </c>
      <c r="S313" s="260"/>
      <c r="T313" s="131">
        <f t="shared" si="161"/>
        <v>0</v>
      </c>
      <c r="U313" s="131">
        <f t="shared" si="163"/>
        <v>0</v>
      </c>
      <c r="V313" s="260"/>
      <c r="W313" s="131" t="str">
        <f t="shared" si="164"/>
        <v/>
      </c>
      <c r="X313" s="131">
        <f t="shared" si="162"/>
        <v>1</v>
      </c>
      <c r="Y313" s="131">
        <f t="shared" si="165"/>
        <v>1</v>
      </c>
      <c r="Z313" s="131" t="str" cm="1">
        <f t="array" ref="Z313">_xlfn.IFS(X313=4,"A",X313=3,"B",X313=2,"C",X313=1,"D")</f>
        <v>D</v>
      </c>
      <c r="AA313" s="257"/>
    </row>
    <row r="314" spans="1:27" s="101" customFormat="1">
      <c r="A314" s="11"/>
      <c r="B314" s="97"/>
      <c r="C314" s="98"/>
      <c r="D314" s="99"/>
      <c r="E314" s="450" t="s">
        <v>129</v>
      </c>
      <c r="F314" s="449"/>
      <c r="G314" s="443"/>
      <c r="H314" s="449"/>
      <c r="I314" s="443"/>
      <c r="J314" s="449"/>
      <c r="K314" s="443"/>
      <c r="L314" s="443"/>
      <c r="M314" s="100"/>
      <c r="N314" s="11"/>
      <c r="Q314" s="11"/>
      <c r="R314" s="131">
        <f t="shared" si="160"/>
        <v>0</v>
      </c>
      <c r="S314" s="260"/>
      <c r="T314" s="131">
        <f t="shared" si="161"/>
        <v>0</v>
      </c>
      <c r="U314" s="131">
        <f t="shared" si="163"/>
        <v>0</v>
      </c>
      <c r="V314" s="260"/>
      <c r="W314" s="131" t="str">
        <f t="shared" si="164"/>
        <v/>
      </c>
      <c r="X314" s="131">
        <f t="shared" si="162"/>
        <v>1</v>
      </c>
      <c r="Y314" s="131">
        <f t="shared" si="165"/>
        <v>1</v>
      </c>
      <c r="Z314" s="131" t="str" cm="1">
        <f t="array" ref="Z314">_xlfn.IFS(X314=4,"A",X314=3,"B",X314=2,"C",X314=1,"D")</f>
        <v>D</v>
      </c>
      <c r="AA314" s="131"/>
    </row>
    <row r="315" spans="1:27" customFormat="1" ht="7.5" customHeight="1">
      <c r="B315" s="65"/>
      <c r="C315" s="4"/>
      <c r="D315" s="4"/>
      <c r="E315" s="4"/>
      <c r="F315" s="4"/>
      <c r="G315" s="4"/>
      <c r="H315" s="4"/>
      <c r="I315" s="4"/>
      <c r="J315" s="4"/>
      <c r="K315" s="4"/>
      <c r="L315" s="4"/>
      <c r="M315" s="9"/>
      <c r="N315" s="2"/>
      <c r="O315" s="2"/>
      <c r="P315" s="2"/>
      <c r="R315" s="131">
        <f t="shared" si="160"/>
        <v>0</v>
      </c>
      <c r="S315" s="260"/>
      <c r="T315" s="131">
        <f t="shared" si="161"/>
        <v>0</v>
      </c>
      <c r="U315" s="131">
        <f>IF(AND(J315="実施済",K315="実施済"),$T315*1,0)</f>
        <v>0</v>
      </c>
      <c r="V315" s="260"/>
      <c r="W315" s="131" t="str">
        <f t="shared" si="164"/>
        <v/>
      </c>
      <c r="X315" s="131">
        <f t="shared" si="162"/>
        <v>1</v>
      </c>
      <c r="Y315" s="131">
        <f t="shared" si="165"/>
        <v>1</v>
      </c>
      <c r="Z315" s="131" t="str" cm="1">
        <f t="array" ref="Z315">_xlfn.IFS(X315=4,"A",X315=3,"B",X315=2,"C",X315=1,"D")</f>
        <v>D</v>
      </c>
      <c r="AA315" s="177"/>
    </row>
    <row r="316" spans="1:27" customFormat="1" ht="18" customHeight="1">
      <c r="N316" s="2"/>
      <c r="O316" s="2"/>
      <c r="P316" s="2"/>
      <c r="R316" s="131">
        <f t="shared" si="160"/>
        <v>0</v>
      </c>
      <c r="S316" s="260"/>
      <c r="T316" s="131">
        <f t="shared" si="161"/>
        <v>0</v>
      </c>
      <c r="U316" s="131">
        <f t="shared" ref="U316" si="166">IF(AND(J316="実施済",K316="実施済"),$T316*1,0)</f>
        <v>0</v>
      </c>
      <c r="V316" s="260"/>
      <c r="W316" s="131" t="str">
        <f t="shared" si="164"/>
        <v/>
      </c>
      <c r="X316" s="131">
        <f t="shared" si="162"/>
        <v>1</v>
      </c>
      <c r="Y316" s="131">
        <f t="shared" si="165"/>
        <v>1</v>
      </c>
      <c r="Z316" s="131" t="str" cm="1">
        <f t="array" ref="Z316">_xlfn.IFS(X316=4,"A",X316=3,"B",X316=2,"C",X316=1,"D")</f>
        <v>D</v>
      </c>
      <c r="AA316" s="177"/>
    </row>
    <row r="317" spans="1:27" customFormat="1" ht="103.5" customHeight="1">
      <c r="C317" s="78"/>
      <c r="D317" s="79"/>
      <c r="E317" s="71" t="s">
        <v>238</v>
      </c>
      <c r="F317" s="1057"/>
      <c r="G317" s="1057"/>
      <c r="H317" s="1057"/>
      <c r="I317" s="1057"/>
      <c r="J317" s="1057"/>
      <c r="K317" s="1057"/>
      <c r="L317" s="1057"/>
      <c r="M317" s="80" t="s">
        <v>132</v>
      </c>
      <c r="N317" s="80"/>
    </row>
    <row r="318" spans="1:27" customFormat="1" ht="146.25" customHeight="1">
      <c r="C318" s="75"/>
      <c r="D318" s="68"/>
      <c r="E318" s="71" t="s">
        <v>237</v>
      </c>
      <c r="F318" s="1057"/>
      <c r="G318" s="1057"/>
      <c r="H318" s="1057"/>
      <c r="I318" s="1057"/>
      <c r="J318" s="1057"/>
      <c r="K318" s="1057"/>
      <c r="L318" s="1057"/>
      <c r="N318" s="2"/>
      <c r="O318" s="2"/>
      <c r="P318" s="2"/>
    </row>
    <row r="319" spans="1:27" customFormat="1" ht="13.5" customHeight="1" thickBot="1">
      <c r="A319" s="81"/>
      <c r="B319" s="81"/>
      <c r="C319" s="81"/>
      <c r="D319" s="81"/>
      <c r="E319" s="81"/>
      <c r="F319" s="81"/>
      <c r="G319" s="81"/>
      <c r="H319" s="81"/>
      <c r="I319" s="81"/>
      <c r="J319" s="81"/>
      <c r="K319" s="81"/>
      <c r="L319" s="81"/>
      <c r="M319" s="81"/>
      <c r="N319" s="82"/>
      <c r="O319" s="2"/>
      <c r="P319" s="2"/>
    </row>
    <row r="320" spans="1:27" customFormat="1" ht="13.5" customHeight="1">
      <c r="A320" s="83"/>
      <c r="B320" s="83"/>
      <c r="C320" s="83"/>
      <c r="D320" s="83"/>
      <c r="E320" s="83"/>
      <c r="F320" s="83"/>
      <c r="G320" s="83"/>
      <c r="H320" s="83"/>
      <c r="I320" s="83"/>
      <c r="J320" s="83"/>
      <c r="K320" s="83"/>
      <c r="L320" s="83"/>
      <c r="M320" s="83"/>
      <c r="N320" s="84"/>
      <c r="O320" s="2"/>
      <c r="P320" s="2"/>
    </row>
    <row r="321" spans="1:27" customFormat="1" ht="15" customHeight="1">
      <c r="B321" s="10"/>
      <c r="C321" s="5"/>
      <c r="D321" s="5"/>
      <c r="E321" s="5"/>
      <c r="F321" s="5"/>
      <c r="G321" s="5"/>
      <c r="H321" s="5"/>
      <c r="I321" s="5"/>
      <c r="J321" s="5"/>
      <c r="K321" s="5"/>
      <c r="L321" s="5"/>
      <c r="M321" s="6"/>
      <c r="R321" s="11" t="str">
        <f>D322</f>
        <v>(選択してください)</v>
      </c>
    </row>
    <row r="322" spans="1:27" customFormat="1">
      <c r="B322" s="7"/>
      <c r="C322" s="77" t="str">
        <f ca="1">IFERROR(OFFSET('4.2民生電力需要量'!$C$1,MATCH(D322,'4.2民生電力需要量'!$E:$E,0)-1,0),"")</f>
        <v/>
      </c>
      <c r="D322" s="96" t="s">
        <v>130</v>
      </c>
      <c r="E322" s="72" t="s">
        <v>131</v>
      </c>
      <c r="F322" s="1063" t="str">
        <f ca="1">IFERROR(OFFSET('4.2民生電力需要量'!$G$1,MATCH($D322,'4.2民生電力需要量'!$E:$E,0)-1,0),"")</f>
        <v/>
      </c>
      <c r="G322" s="1063"/>
      <c r="H322" s="1063"/>
      <c r="I322" s="1063"/>
      <c r="J322" s="1063"/>
      <c r="K322" s="1063"/>
      <c r="L322" s="1063"/>
      <c r="M322" s="8"/>
      <c r="R322" s="257" t="str">
        <f ca="1">IFERROR(OFFSET('4.2民生電力需要量'!$G$1,MATCH($D322,'4.2民生電力需要量'!$E:$E,0)-1,0),"")</f>
        <v/>
      </c>
      <c r="S322" s="177"/>
      <c r="T322" s="177"/>
      <c r="U322" s="177"/>
      <c r="V322" s="177"/>
      <c r="W322" s="177"/>
      <c r="X322" s="177"/>
      <c r="Y322" s="177"/>
      <c r="Z322" s="177"/>
      <c r="AA322" s="177">
        <f ca="1">(F322=R322)*1</f>
        <v>1</v>
      </c>
    </row>
    <row r="323" spans="1:27" customFormat="1">
      <c r="B323" s="7"/>
      <c r="C323" s="74"/>
      <c r="D323" s="66"/>
      <c r="E323" s="72" t="s">
        <v>221</v>
      </c>
      <c r="F323" s="1062" t="str">
        <f ca="1">IFERROR(OFFSET('4.2民生電力需要量'!$I$1,MATCH($D322,'4.2民生電力需要量'!$E:$E,0)-1,0),"")</f>
        <v/>
      </c>
      <c r="G323" s="1062"/>
      <c r="H323" s="1062"/>
      <c r="I323" s="1062"/>
      <c r="J323" s="1062"/>
      <c r="K323" s="1062"/>
      <c r="L323" s="1062"/>
      <c r="M323" s="8"/>
      <c r="R323" s="257" t="str">
        <f ca="1">IFERROR(OFFSET('4.2民生電力需要量'!$I$1,MATCH($D322,'4.2民生電力需要量'!$E:$E,0)-1,0),"")</f>
        <v/>
      </c>
      <c r="S323" s="177"/>
      <c r="T323" s="177"/>
      <c r="U323" s="177"/>
      <c r="V323" s="177"/>
      <c r="W323" s="177"/>
      <c r="X323" s="177"/>
      <c r="Y323" s="177"/>
      <c r="Z323" s="177"/>
      <c r="AA323" s="177">
        <f t="shared" ref="AA323:AA324" ca="1" si="167">(F323=R323)*1</f>
        <v>1</v>
      </c>
    </row>
    <row r="324" spans="1:27" customFormat="1">
      <c r="B324" s="7"/>
      <c r="C324" s="74"/>
      <c r="D324" s="66"/>
      <c r="E324" s="72" t="s">
        <v>176</v>
      </c>
      <c r="F324" s="1063" t="str">
        <f>_xlfn.IFNA(R324,"")</f>
        <v/>
      </c>
      <c r="G324" s="1063"/>
      <c r="H324" s="1063"/>
      <c r="I324" s="1063"/>
      <c r="J324" s="1063"/>
      <c r="K324" s="1063"/>
      <c r="L324" s="1063"/>
      <c r="M324" s="8"/>
      <c r="R324" s="131" t="str">
        <f>IF(OR(COUNTIF($E326:$E331,"&lt;&gt;〇〇(合意形成対象者名に書き換え)")=3,COUNTIF($E326:$E331,"")&gt;3),"",IF(PRODUCT($Y326:$Y331)=1,Z326,""))</f>
        <v/>
      </c>
      <c r="S324" s="177"/>
      <c r="T324" s="177"/>
      <c r="U324" s="177"/>
      <c r="V324" s="177"/>
      <c r="W324" s="177"/>
      <c r="X324" s="177"/>
      <c r="Y324" s="177"/>
      <c r="Z324" s="177"/>
      <c r="AA324" s="177">
        <f t="shared" si="167"/>
        <v>1</v>
      </c>
    </row>
    <row r="325" spans="1:27" ht="63.75" customHeight="1">
      <c r="B325" s="97"/>
      <c r="C325" s="98"/>
      <c r="D325" s="99"/>
      <c r="E325" s="374"/>
      <c r="F325" s="315" t="s">
        <v>270</v>
      </c>
      <c r="G325" s="315" t="s">
        <v>273</v>
      </c>
      <c r="H325" s="315" t="s">
        <v>274</v>
      </c>
      <c r="I325" s="315" t="s">
        <v>271</v>
      </c>
      <c r="J325" s="315" t="s">
        <v>440</v>
      </c>
      <c r="K325" s="315" t="s">
        <v>441</v>
      </c>
      <c r="L325" s="315" t="s">
        <v>272</v>
      </c>
      <c r="M325" s="100"/>
      <c r="N325" s="11"/>
      <c r="R325" s="128" t="s">
        <v>302</v>
      </c>
      <c r="S325" s="259" t="s">
        <v>429</v>
      </c>
      <c r="T325" s="128" t="s">
        <v>430</v>
      </c>
      <c r="U325" s="298" t="s">
        <v>442</v>
      </c>
      <c r="V325" s="258" t="s">
        <v>272</v>
      </c>
      <c r="W325" s="128" t="s">
        <v>432</v>
      </c>
      <c r="X325" s="131" t="s">
        <v>408</v>
      </c>
      <c r="Y325" s="131" t="s">
        <v>436</v>
      </c>
      <c r="Z325" s="128" t="s">
        <v>431</v>
      </c>
      <c r="AA325" s="257"/>
    </row>
    <row r="326" spans="1:27" hidden="1">
      <c r="B326" s="97"/>
      <c r="C326" s="98"/>
      <c r="D326" s="99"/>
      <c r="E326" s="444"/>
      <c r="F326" s="445"/>
      <c r="G326" s="441"/>
      <c r="H326" s="445"/>
      <c r="I326" s="441"/>
      <c r="J326" s="445"/>
      <c r="K326" s="441"/>
      <c r="L326" s="446"/>
      <c r="M326" s="100"/>
      <c r="N326" s="11"/>
      <c r="R326" s="131">
        <f t="shared" ref="R326:R331" si="168">IF(F326="実施済",1,0)</f>
        <v>0</v>
      </c>
      <c r="S326" s="260"/>
      <c r="T326" s="131">
        <f t="shared" ref="T326:T331" si="169">IF(AND(H326="実施済",I326="実施済"),R326*1,0)</f>
        <v>0</v>
      </c>
      <c r="U326" s="131">
        <f>IF(AND(J326="実施済",K326="実施済"),$T326*1,0)</f>
        <v>0</v>
      </c>
      <c r="V326" s="260"/>
      <c r="W326" s="131" t="str">
        <f>IF(OR(E326="〇〇(合意形成対象者名に書き換え)",E326=""),"",SUM(R326,T326,U326))</f>
        <v/>
      </c>
      <c r="X326" s="131">
        <f t="shared" ref="X326:X331" si="170">MIN($W$326:$W$331)+1</f>
        <v>1</v>
      </c>
      <c r="Y326" s="131">
        <f>IF(E326="",1,IF(AND(E326="〇〇(合意形成対象者名に書き換え)",COUNTA($F326:$L326)=0),1,IF(AND(E326&lt;&gt;"〇〇(合意形成対象者名に書き換え)",COUNTA($F326:$L326)=7),1,0)))</f>
        <v>1</v>
      </c>
      <c r="Z326" s="131" t="str" cm="1">
        <f t="array" ref="Z326">_xlfn.IFS(X326=4,"A",X326=3,"B",X326=2,"C",X326=1,"D")</f>
        <v>D</v>
      </c>
      <c r="AA326" s="257"/>
    </row>
    <row r="327" spans="1:27">
      <c r="B327" s="97"/>
      <c r="C327" s="98"/>
      <c r="D327" s="99"/>
      <c r="E327" s="450" t="s">
        <v>129</v>
      </c>
      <c r="F327" s="449"/>
      <c r="G327" s="443"/>
      <c r="H327" s="449"/>
      <c r="I327" s="443"/>
      <c r="J327" s="449"/>
      <c r="K327" s="443"/>
      <c r="L327" s="443"/>
      <c r="M327" s="100"/>
      <c r="N327" s="11"/>
      <c r="R327" s="131">
        <f t="shared" si="168"/>
        <v>0</v>
      </c>
      <c r="S327" s="260"/>
      <c r="T327" s="131">
        <f t="shared" si="169"/>
        <v>0</v>
      </c>
      <c r="U327" s="131">
        <f t="shared" ref="U327:U329" si="171">IF(AND(J327="実施済",K327="実施済"),$T327*1,0)</f>
        <v>0</v>
      </c>
      <c r="V327" s="260"/>
      <c r="W327" s="131" t="str">
        <f t="shared" ref="W327:W331" si="172">IF(OR(E327="〇〇(合意形成対象者名に書き換え)",E327=""),"",SUM(R327,T327,U327))</f>
        <v/>
      </c>
      <c r="X327" s="131">
        <f t="shared" si="170"/>
        <v>1</v>
      </c>
      <c r="Y327" s="131">
        <f t="shared" ref="Y327:Y331" si="173">IF(E327="",1,IF(AND(E327="〇〇(合意形成対象者名に書き換え)",COUNTA($F327:$L327)=0),1,IF(AND(E327&lt;&gt;"〇〇(合意形成対象者名に書き換え)",COUNTA($F327:$L327)=7),1,0)))</f>
        <v>1</v>
      </c>
      <c r="Z327" s="131" t="str" cm="1">
        <f t="array" ref="Z327">_xlfn.IFS(X327=4,"A",X327=3,"B",X327=2,"C",X327=1,"D")</f>
        <v>D</v>
      </c>
      <c r="AA327" s="257"/>
    </row>
    <row r="328" spans="1:27">
      <c r="B328" s="97"/>
      <c r="C328" s="98"/>
      <c r="D328" s="99"/>
      <c r="E328" s="450" t="s">
        <v>129</v>
      </c>
      <c r="F328" s="449"/>
      <c r="G328" s="443"/>
      <c r="H328" s="449"/>
      <c r="I328" s="443"/>
      <c r="J328" s="449"/>
      <c r="K328" s="443"/>
      <c r="L328" s="443"/>
      <c r="M328" s="100"/>
      <c r="N328" s="11"/>
      <c r="R328" s="131">
        <f t="shared" si="168"/>
        <v>0</v>
      </c>
      <c r="S328" s="260"/>
      <c r="T328" s="131">
        <f t="shared" si="169"/>
        <v>0</v>
      </c>
      <c r="U328" s="131">
        <f t="shared" si="171"/>
        <v>0</v>
      </c>
      <c r="V328" s="260"/>
      <c r="W328" s="131" t="str">
        <f t="shared" si="172"/>
        <v/>
      </c>
      <c r="X328" s="131">
        <f t="shared" si="170"/>
        <v>1</v>
      </c>
      <c r="Y328" s="131">
        <f t="shared" si="173"/>
        <v>1</v>
      </c>
      <c r="Z328" s="131" t="str" cm="1">
        <f t="array" ref="Z328">_xlfn.IFS(X328=4,"A",X328=3,"B",X328=2,"C",X328=1,"D")</f>
        <v>D</v>
      </c>
      <c r="AA328" s="257"/>
    </row>
    <row r="329" spans="1:27" s="101" customFormat="1">
      <c r="A329" s="11"/>
      <c r="B329" s="97"/>
      <c r="C329" s="98"/>
      <c r="D329" s="99"/>
      <c r="E329" s="450" t="s">
        <v>129</v>
      </c>
      <c r="F329" s="449"/>
      <c r="G329" s="443"/>
      <c r="H329" s="449"/>
      <c r="I329" s="443"/>
      <c r="J329" s="449"/>
      <c r="K329" s="443"/>
      <c r="L329" s="443"/>
      <c r="M329" s="100"/>
      <c r="N329" s="11"/>
      <c r="Q329" s="11"/>
      <c r="R329" s="131">
        <f t="shared" si="168"/>
        <v>0</v>
      </c>
      <c r="S329" s="260"/>
      <c r="T329" s="131">
        <f t="shared" si="169"/>
        <v>0</v>
      </c>
      <c r="U329" s="131">
        <f t="shared" si="171"/>
        <v>0</v>
      </c>
      <c r="V329" s="260"/>
      <c r="W329" s="131" t="str">
        <f t="shared" si="172"/>
        <v/>
      </c>
      <c r="X329" s="131">
        <f t="shared" si="170"/>
        <v>1</v>
      </c>
      <c r="Y329" s="131">
        <f t="shared" si="173"/>
        <v>1</v>
      </c>
      <c r="Z329" s="131" t="str" cm="1">
        <f t="array" ref="Z329">_xlfn.IFS(X329=4,"A",X329=3,"B",X329=2,"C",X329=1,"D")</f>
        <v>D</v>
      </c>
      <c r="AA329" s="131"/>
    </row>
    <row r="330" spans="1:27" customFormat="1" ht="7.5" customHeight="1">
      <c r="B330" s="65"/>
      <c r="C330" s="4"/>
      <c r="D330" s="4"/>
      <c r="E330" s="4"/>
      <c r="F330" s="4"/>
      <c r="G330" s="4"/>
      <c r="H330" s="4"/>
      <c r="I330" s="4"/>
      <c r="J330" s="4"/>
      <c r="K330" s="4"/>
      <c r="L330" s="4"/>
      <c r="M330" s="9"/>
      <c r="N330" s="2"/>
      <c r="O330" s="2"/>
      <c r="P330" s="2"/>
      <c r="R330" s="131">
        <f t="shared" si="168"/>
        <v>0</v>
      </c>
      <c r="S330" s="260"/>
      <c r="T330" s="131">
        <f t="shared" si="169"/>
        <v>0</v>
      </c>
      <c r="U330" s="131">
        <f>IF(AND(J330="実施済",K330="実施済"),$T330*1,0)</f>
        <v>0</v>
      </c>
      <c r="V330" s="260"/>
      <c r="W330" s="131" t="str">
        <f t="shared" si="172"/>
        <v/>
      </c>
      <c r="X330" s="131">
        <f t="shared" si="170"/>
        <v>1</v>
      </c>
      <c r="Y330" s="131">
        <f t="shared" si="173"/>
        <v>1</v>
      </c>
      <c r="Z330" s="131" t="str" cm="1">
        <f t="array" ref="Z330">_xlfn.IFS(X330=4,"A",X330=3,"B",X330=2,"C",X330=1,"D")</f>
        <v>D</v>
      </c>
      <c r="AA330" s="177"/>
    </row>
    <row r="331" spans="1:27" customFormat="1" ht="18" customHeight="1">
      <c r="N331" s="2"/>
      <c r="O331" s="2"/>
      <c r="P331" s="2"/>
      <c r="R331" s="131">
        <f t="shared" si="168"/>
        <v>0</v>
      </c>
      <c r="S331" s="260"/>
      <c r="T331" s="131">
        <f t="shared" si="169"/>
        <v>0</v>
      </c>
      <c r="U331" s="131">
        <f t="shared" ref="U331" si="174">IF(AND(J331="実施済",K331="実施済"),$T331*1,0)</f>
        <v>0</v>
      </c>
      <c r="V331" s="260"/>
      <c r="W331" s="131" t="str">
        <f t="shared" si="172"/>
        <v/>
      </c>
      <c r="X331" s="131">
        <f t="shared" si="170"/>
        <v>1</v>
      </c>
      <c r="Y331" s="131">
        <f t="shared" si="173"/>
        <v>1</v>
      </c>
      <c r="Z331" s="131" t="str" cm="1">
        <f t="array" ref="Z331">_xlfn.IFS(X331=4,"A",X331=3,"B",X331=2,"C",X331=1,"D")</f>
        <v>D</v>
      </c>
      <c r="AA331" s="177"/>
    </row>
    <row r="332" spans="1:27" customFormat="1" ht="103.5" customHeight="1">
      <c r="C332" s="78"/>
      <c r="D332" s="79"/>
      <c r="E332" s="71" t="s">
        <v>238</v>
      </c>
      <c r="F332" s="1057"/>
      <c r="G332" s="1057"/>
      <c r="H332" s="1057"/>
      <c r="I332" s="1057"/>
      <c r="J332" s="1057"/>
      <c r="K332" s="1057"/>
      <c r="L332" s="1057"/>
      <c r="M332" s="80" t="s">
        <v>132</v>
      </c>
      <c r="N332" s="80"/>
    </row>
    <row r="333" spans="1:27" customFormat="1" ht="146.25" customHeight="1">
      <c r="C333" s="75"/>
      <c r="D333" s="68"/>
      <c r="E333" s="71" t="s">
        <v>237</v>
      </c>
      <c r="F333" s="1057"/>
      <c r="G333" s="1057"/>
      <c r="H333" s="1057"/>
      <c r="I333" s="1057"/>
      <c r="J333" s="1057"/>
      <c r="K333" s="1057"/>
      <c r="L333" s="1057"/>
      <c r="N333" s="2"/>
      <c r="O333" s="2"/>
      <c r="P333" s="2"/>
    </row>
    <row r="334" spans="1:27" customFormat="1" ht="13.5" customHeight="1" thickBot="1">
      <c r="A334" s="81"/>
      <c r="B334" s="81"/>
      <c r="C334" s="81"/>
      <c r="D334" s="81"/>
      <c r="E334" s="81"/>
      <c r="F334" s="81"/>
      <c r="G334" s="81"/>
      <c r="H334" s="81"/>
      <c r="I334" s="81"/>
      <c r="J334" s="81"/>
      <c r="K334" s="81"/>
      <c r="L334" s="81"/>
      <c r="M334" s="81"/>
      <c r="N334" s="82"/>
      <c r="O334" s="2"/>
      <c r="P334" s="2"/>
    </row>
    <row r="335" spans="1:27" customFormat="1" ht="13.5" customHeight="1">
      <c r="A335" s="83"/>
      <c r="B335" s="83"/>
      <c r="C335" s="83"/>
      <c r="D335" s="83"/>
      <c r="E335" s="83"/>
      <c r="F335" s="83"/>
      <c r="G335" s="83"/>
      <c r="H335" s="83"/>
      <c r="I335" s="83"/>
      <c r="J335" s="83"/>
      <c r="K335" s="83"/>
      <c r="L335" s="83"/>
      <c r="M335" s="83"/>
      <c r="N335" s="84"/>
      <c r="O335" s="2"/>
      <c r="P335" s="2"/>
    </row>
    <row r="336" spans="1:27" customFormat="1" ht="15" customHeight="1">
      <c r="B336" s="10"/>
      <c r="C336" s="5"/>
      <c r="D336" s="5"/>
      <c r="E336" s="5"/>
      <c r="F336" s="5"/>
      <c r="G336" s="5"/>
      <c r="H336" s="5"/>
      <c r="I336" s="5"/>
      <c r="J336" s="5"/>
      <c r="K336" s="5"/>
      <c r="L336" s="5"/>
      <c r="M336" s="6"/>
      <c r="R336" s="11" t="str">
        <f>D337</f>
        <v>(選択してください)</v>
      </c>
    </row>
    <row r="337" spans="1:27" customFormat="1">
      <c r="B337" s="7"/>
      <c r="C337" s="77" t="str">
        <f ca="1">IFERROR(OFFSET('4.2民生電力需要量'!$C$1,MATCH(D337,'4.2民生電力需要量'!$E:$E,0)-1,0),"")</f>
        <v/>
      </c>
      <c r="D337" s="96" t="s">
        <v>130</v>
      </c>
      <c r="E337" s="72" t="s">
        <v>131</v>
      </c>
      <c r="F337" s="1063" t="str">
        <f ca="1">IFERROR(OFFSET('4.2民生電力需要量'!$G$1,MATCH($D337,'4.2民生電力需要量'!$E:$E,0)-1,0),"")</f>
        <v/>
      </c>
      <c r="G337" s="1063"/>
      <c r="H337" s="1063"/>
      <c r="I337" s="1063"/>
      <c r="J337" s="1063"/>
      <c r="K337" s="1063"/>
      <c r="L337" s="1063"/>
      <c r="M337" s="8"/>
      <c r="R337" s="257" t="str">
        <f ca="1">IFERROR(OFFSET('4.2民生電力需要量'!$G$1,MATCH($D337,'4.2民生電力需要量'!$E:$E,0)-1,0),"")</f>
        <v/>
      </c>
      <c r="S337" s="177"/>
      <c r="T337" s="177"/>
      <c r="U337" s="177"/>
      <c r="V337" s="177"/>
      <c r="W337" s="177"/>
      <c r="X337" s="177"/>
      <c r="Y337" s="177"/>
      <c r="Z337" s="177"/>
      <c r="AA337" s="177">
        <f ca="1">(F337=R337)*1</f>
        <v>1</v>
      </c>
    </row>
    <row r="338" spans="1:27" customFormat="1">
      <c r="B338" s="7"/>
      <c r="C338" s="74"/>
      <c r="D338" s="66"/>
      <c r="E338" s="72" t="s">
        <v>221</v>
      </c>
      <c r="F338" s="1062" t="str">
        <f ca="1">IFERROR(OFFSET('4.2民生電力需要量'!$I$1,MATCH($D337,'4.2民生電力需要量'!$E:$E,0)-1,0),"")</f>
        <v/>
      </c>
      <c r="G338" s="1062"/>
      <c r="H338" s="1062"/>
      <c r="I338" s="1062"/>
      <c r="J338" s="1062"/>
      <c r="K338" s="1062"/>
      <c r="L338" s="1062"/>
      <c r="M338" s="8"/>
      <c r="R338" s="257" t="str">
        <f ca="1">IFERROR(OFFSET('4.2民生電力需要量'!$I$1,MATCH($D337,'4.2民生電力需要量'!$E:$E,0)-1,0),"")</f>
        <v/>
      </c>
      <c r="S338" s="177"/>
      <c r="T338" s="177"/>
      <c r="U338" s="177"/>
      <c r="V338" s="177"/>
      <c r="W338" s="177"/>
      <c r="X338" s="177"/>
      <c r="Y338" s="177"/>
      <c r="Z338" s="177"/>
      <c r="AA338" s="177">
        <f t="shared" ref="AA338:AA339" ca="1" si="175">(F338=R338)*1</f>
        <v>1</v>
      </c>
    </row>
    <row r="339" spans="1:27" customFormat="1">
      <c r="B339" s="7"/>
      <c r="C339" s="74"/>
      <c r="D339" s="66"/>
      <c r="E339" s="72" t="s">
        <v>176</v>
      </c>
      <c r="F339" s="1063" t="str">
        <f>_xlfn.IFNA(R339,"")</f>
        <v/>
      </c>
      <c r="G339" s="1063"/>
      <c r="H339" s="1063"/>
      <c r="I339" s="1063"/>
      <c r="J339" s="1063"/>
      <c r="K339" s="1063"/>
      <c r="L339" s="1063"/>
      <c r="M339" s="8"/>
      <c r="R339" s="131" t="str">
        <f>IF(OR(COUNTIF($E341:$E346,"&lt;&gt;〇〇(合意形成対象者名に書き換え)")=3,COUNTIF($E341:$E346,"")&gt;3),"",IF(PRODUCT($Y341:$Y346)=1,Z341,""))</f>
        <v/>
      </c>
      <c r="S339" s="177"/>
      <c r="T339" s="177"/>
      <c r="U339" s="177"/>
      <c r="V339" s="177"/>
      <c r="W339" s="177"/>
      <c r="X339" s="177"/>
      <c r="Y339" s="177"/>
      <c r="Z339" s="177"/>
      <c r="AA339" s="177">
        <f t="shared" si="175"/>
        <v>1</v>
      </c>
    </row>
    <row r="340" spans="1:27" ht="63.75" customHeight="1">
      <c r="B340" s="97"/>
      <c r="C340" s="98"/>
      <c r="D340" s="99"/>
      <c r="E340" s="374"/>
      <c r="F340" s="315" t="s">
        <v>270</v>
      </c>
      <c r="G340" s="315" t="s">
        <v>273</v>
      </c>
      <c r="H340" s="315" t="s">
        <v>274</v>
      </c>
      <c r="I340" s="315" t="s">
        <v>271</v>
      </c>
      <c r="J340" s="315" t="s">
        <v>440</v>
      </c>
      <c r="K340" s="315" t="s">
        <v>441</v>
      </c>
      <c r="L340" s="315" t="s">
        <v>272</v>
      </c>
      <c r="M340" s="100"/>
      <c r="N340" s="11"/>
      <c r="R340" s="128" t="s">
        <v>302</v>
      </c>
      <c r="S340" s="259" t="s">
        <v>429</v>
      </c>
      <c r="T340" s="128" t="s">
        <v>430</v>
      </c>
      <c r="U340" s="298" t="s">
        <v>442</v>
      </c>
      <c r="V340" s="258" t="s">
        <v>272</v>
      </c>
      <c r="W340" s="128" t="s">
        <v>432</v>
      </c>
      <c r="X340" s="131" t="s">
        <v>408</v>
      </c>
      <c r="Y340" s="131" t="s">
        <v>436</v>
      </c>
      <c r="Z340" s="128" t="s">
        <v>431</v>
      </c>
      <c r="AA340" s="257"/>
    </row>
    <row r="341" spans="1:27" hidden="1">
      <c r="B341" s="97"/>
      <c r="C341" s="98"/>
      <c r="D341" s="99"/>
      <c r="E341" s="444"/>
      <c r="F341" s="445"/>
      <c r="G341" s="441"/>
      <c r="H341" s="445"/>
      <c r="I341" s="441"/>
      <c r="J341" s="445"/>
      <c r="K341" s="441"/>
      <c r="L341" s="446"/>
      <c r="M341" s="100"/>
      <c r="N341" s="11"/>
      <c r="R341" s="131">
        <f t="shared" ref="R341:R346" si="176">IF(F341="実施済",1,0)</f>
        <v>0</v>
      </c>
      <c r="S341" s="260"/>
      <c r="T341" s="131">
        <f t="shared" ref="T341:T346" si="177">IF(AND(H341="実施済",I341="実施済"),R341*1,0)</f>
        <v>0</v>
      </c>
      <c r="U341" s="131">
        <f>IF(AND(J341="実施済",K341="実施済"),$T341*1,0)</f>
        <v>0</v>
      </c>
      <c r="V341" s="260"/>
      <c r="W341" s="131" t="str">
        <f>IF(OR(E341="〇〇(合意形成対象者名に書き換え)",E341=""),"",SUM(R341,T341,U341))</f>
        <v/>
      </c>
      <c r="X341" s="131">
        <f t="shared" ref="X341:X346" si="178">MIN($W$341:$W$346)+1</f>
        <v>1</v>
      </c>
      <c r="Y341" s="131">
        <f>IF(E341="",1,IF(AND(E341="〇〇(合意形成対象者名に書き換え)",COUNTA($F341:$L341)=0),1,IF(AND(E341&lt;&gt;"〇〇(合意形成対象者名に書き換え)",COUNTA($F341:$L341)=7),1,0)))</f>
        <v>1</v>
      </c>
      <c r="Z341" s="131" t="str" cm="1">
        <f t="array" ref="Z341">_xlfn.IFS(X341=4,"A",X341=3,"B",X341=2,"C",X341=1,"D")</f>
        <v>D</v>
      </c>
      <c r="AA341" s="257"/>
    </row>
    <row r="342" spans="1:27">
      <c r="B342" s="97"/>
      <c r="C342" s="98"/>
      <c r="D342" s="99"/>
      <c r="E342" s="450" t="s">
        <v>129</v>
      </c>
      <c r="F342" s="449"/>
      <c r="G342" s="443"/>
      <c r="H342" s="449"/>
      <c r="I342" s="443"/>
      <c r="J342" s="449"/>
      <c r="K342" s="443"/>
      <c r="L342" s="443"/>
      <c r="M342" s="100"/>
      <c r="N342" s="11"/>
      <c r="R342" s="131">
        <f t="shared" si="176"/>
        <v>0</v>
      </c>
      <c r="S342" s="260"/>
      <c r="T342" s="131">
        <f t="shared" si="177"/>
        <v>0</v>
      </c>
      <c r="U342" s="131">
        <f t="shared" ref="U342:U344" si="179">IF(AND(J342="実施済",K342="実施済"),$T342*1,0)</f>
        <v>0</v>
      </c>
      <c r="V342" s="260"/>
      <c r="W342" s="131" t="str">
        <f t="shared" ref="W342:W346" si="180">IF(OR(E342="〇〇(合意形成対象者名に書き換え)",E342=""),"",SUM(R342,T342,U342))</f>
        <v/>
      </c>
      <c r="X342" s="131">
        <f t="shared" si="178"/>
        <v>1</v>
      </c>
      <c r="Y342" s="131">
        <f t="shared" ref="Y342:Y346" si="181">IF(E342="",1,IF(AND(E342="〇〇(合意形成対象者名に書き換え)",COUNTA($F342:$L342)=0),1,IF(AND(E342&lt;&gt;"〇〇(合意形成対象者名に書き換え)",COUNTA($F342:$L342)=7),1,0)))</f>
        <v>1</v>
      </c>
      <c r="Z342" s="131" t="str" cm="1">
        <f t="array" ref="Z342">_xlfn.IFS(X342=4,"A",X342=3,"B",X342=2,"C",X342=1,"D")</f>
        <v>D</v>
      </c>
      <c r="AA342" s="257"/>
    </row>
    <row r="343" spans="1:27">
      <c r="B343" s="97"/>
      <c r="C343" s="98"/>
      <c r="D343" s="99"/>
      <c r="E343" s="450" t="s">
        <v>129</v>
      </c>
      <c r="F343" s="449"/>
      <c r="G343" s="443"/>
      <c r="H343" s="449"/>
      <c r="I343" s="443"/>
      <c r="J343" s="449"/>
      <c r="K343" s="443"/>
      <c r="L343" s="443"/>
      <c r="M343" s="100"/>
      <c r="N343" s="11"/>
      <c r="R343" s="131">
        <f t="shared" si="176"/>
        <v>0</v>
      </c>
      <c r="S343" s="260"/>
      <c r="T343" s="131">
        <f t="shared" si="177"/>
        <v>0</v>
      </c>
      <c r="U343" s="131">
        <f t="shared" si="179"/>
        <v>0</v>
      </c>
      <c r="V343" s="260"/>
      <c r="W343" s="131" t="str">
        <f t="shared" si="180"/>
        <v/>
      </c>
      <c r="X343" s="131">
        <f t="shared" si="178"/>
        <v>1</v>
      </c>
      <c r="Y343" s="131">
        <f t="shared" si="181"/>
        <v>1</v>
      </c>
      <c r="Z343" s="131" t="str" cm="1">
        <f t="array" ref="Z343">_xlfn.IFS(X343=4,"A",X343=3,"B",X343=2,"C",X343=1,"D")</f>
        <v>D</v>
      </c>
      <c r="AA343" s="257"/>
    </row>
    <row r="344" spans="1:27" s="101" customFormat="1">
      <c r="A344" s="11"/>
      <c r="B344" s="97"/>
      <c r="C344" s="98"/>
      <c r="D344" s="99"/>
      <c r="E344" s="450" t="s">
        <v>129</v>
      </c>
      <c r="F344" s="449"/>
      <c r="G344" s="443"/>
      <c r="H344" s="449"/>
      <c r="I344" s="443"/>
      <c r="J344" s="449"/>
      <c r="K344" s="443"/>
      <c r="L344" s="443"/>
      <c r="M344" s="100"/>
      <c r="N344" s="11"/>
      <c r="Q344" s="11"/>
      <c r="R344" s="131">
        <f t="shared" si="176"/>
        <v>0</v>
      </c>
      <c r="S344" s="260"/>
      <c r="T344" s="131">
        <f t="shared" si="177"/>
        <v>0</v>
      </c>
      <c r="U344" s="131">
        <f t="shared" si="179"/>
        <v>0</v>
      </c>
      <c r="V344" s="260"/>
      <c r="W344" s="131" t="str">
        <f t="shared" si="180"/>
        <v/>
      </c>
      <c r="X344" s="131">
        <f t="shared" si="178"/>
        <v>1</v>
      </c>
      <c r="Y344" s="131">
        <f t="shared" si="181"/>
        <v>1</v>
      </c>
      <c r="Z344" s="131" t="str" cm="1">
        <f t="array" ref="Z344">_xlfn.IFS(X344=4,"A",X344=3,"B",X344=2,"C",X344=1,"D")</f>
        <v>D</v>
      </c>
      <c r="AA344" s="131"/>
    </row>
    <row r="345" spans="1:27" customFormat="1" ht="7.5" customHeight="1">
      <c r="B345" s="65"/>
      <c r="C345" s="4"/>
      <c r="D345" s="4"/>
      <c r="E345" s="4"/>
      <c r="F345" s="4"/>
      <c r="G345" s="4"/>
      <c r="H345" s="4"/>
      <c r="I345" s="4"/>
      <c r="J345" s="4"/>
      <c r="K345" s="4"/>
      <c r="L345" s="4"/>
      <c r="M345" s="9"/>
      <c r="N345" s="2"/>
      <c r="O345" s="2"/>
      <c r="P345" s="2"/>
      <c r="R345" s="131">
        <f t="shared" si="176"/>
        <v>0</v>
      </c>
      <c r="S345" s="260"/>
      <c r="T345" s="131">
        <f t="shared" si="177"/>
        <v>0</v>
      </c>
      <c r="U345" s="131">
        <f>IF(AND(J345="実施済",K345="実施済"),$T345*1,0)</f>
        <v>0</v>
      </c>
      <c r="V345" s="260"/>
      <c r="W345" s="131" t="str">
        <f t="shared" si="180"/>
        <v/>
      </c>
      <c r="X345" s="131">
        <f t="shared" si="178"/>
        <v>1</v>
      </c>
      <c r="Y345" s="131">
        <f t="shared" si="181"/>
        <v>1</v>
      </c>
      <c r="Z345" s="131" t="str" cm="1">
        <f t="array" ref="Z345">_xlfn.IFS(X345=4,"A",X345=3,"B",X345=2,"C",X345=1,"D")</f>
        <v>D</v>
      </c>
      <c r="AA345" s="177"/>
    </row>
    <row r="346" spans="1:27" customFormat="1" ht="18" customHeight="1">
      <c r="N346" s="2"/>
      <c r="O346" s="2"/>
      <c r="P346" s="2"/>
      <c r="R346" s="131">
        <f t="shared" si="176"/>
        <v>0</v>
      </c>
      <c r="S346" s="260"/>
      <c r="T346" s="131">
        <f t="shared" si="177"/>
        <v>0</v>
      </c>
      <c r="U346" s="131">
        <f t="shared" ref="U346" si="182">IF(AND(J346="実施済",K346="実施済"),$T346*1,0)</f>
        <v>0</v>
      </c>
      <c r="V346" s="260"/>
      <c r="W346" s="131" t="str">
        <f t="shared" si="180"/>
        <v/>
      </c>
      <c r="X346" s="131">
        <f t="shared" si="178"/>
        <v>1</v>
      </c>
      <c r="Y346" s="131">
        <f t="shared" si="181"/>
        <v>1</v>
      </c>
      <c r="Z346" s="131" t="str" cm="1">
        <f t="array" ref="Z346">_xlfn.IFS(X346=4,"A",X346=3,"B",X346=2,"C",X346=1,"D")</f>
        <v>D</v>
      </c>
      <c r="AA346" s="177"/>
    </row>
    <row r="347" spans="1:27" customFormat="1" ht="103.5" customHeight="1">
      <c r="C347" s="78"/>
      <c r="D347" s="79"/>
      <c r="E347" s="71" t="s">
        <v>238</v>
      </c>
      <c r="F347" s="1057"/>
      <c r="G347" s="1057"/>
      <c r="H347" s="1057"/>
      <c r="I347" s="1057"/>
      <c r="J347" s="1057"/>
      <c r="K347" s="1057"/>
      <c r="L347" s="1057"/>
      <c r="M347" s="80" t="s">
        <v>132</v>
      </c>
      <c r="N347" s="80"/>
    </row>
    <row r="348" spans="1:27" customFormat="1" ht="146.25" customHeight="1">
      <c r="C348" s="75"/>
      <c r="D348" s="68"/>
      <c r="E348" s="71" t="s">
        <v>237</v>
      </c>
      <c r="F348" s="1057"/>
      <c r="G348" s="1057"/>
      <c r="H348" s="1057"/>
      <c r="I348" s="1057"/>
      <c r="J348" s="1057"/>
      <c r="K348" s="1057"/>
      <c r="L348" s="1057"/>
      <c r="N348" s="2"/>
      <c r="O348" s="2"/>
      <c r="P348" s="2"/>
    </row>
    <row r="349" spans="1:27" customFormat="1" ht="13.5" customHeight="1" thickBot="1">
      <c r="A349" s="81"/>
      <c r="B349" s="81"/>
      <c r="C349" s="81"/>
      <c r="D349" s="81"/>
      <c r="E349" s="81"/>
      <c r="F349" s="81"/>
      <c r="G349" s="81"/>
      <c r="H349" s="81"/>
      <c r="I349" s="81"/>
      <c r="J349" s="81"/>
      <c r="K349" s="81"/>
      <c r="L349" s="81"/>
      <c r="M349" s="81"/>
      <c r="N349" s="82"/>
      <c r="O349" s="2"/>
      <c r="P349" s="2"/>
    </row>
    <row r="350" spans="1:27" customFormat="1" ht="13.5" customHeight="1">
      <c r="A350" s="83"/>
      <c r="B350" s="83"/>
      <c r="C350" s="83"/>
      <c r="D350" s="83"/>
      <c r="E350" s="83"/>
      <c r="F350" s="83"/>
      <c r="G350" s="83"/>
      <c r="H350" s="83"/>
      <c r="I350" s="83"/>
      <c r="J350" s="83"/>
      <c r="K350" s="83"/>
      <c r="L350" s="83"/>
      <c r="M350" s="83"/>
      <c r="N350" s="84"/>
      <c r="O350" s="2"/>
      <c r="P350" s="2"/>
    </row>
    <row r="351" spans="1:27" customFormat="1" ht="15" customHeight="1">
      <c r="B351" s="10"/>
      <c r="C351" s="5"/>
      <c r="D351" s="5"/>
      <c r="E351" s="5"/>
      <c r="F351" s="5"/>
      <c r="G351" s="5"/>
      <c r="H351" s="5"/>
      <c r="I351" s="5"/>
      <c r="J351" s="5"/>
      <c r="K351" s="5"/>
      <c r="L351" s="5"/>
      <c r="M351" s="6"/>
      <c r="R351" s="11" t="str">
        <f>D352</f>
        <v>(選択してください)</v>
      </c>
    </row>
    <row r="352" spans="1:27" customFormat="1">
      <c r="B352" s="7"/>
      <c r="C352" s="77" t="str">
        <f ca="1">IFERROR(OFFSET('4.2民生電力需要量'!$C$1,MATCH(D352,'4.2民生電力需要量'!$E:$E,0)-1,0),"")</f>
        <v/>
      </c>
      <c r="D352" s="96" t="s">
        <v>130</v>
      </c>
      <c r="E352" s="72" t="s">
        <v>131</v>
      </c>
      <c r="F352" s="1063" t="str">
        <f ca="1">IFERROR(OFFSET('4.2民生電力需要量'!$G$1,MATCH($D352,'4.2民生電力需要量'!$E:$E,0)-1,0),"")</f>
        <v/>
      </c>
      <c r="G352" s="1063"/>
      <c r="H352" s="1063"/>
      <c r="I352" s="1063"/>
      <c r="J352" s="1063"/>
      <c r="K352" s="1063"/>
      <c r="L352" s="1063"/>
      <c r="M352" s="8"/>
      <c r="R352" s="257" t="str">
        <f ca="1">IFERROR(OFFSET('4.2民生電力需要量'!$G$1,MATCH($D352,'4.2民生電力需要量'!$E:$E,0)-1,0),"")</f>
        <v/>
      </c>
      <c r="S352" s="177"/>
      <c r="T352" s="177"/>
      <c r="U352" s="177"/>
      <c r="V352" s="177"/>
      <c r="W352" s="177"/>
      <c r="X352" s="177"/>
      <c r="Y352" s="177"/>
      <c r="Z352" s="177"/>
      <c r="AA352" s="177">
        <f ca="1">(F352=R352)*1</f>
        <v>1</v>
      </c>
    </row>
    <row r="353" spans="1:27" customFormat="1">
      <c r="B353" s="7"/>
      <c r="C353" s="74"/>
      <c r="D353" s="66"/>
      <c r="E353" s="72" t="s">
        <v>221</v>
      </c>
      <c r="F353" s="1062" t="str">
        <f ca="1">IFERROR(OFFSET('4.2民生電力需要量'!$I$1,MATCH($D352,'4.2民生電力需要量'!$E:$E,0)-1,0),"")</f>
        <v/>
      </c>
      <c r="G353" s="1062"/>
      <c r="H353" s="1062"/>
      <c r="I353" s="1062"/>
      <c r="J353" s="1062"/>
      <c r="K353" s="1062"/>
      <c r="L353" s="1062"/>
      <c r="M353" s="8"/>
      <c r="R353" s="257" t="str">
        <f ca="1">IFERROR(OFFSET('4.2民生電力需要量'!$I$1,MATCH($D352,'4.2民生電力需要量'!$E:$E,0)-1,0),"")</f>
        <v/>
      </c>
      <c r="S353" s="177"/>
      <c r="T353" s="177"/>
      <c r="U353" s="177"/>
      <c r="V353" s="177"/>
      <c r="W353" s="177"/>
      <c r="X353" s="177"/>
      <c r="Y353" s="177"/>
      <c r="Z353" s="177"/>
      <c r="AA353" s="177">
        <f t="shared" ref="AA353:AA354" ca="1" si="183">(F353=R353)*1</f>
        <v>1</v>
      </c>
    </row>
    <row r="354" spans="1:27" customFormat="1">
      <c r="B354" s="7"/>
      <c r="C354" s="74"/>
      <c r="D354" s="66"/>
      <c r="E354" s="72" t="s">
        <v>176</v>
      </c>
      <c r="F354" s="1063" t="str">
        <f>_xlfn.IFNA(R354,"")</f>
        <v/>
      </c>
      <c r="G354" s="1063"/>
      <c r="H354" s="1063"/>
      <c r="I354" s="1063"/>
      <c r="J354" s="1063"/>
      <c r="K354" s="1063"/>
      <c r="L354" s="1063"/>
      <c r="M354" s="8"/>
      <c r="R354" s="131" t="str">
        <f>IF(OR(COUNTIF($E356:$E361,"&lt;&gt;〇〇(合意形成対象者名に書き換え)")=3,COUNTIF($E356:$E361,"")&gt;3),"",IF(PRODUCT($Y356:$Y361)=1,Z356,""))</f>
        <v/>
      </c>
      <c r="S354" s="177"/>
      <c r="T354" s="177"/>
      <c r="U354" s="177"/>
      <c r="V354" s="177"/>
      <c r="W354" s="177"/>
      <c r="X354" s="177"/>
      <c r="Y354" s="177"/>
      <c r="Z354" s="177"/>
      <c r="AA354" s="177">
        <f t="shared" si="183"/>
        <v>1</v>
      </c>
    </row>
    <row r="355" spans="1:27" ht="63.75" customHeight="1">
      <c r="B355" s="97"/>
      <c r="C355" s="98"/>
      <c r="D355" s="99"/>
      <c r="E355" s="374"/>
      <c r="F355" s="315" t="s">
        <v>270</v>
      </c>
      <c r="G355" s="315" t="s">
        <v>273</v>
      </c>
      <c r="H355" s="315" t="s">
        <v>274</v>
      </c>
      <c r="I355" s="315" t="s">
        <v>271</v>
      </c>
      <c r="J355" s="315" t="s">
        <v>440</v>
      </c>
      <c r="K355" s="315" t="s">
        <v>441</v>
      </c>
      <c r="L355" s="315" t="s">
        <v>272</v>
      </c>
      <c r="M355" s="100"/>
      <c r="N355" s="11"/>
      <c r="R355" s="128" t="s">
        <v>302</v>
      </c>
      <c r="S355" s="259" t="s">
        <v>429</v>
      </c>
      <c r="T355" s="128" t="s">
        <v>430</v>
      </c>
      <c r="U355" s="298" t="s">
        <v>442</v>
      </c>
      <c r="V355" s="258" t="s">
        <v>272</v>
      </c>
      <c r="W355" s="128" t="s">
        <v>432</v>
      </c>
      <c r="X355" s="131" t="s">
        <v>408</v>
      </c>
      <c r="Y355" s="131" t="s">
        <v>436</v>
      </c>
      <c r="Z355" s="128" t="s">
        <v>431</v>
      </c>
      <c r="AA355" s="257"/>
    </row>
    <row r="356" spans="1:27" hidden="1">
      <c r="B356" s="97"/>
      <c r="C356" s="98"/>
      <c r="D356" s="99"/>
      <c r="E356" s="444"/>
      <c r="F356" s="445"/>
      <c r="G356" s="441"/>
      <c r="H356" s="445"/>
      <c r="I356" s="441"/>
      <c r="J356" s="445"/>
      <c r="K356" s="441"/>
      <c r="L356" s="446"/>
      <c r="M356" s="100"/>
      <c r="N356" s="11"/>
      <c r="R356" s="131">
        <f t="shared" ref="R356:R361" si="184">IF(F356="実施済",1,0)</f>
        <v>0</v>
      </c>
      <c r="S356" s="260"/>
      <c r="T356" s="131">
        <f t="shared" ref="T356:T361" si="185">IF(AND(H356="実施済",I356="実施済"),R356*1,0)</f>
        <v>0</v>
      </c>
      <c r="U356" s="131">
        <f>IF(AND(J356="実施済",K356="実施済"),$T356*1,0)</f>
        <v>0</v>
      </c>
      <c r="V356" s="260"/>
      <c r="W356" s="131" t="str">
        <f>IF(OR(E356="〇〇(合意形成対象者名に書き換え)",E356=""),"",SUM(R356,T356,U356))</f>
        <v/>
      </c>
      <c r="X356" s="131">
        <f t="shared" ref="X356:X361" si="186">MIN($W$356:$W$361)+1</f>
        <v>1</v>
      </c>
      <c r="Y356" s="131">
        <f>IF(E356="",1,IF(AND(E356="〇〇(合意形成対象者名に書き換え)",COUNTA($F356:$L356)=0),1,IF(AND(E356&lt;&gt;"〇〇(合意形成対象者名に書き換え)",COUNTA($F356:$L356)=7),1,0)))</f>
        <v>1</v>
      </c>
      <c r="Z356" s="131" t="str" cm="1">
        <f t="array" ref="Z356">_xlfn.IFS(X356=4,"A",X356=3,"B",X356=2,"C",X356=1,"D")</f>
        <v>D</v>
      </c>
      <c r="AA356" s="257"/>
    </row>
    <row r="357" spans="1:27">
      <c r="B357" s="97"/>
      <c r="C357" s="98"/>
      <c r="D357" s="99"/>
      <c r="E357" s="450" t="s">
        <v>129</v>
      </c>
      <c r="F357" s="449"/>
      <c r="G357" s="443"/>
      <c r="H357" s="449"/>
      <c r="I357" s="443"/>
      <c r="J357" s="449"/>
      <c r="K357" s="443"/>
      <c r="L357" s="443"/>
      <c r="M357" s="100"/>
      <c r="N357" s="11"/>
      <c r="R357" s="131">
        <f t="shared" si="184"/>
        <v>0</v>
      </c>
      <c r="S357" s="260"/>
      <c r="T357" s="131">
        <f t="shared" si="185"/>
        <v>0</v>
      </c>
      <c r="U357" s="131">
        <f t="shared" ref="U357:U359" si="187">IF(AND(J357="実施済",K357="実施済"),$T357*1,0)</f>
        <v>0</v>
      </c>
      <c r="V357" s="260"/>
      <c r="W357" s="131" t="str">
        <f t="shared" ref="W357:W361" si="188">IF(OR(E357="〇〇(合意形成対象者名に書き換え)",E357=""),"",SUM(R357,T357,U357))</f>
        <v/>
      </c>
      <c r="X357" s="131">
        <f t="shared" si="186"/>
        <v>1</v>
      </c>
      <c r="Y357" s="131">
        <f t="shared" ref="Y357:Y361" si="189">IF(E357="",1,IF(AND(E357="〇〇(合意形成対象者名に書き換え)",COUNTA($F357:$L357)=0),1,IF(AND(E357&lt;&gt;"〇〇(合意形成対象者名に書き換え)",COUNTA($F357:$L357)=7),1,0)))</f>
        <v>1</v>
      </c>
      <c r="Z357" s="131" t="str" cm="1">
        <f t="array" ref="Z357">_xlfn.IFS(X357=4,"A",X357=3,"B",X357=2,"C",X357=1,"D")</f>
        <v>D</v>
      </c>
      <c r="AA357" s="257"/>
    </row>
    <row r="358" spans="1:27">
      <c r="B358" s="97"/>
      <c r="C358" s="98"/>
      <c r="D358" s="99"/>
      <c r="E358" s="450" t="s">
        <v>129</v>
      </c>
      <c r="F358" s="449"/>
      <c r="G358" s="443"/>
      <c r="H358" s="449"/>
      <c r="I358" s="443"/>
      <c r="J358" s="449"/>
      <c r="K358" s="443"/>
      <c r="L358" s="443"/>
      <c r="M358" s="100"/>
      <c r="N358" s="11"/>
      <c r="R358" s="131">
        <f t="shared" si="184"/>
        <v>0</v>
      </c>
      <c r="S358" s="260"/>
      <c r="T358" s="131">
        <f t="shared" si="185"/>
        <v>0</v>
      </c>
      <c r="U358" s="131">
        <f t="shared" si="187"/>
        <v>0</v>
      </c>
      <c r="V358" s="260"/>
      <c r="W358" s="131" t="str">
        <f t="shared" si="188"/>
        <v/>
      </c>
      <c r="X358" s="131">
        <f t="shared" si="186"/>
        <v>1</v>
      </c>
      <c r="Y358" s="131">
        <f t="shared" si="189"/>
        <v>1</v>
      </c>
      <c r="Z358" s="131" t="str" cm="1">
        <f t="array" ref="Z358">_xlfn.IFS(X358=4,"A",X358=3,"B",X358=2,"C",X358=1,"D")</f>
        <v>D</v>
      </c>
      <c r="AA358" s="257"/>
    </row>
    <row r="359" spans="1:27" s="101" customFormat="1">
      <c r="A359" s="11"/>
      <c r="B359" s="97"/>
      <c r="C359" s="98"/>
      <c r="D359" s="99"/>
      <c r="E359" s="450" t="s">
        <v>129</v>
      </c>
      <c r="F359" s="449"/>
      <c r="G359" s="443"/>
      <c r="H359" s="449"/>
      <c r="I359" s="443"/>
      <c r="J359" s="449"/>
      <c r="K359" s="443"/>
      <c r="L359" s="443"/>
      <c r="M359" s="100"/>
      <c r="N359" s="11"/>
      <c r="Q359" s="11"/>
      <c r="R359" s="131">
        <f t="shared" si="184"/>
        <v>0</v>
      </c>
      <c r="S359" s="260"/>
      <c r="T359" s="131">
        <f t="shared" si="185"/>
        <v>0</v>
      </c>
      <c r="U359" s="131">
        <f t="shared" si="187"/>
        <v>0</v>
      </c>
      <c r="V359" s="260"/>
      <c r="W359" s="131" t="str">
        <f t="shared" si="188"/>
        <v/>
      </c>
      <c r="X359" s="131">
        <f t="shared" si="186"/>
        <v>1</v>
      </c>
      <c r="Y359" s="131">
        <f t="shared" si="189"/>
        <v>1</v>
      </c>
      <c r="Z359" s="131" t="str" cm="1">
        <f t="array" ref="Z359">_xlfn.IFS(X359=4,"A",X359=3,"B",X359=2,"C",X359=1,"D")</f>
        <v>D</v>
      </c>
      <c r="AA359" s="131"/>
    </row>
    <row r="360" spans="1:27" customFormat="1" ht="7.5" customHeight="1">
      <c r="B360" s="65"/>
      <c r="C360" s="4"/>
      <c r="D360" s="4"/>
      <c r="E360" s="4"/>
      <c r="F360" s="4"/>
      <c r="G360" s="4"/>
      <c r="H360" s="4"/>
      <c r="I360" s="4"/>
      <c r="J360" s="4"/>
      <c r="K360" s="4"/>
      <c r="L360" s="4"/>
      <c r="M360" s="9"/>
      <c r="N360" s="2"/>
      <c r="O360" s="2"/>
      <c r="P360" s="2"/>
      <c r="R360" s="131">
        <f t="shared" si="184"/>
        <v>0</v>
      </c>
      <c r="S360" s="260"/>
      <c r="T360" s="131">
        <f t="shared" si="185"/>
        <v>0</v>
      </c>
      <c r="U360" s="131">
        <f>IF(AND(J360="実施済",K360="実施済"),$T360*1,0)</f>
        <v>0</v>
      </c>
      <c r="V360" s="260"/>
      <c r="W360" s="131" t="str">
        <f t="shared" si="188"/>
        <v/>
      </c>
      <c r="X360" s="131">
        <f t="shared" si="186"/>
        <v>1</v>
      </c>
      <c r="Y360" s="131">
        <f t="shared" si="189"/>
        <v>1</v>
      </c>
      <c r="Z360" s="131" t="str" cm="1">
        <f t="array" ref="Z360">_xlfn.IFS(X360=4,"A",X360=3,"B",X360=2,"C",X360=1,"D")</f>
        <v>D</v>
      </c>
      <c r="AA360" s="177"/>
    </row>
    <row r="361" spans="1:27" customFormat="1" ht="18" customHeight="1">
      <c r="N361" s="2"/>
      <c r="O361" s="2"/>
      <c r="P361" s="2"/>
      <c r="R361" s="131">
        <f t="shared" si="184"/>
        <v>0</v>
      </c>
      <c r="S361" s="260"/>
      <c r="T361" s="131">
        <f t="shared" si="185"/>
        <v>0</v>
      </c>
      <c r="U361" s="131">
        <f t="shared" ref="U361" si="190">IF(AND(J361="実施済",K361="実施済"),$T361*1,0)</f>
        <v>0</v>
      </c>
      <c r="V361" s="260"/>
      <c r="W361" s="131" t="str">
        <f t="shared" si="188"/>
        <v/>
      </c>
      <c r="X361" s="131">
        <f t="shared" si="186"/>
        <v>1</v>
      </c>
      <c r="Y361" s="131">
        <f t="shared" si="189"/>
        <v>1</v>
      </c>
      <c r="Z361" s="131" t="str" cm="1">
        <f t="array" ref="Z361">_xlfn.IFS(X361=4,"A",X361=3,"B",X361=2,"C",X361=1,"D")</f>
        <v>D</v>
      </c>
      <c r="AA361" s="177"/>
    </row>
    <row r="362" spans="1:27" customFormat="1" ht="103.5" customHeight="1">
      <c r="C362" s="78"/>
      <c r="D362" s="79"/>
      <c r="E362" s="71" t="s">
        <v>238</v>
      </c>
      <c r="F362" s="1057"/>
      <c r="G362" s="1057"/>
      <c r="H362" s="1057"/>
      <c r="I362" s="1057"/>
      <c r="J362" s="1057"/>
      <c r="K362" s="1057"/>
      <c r="L362" s="1057"/>
      <c r="M362" s="80" t="s">
        <v>132</v>
      </c>
      <c r="N362" s="80"/>
    </row>
    <row r="363" spans="1:27" customFormat="1" ht="146.25" customHeight="1">
      <c r="C363" s="75"/>
      <c r="D363" s="68"/>
      <c r="E363" s="71" t="s">
        <v>237</v>
      </c>
      <c r="F363" s="1057"/>
      <c r="G363" s="1057"/>
      <c r="H363" s="1057"/>
      <c r="I363" s="1057"/>
      <c r="J363" s="1057"/>
      <c r="K363" s="1057"/>
      <c r="L363" s="1057"/>
      <c r="N363" s="2"/>
      <c r="O363" s="2"/>
      <c r="P363" s="2"/>
    </row>
    <row r="364" spans="1:27" customFormat="1" ht="13.5" customHeight="1" thickBot="1">
      <c r="A364" s="81"/>
      <c r="B364" s="81"/>
      <c r="C364" s="81"/>
      <c r="D364" s="81"/>
      <c r="E364" s="81"/>
      <c r="F364" s="81"/>
      <c r="G364" s="81"/>
      <c r="H364" s="81"/>
      <c r="I364" s="81"/>
      <c r="J364" s="81"/>
      <c r="K364" s="81"/>
      <c r="L364" s="81"/>
      <c r="M364" s="81"/>
      <c r="N364" s="82"/>
      <c r="O364" s="2"/>
      <c r="P364" s="2"/>
    </row>
    <row r="365" spans="1:27" customFormat="1" ht="13.5" customHeight="1">
      <c r="A365" s="83"/>
      <c r="B365" s="83"/>
      <c r="C365" s="83"/>
      <c r="D365" s="83"/>
      <c r="E365" s="83"/>
      <c r="F365" s="83"/>
      <c r="G365" s="83"/>
      <c r="H365" s="83"/>
      <c r="I365" s="83"/>
      <c r="J365" s="83"/>
      <c r="K365" s="83"/>
      <c r="L365" s="83"/>
      <c r="M365" s="83"/>
      <c r="N365" s="84"/>
      <c r="O365" s="2"/>
      <c r="P365" s="2"/>
    </row>
    <row r="366" spans="1:27" customFormat="1" ht="15" customHeight="1">
      <c r="B366" s="10"/>
      <c r="C366" s="5"/>
      <c r="D366" s="5"/>
      <c r="E366" s="5"/>
      <c r="F366" s="5"/>
      <c r="G366" s="5"/>
      <c r="H366" s="5"/>
      <c r="I366" s="5"/>
      <c r="J366" s="5"/>
      <c r="K366" s="5"/>
      <c r="L366" s="5"/>
      <c r="M366" s="6"/>
      <c r="R366" s="11" t="str">
        <f>D367</f>
        <v>(選択してください)</v>
      </c>
    </row>
    <row r="367" spans="1:27" customFormat="1">
      <c r="B367" s="7"/>
      <c r="C367" s="77" t="str">
        <f ca="1">IFERROR(OFFSET('4.2民生電力需要量'!$C$1,MATCH(D367,'4.2民生電力需要量'!$E:$E,0)-1,0),"")</f>
        <v/>
      </c>
      <c r="D367" s="96" t="s">
        <v>130</v>
      </c>
      <c r="E367" s="72" t="s">
        <v>131</v>
      </c>
      <c r="F367" s="1063" t="str">
        <f ca="1">IFERROR(OFFSET('4.2民生電力需要量'!$G$1,MATCH($D367,'4.2民生電力需要量'!$E:$E,0)-1,0),"")</f>
        <v/>
      </c>
      <c r="G367" s="1063"/>
      <c r="H367" s="1063"/>
      <c r="I367" s="1063"/>
      <c r="J367" s="1063"/>
      <c r="K367" s="1063"/>
      <c r="L367" s="1063"/>
      <c r="M367" s="8"/>
      <c r="R367" s="257" t="str">
        <f ca="1">IFERROR(OFFSET('4.2民生電力需要量'!$G$1,MATCH($D367,'4.2民生電力需要量'!$E:$E,0)-1,0),"")</f>
        <v/>
      </c>
      <c r="S367" s="177"/>
      <c r="T367" s="177"/>
      <c r="U367" s="177"/>
      <c r="V367" s="177"/>
      <c r="W367" s="177"/>
      <c r="X367" s="177"/>
      <c r="Y367" s="177"/>
      <c r="Z367" s="177"/>
      <c r="AA367" s="177">
        <f ca="1">(F367=R367)*1</f>
        <v>1</v>
      </c>
    </row>
    <row r="368" spans="1:27" customFormat="1">
      <c r="B368" s="7"/>
      <c r="C368" s="74"/>
      <c r="D368" s="66"/>
      <c r="E368" s="72" t="s">
        <v>221</v>
      </c>
      <c r="F368" s="1062" t="str">
        <f ca="1">IFERROR(OFFSET('4.2民生電力需要量'!$I$1,MATCH($D367,'4.2民生電力需要量'!$E:$E,0)-1,0),"")</f>
        <v/>
      </c>
      <c r="G368" s="1062"/>
      <c r="H368" s="1062"/>
      <c r="I368" s="1062"/>
      <c r="J368" s="1062"/>
      <c r="K368" s="1062"/>
      <c r="L368" s="1062"/>
      <c r="M368" s="8"/>
      <c r="R368" s="257" t="str">
        <f ca="1">IFERROR(OFFSET('4.2民生電力需要量'!$I$1,MATCH($D367,'4.2民生電力需要量'!$E:$E,0)-1,0),"")</f>
        <v/>
      </c>
      <c r="S368" s="177"/>
      <c r="T368" s="177"/>
      <c r="U368" s="177"/>
      <c r="V368" s="177"/>
      <c r="W368" s="177"/>
      <c r="X368" s="177"/>
      <c r="Y368" s="177"/>
      <c r="Z368" s="177"/>
      <c r="AA368" s="177">
        <f t="shared" ref="AA368:AA369" ca="1" si="191">(F368=R368)*1</f>
        <v>1</v>
      </c>
    </row>
    <row r="369" spans="1:27" customFormat="1">
      <c r="B369" s="7"/>
      <c r="C369" s="74"/>
      <c r="D369" s="66"/>
      <c r="E369" s="72" t="s">
        <v>176</v>
      </c>
      <c r="F369" s="1063" t="str">
        <f>_xlfn.IFNA(R369,"")</f>
        <v/>
      </c>
      <c r="G369" s="1063"/>
      <c r="H369" s="1063"/>
      <c r="I369" s="1063"/>
      <c r="J369" s="1063"/>
      <c r="K369" s="1063"/>
      <c r="L369" s="1063"/>
      <c r="M369" s="8"/>
      <c r="R369" s="131" t="str">
        <f>IF(OR(COUNTIF($E371:$E376,"&lt;&gt;〇〇(合意形成対象者名に書き換え)")=3,COUNTIF($E371:$E376,"")&gt;3),"",IF(PRODUCT($Y371:$Y376)=1,Z371,""))</f>
        <v/>
      </c>
      <c r="S369" s="177"/>
      <c r="T369" s="177"/>
      <c r="U369" s="177"/>
      <c r="V369" s="177"/>
      <c r="W369" s="177"/>
      <c r="X369" s="177"/>
      <c r="Y369" s="177"/>
      <c r="Z369" s="177"/>
      <c r="AA369" s="177">
        <f t="shared" si="191"/>
        <v>1</v>
      </c>
    </row>
    <row r="370" spans="1:27" ht="63.75" customHeight="1">
      <c r="B370" s="97"/>
      <c r="C370" s="98"/>
      <c r="D370" s="99"/>
      <c r="E370" s="374"/>
      <c r="F370" s="315" t="s">
        <v>270</v>
      </c>
      <c r="G370" s="315" t="s">
        <v>273</v>
      </c>
      <c r="H370" s="315" t="s">
        <v>274</v>
      </c>
      <c r="I370" s="315" t="s">
        <v>271</v>
      </c>
      <c r="J370" s="315" t="s">
        <v>440</v>
      </c>
      <c r="K370" s="315" t="s">
        <v>441</v>
      </c>
      <c r="L370" s="315" t="s">
        <v>272</v>
      </c>
      <c r="M370" s="100"/>
      <c r="N370" s="11"/>
      <c r="R370" s="128" t="s">
        <v>302</v>
      </c>
      <c r="S370" s="259" t="s">
        <v>429</v>
      </c>
      <c r="T370" s="128" t="s">
        <v>430</v>
      </c>
      <c r="U370" s="298" t="s">
        <v>442</v>
      </c>
      <c r="V370" s="258" t="s">
        <v>272</v>
      </c>
      <c r="W370" s="128" t="s">
        <v>432</v>
      </c>
      <c r="X370" s="131" t="s">
        <v>408</v>
      </c>
      <c r="Y370" s="131" t="s">
        <v>436</v>
      </c>
      <c r="Z370" s="128" t="s">
        <v>431</v>
      </c>
      <c r="AA370" s="257"/>
    </row>
    <row r="371" spans="1:27" hidden="1">
      <c r="B371" s="97"/>
      <c r="C371" s="98"/>
      <c r="D371" s="99"/>
      <c r="E371" s="444"/>
      <c r="F371" s="445"/>
      <c r="G371" s="441"/>
      <c r="H371" s="445"/>
      <c r="I371" s="441"/>
      <c r="J371" s="445"/>
      <c r="K371" s="441"/>
      <c r="L371" s="446"/>
      <c r="M371" s="100"/>
      <c r="N371" s="11"/>
      <c r="R371" s="131">
        <f t="shared" ref="R371:R376" si="192">IF(F371="実施済",1,0)</f>
        <v>0</v>
      </c>
      <c r="S371" s="260"/>
      <c r="T371" s="131">
        <f t="shared" ref="T371:T376" si="193">IF(AND(H371="実施済",I371="実施済"),R371*1,0)</f>
        <v>0</v>
      </c>
      <c r="U371" s="131">
        <f>IF(AND(J371="実施済",K371="実施済"),$T371*1,0)</f>
        <v>0</v>
      </c>
      <c r="V371" s="260"/>
      <c r="W371" s="131" t="str">
        <f>IF(OR(E371="〇〇(合意形成対象者名に書き換え)",E371=""),"",SUM(R371,T371,U371))</f>
        <v/>
      </c>
      <c r="X371" s="131">
        <f t="shared" ref="X371:X376" si="194">MIN($W$371:$W$376)+1</f>
        <v>1</v>
      </c>
      <c r="Y371" s="131">
        <f>IF(E371="",1,IF(AND(E371="〇〇(合意形成対象者名に書き換え)",COUNTA($F371:$L371)=0),1,IF(AND(E371&lt;&gt;"〇〇(合意形成対象者名に書き換え)",COUNTA($F371:$L371)=7),1,0)))</f>
        <v>1</v>
      </c>
      <c r="Z371" s="131" t="str" cm="1">
        <f t="array" ref="Z371">_xlfn.IFS(X371=4,"A",X371=3,"B",X371=2,"C",X371=1,"D")</f>
        <v>D</v>
      </c>
      <c r="AA371" s="257"/>
    </row>
    <row r="372" spans="1:27">
      <c r="B372" s="97"/>
      <c r="C372" s="98"/>
      <c r="D372" s="99"/>
      <c r="E372" s="450" t="s">
        <v>129</v>
      </c>
      <c r="F372" s="449"/>
      <c r="G372" s="443"/>
      <c r="H372" s="449"/>
      <c r="I372" s="443"/>
      <c r="J372" s="449"/>
      <c r="K372" s="443"/>
      <c r="L372" s="443"/>
      <c r="M372" s="100"/>
      <c r="N372" s="11"/>
      <c r="R372" s="131">
        <f t="shared" si="192"/>
        <v>0</v>
      </c>
      <c r="S372" s="260"/>
      <c r="T372" s="131">
        <f t="shared" si="193"/>
        <v>0</v>
      </c>
      <c r="U372" s="131">
        <f t="shared" ref="U372:U374" si="195">IF(AND(J372="実施済",K372="実施済"),$T372*1,0)</f>
        <v>0</v>
      </c>
      <c r="V372" s="260"/>
      <c r="W372" s="131" t="str">
        <f t="shared" ref="W372:W376" si="196">IF(OR(E372="〇〇(合意形成対象者名に書き換え)",E372=""),"",SUM(R372,T372,U372))</f>
        <v/>
      </c>
      <c r="X372" s="131">
        <f t="shared" si="194"/>
        <v>1</v>
      </c>
      <c r="Y372" s="131">
        <f t="shared" ref="Y372:Y376" si="197">IF(E372="",1,IF(AND(E372="〇〇(合意形成対象者名に書き換え)",COUNTA($F372:$L372)=0),1,IF(AND(E372&lt;&gt;"〇〇(合意形成対象者名に書き換え)",COUNTA($F372:$L372)=7),1,0)))</f>
        <v>1</v>
      </c>
      <c r="Z372" s="131" t="str" cm="1">
        <f t="array" ref="Z372">_xlfn.IFS(X372=4,"A",X372=3,"B",X372=2,"C",X372=1,"D")</f>
        <v>D</v>
      </c>
      <c r="AA372" s="257"/>
    </row>
    <row r="373" spans="1:27">
      <c r="B373" s="97"/>
      <c r="C373" s="98"/>
      <c r="D373" s="99"/>
      <c r="E373" s="450" t="s">
        <v>129</v>
      </c>
      <c r="F373" s="449"/>
      <c r="G373" s="443"/>
      <c r="H373" s="449"/>
      <c r="I373" s="443"/>
      <c r="J373" s="449"/>
      <c r="K373" s="443"/>
      <c r="L373" s="443"/>
      <c r="M373" s="100"/>
      <c r="N373" s="11"/>
      <c r="R373" s="131">
        <f t="shared" si="192"/>
        <v>0</v>
      </c>
      <c r="S373" s="260"/>
      <c r="T373" s="131">
        <f t="shared" si="193"/>
        <v>0</v>
      </c>
      <c r="U373" s="131">
        <f t="shared" si="195"/>
        <v>0</v>
      </c>
      <c r="V373" s="260"/>
      <c r="W373" s="131" t="str">
        <f t="shared" si="196"/>
        <v/>
      </c>
      <c r="X373" s="131">
        <f t="shared" si="194"/>
        <v>1</v>
      </c>
      <c r="Y373" s="131">
        <f t="shared" si="197"/>
        <v>1</v>
      </c>
      <c r="Z373" s="131" t="str" cm="1">
        <f t="array" ref="Z373">_xlfn.IFS(X373=4,"A",X373=3,"B",X373=2,"C",X373=1,"D")</f>
        <v>D</v>
      </c>
      <c r="AA373" s="257"/>
    </row>
    <row r="374" spans="1:27" s="101" customFormat="1">
      <c r="A374" s="11"/>
      <c r="B374" s="97"/>
      <c r="C374" s="98"/>
      <c r="D374" s="99"/>
      <c r="E374" s="450" t="s">
        <v>129</v>
      </c>
      <c r="F374" s="449"/>
      <c r="G374" s="443"/>
      <c r="H374" s="449"/>
      <c r="I374" s="443"/>
      <c r="J374" s="449"/>
      <c r="K374" s="443"/>
      <c r="L374" s="443"/>
      <c r="M374" s="100"/>
      <c r="N374" s="11"/>
      <c r="Q374" s="11"/>
      <c r="R374" s="131">
        <f t="shared" si="192"/>
        <v>0</v>
      </c>
      <c r="S374" s="260"/>
      <c r="T374" s="131">
        <f t="shared" si="193"/>
        <v>0</v>
      </c>
      <c r="U374" s="131">
        <f t="shared" si="195"/>
        <v>0</v>
      </c>
      <c r="V374" s="260"/>
      <c r="W374" s="131" t="str">
        <f t="shared" si="196"/>
        <v/>
      </c>
      <c r="X374" s="131">
        <f t="shared" si="194"/>
        <v>1</v>
      </c>
      <c r="Y374" s="131">
        <f t="shared" si="197"/>
        <v>1</v>
      </c>
      <c r="Z374" s="131" t="str" cm="1">
        <f t="array" ref="Z374">_xlfn.IFS(X374=4,"A",X374=3,"B",X374=2,"C",X374=1,"D")</f>
        <v>D</v>
      </c>
      <c r="AA374" s="131"/>
    </row>
    <row r="375" spans="1:27" customFormat="1" ht="7.5" customHeight="1">
      <c r="B375" s="65"/>
      <c r="C375" s="4"/>
      <c r="D375" s="4"/>
      <c r="E375" s="4"/>
      <c r="F375" s="4"/>
      <c r="G375" s="4"/>
      <c r="H375" s="4"/>
      <c r="I375" s="4"/>
      <c r="J375" s="4"/>
      <c r="K375" s="4"/>
      <c r="L375" s="4"/>
      <c r="M375" s="9"/>
      <c r="N375" s="2"/>
      <c r="O375" s="2"/>
      <c r="P375" s="2"/>
      <c r="R375" s="131">
        <f t="shared" si="192"/>
        <v>0</v>
      </c>
      <c r="S375" s="260"/>
      <c r="T375" s="131">
        <f t="shared" si="193"/>
        <v>0</v>
      </c>
      <c r="U375" s="131">
        <f>IF(AND(J375="実施済",K375="実施済"),$T375*1,0)</f>
        <v>0</v>
      </c>
      <c r="V375" s="260"/>
      <c r="W375" s="131" t="str">
        <f t="shared" si="196"/>
        <v/>
      </c>
      <c r="X375" s="131">
        <f t="shared" si="194"/>
        <v>1</v>
      </c>
      <c r="Y375" s="131">
        <f t="shared" si="197"/>
        <v>1</v>
      </c>
      <c r="Z375" s="131" t="str" cm="1">
        <f t="array" ref="Z375">_xlfn.IFS(X375=4,"A",X375=3,"B",X375=2,"C",X375=1,"D")</f>
        <v>D</v>
      </c>
      <c r="AA375" s="177"/>
    </row>
    <row r="376" spans="1:27" customFormat="1" ht="18" customHeight="1">
      <c r="N376" s="2"/>
      <c r="O376" s="2"/>
      <c r="P376" s="2"/>
      <c r="R376" s="131">
        <f t="shared" si="192"/>
        <v>0</v>
      </c>
      <c r="S376" s="260"/>
      <c r="T376" s="131">
        <f t="shared" si="193"/>
        <v>0</v>
      </c>
      <c r="U376" s="131">
        <f t="shared" ref="U376" si="198">IF(AND(J376="実施済",K376="実施済"),$T376*1,0)</f>
        <v>0</v>
      </c>
      <c r="V376" s="260"/>
      <c r="W376" s="131" t="str">
        <f t="shared" si="196"/>
        <v/>
      </c>
      <c r="X376" s="131">
        <f t="shared" si="194"/>
        <v>1</v>
      </c>
      <c r="Y376" s="131">
        <f t="shared" si="197"/>
        <v>1</v>
      </c>
      <c r="Z376" s="131" t="str" cm="1">
        <f t="array" ref="Z376">_xlfn.IFS(X376=4,"A",X376=3,"B",X376=2,"C",X376=1,"D")</f>
        <v>D</v>
      </c>
      <c r="AA376" s="177"/>
    </row>
    <row r="377" spans="1:27" customFormat="1" ht="103.5" customHeight="1">
      <c r="C377" s="78"/>
      <c r="D377" s="79"/>
      <c r="E377" s="71" t="s">
        <v>238</v>
      </c>
      <c r="F377" s="1057"/>
      <c r="G377" s="1057"/>
      <c r="H377" s="1057"/>
      <c r="I377" s="1057"/>
      <c r="J377" s="1057"/>
      <c r="K377" s="1057"/>
      <c r="L377" s="1057"/>
      <c r="M377" s="80" t="s">
        <v>132</v>
      </c>
      <c r="N377" s="80"/>
    </row>
    <row r="378" spans="1:27" customFormat="1" ht="146.25" customHeight="1">
      <c r="C378" s="75"/>
      <c r="D378" s="68"/>
      <c r="E378" s="71" t="s">
        <v>237</v>
      </c>
      <c r="F378" s="1057"/>
      <c r="G378" s="1057"/>
      <c r="H378" s="1057"/>
      <c r="I378" s="1057"/>
      <c r="J378" s="1057"/>
      <c r="K378" s="1057"/>
      <c r="L378" s="1057"/>
      <c r="N378" s="2"/>
      <c r="O378" s="2"/>
      <c r="P378" s="2"/>
    </row>
    <row r="379" spans="1:27" customFormat="1" ht="13.5" customHeight="1" thickBot="1">
      <c r="A379" s="81"/>
      <c r="B379" s="81"/>
      <c r="C379" s="81"/>
      <c r="D379" s="81"/>
      <c r="E379" s="81"/>
      <c r="F379" s="81"/>
      <c r="G379" s="81"/>
      <c r="H379" s="81"/>
      <c r="I379" s="81"/>
      <c r="J379" s="81"/>
      <c r="K379" s="81"/>
      <c r="L379" s="81"/>
      <c r="M379" s="81"/>
      <c r="N379" s="82"/>
      <c r="O379" s="2"/>
      <c r="P379" s="2"/>
    </row>
    <row r="380" spans="1:27" customFormat="1" ht="13.5" customHeight="1">
      <c r="A380" s="83"/>
      <c r="B380" s="83"/>
      <c r="C380" s="83"/>
      <c r="D380" s="83"/>
      <c r="E380" s="83"/>
      <c r="F380" s="83"/>
      <c r="G380" s="83"/>
      <c r="H380" s="83"/>
      <c r="I380" s="83"/>
      <c r="J380" s="83"/>
      <c r="K380" s="83"/>
      <c r="L380" s="83"/>
      <c r="M380" s="83"/>
      <c r="N380" s="84"/>
      <c r="O380" s="2"/>
      <c r="P380" s="2"/>
    </row>
    <row r="381" spans="1:27" customFormat="1" ht="15" customHeight="1">
      <c r="B381" s="10"/>
      <c r="C381" s="5"/>
      <c r="D381" s="5"/>
      <c r="E381" s="5"/>
      <c r="F381" s="5"/>
      <c r="G381" s="5"/>
      <c r="H381" s="5"/>
      <c r="I381" s="5"/>
      <c r="J381" s="5"/>
      <c r="K381" s="5"/>
      <c r="L381" s="5"/>
      <c r="M381" s="6"/>
      <c r="R381" s="11" t="str">
        <f>D382</f>
        <v>(選択してください)</v>
      </c>
    </row>
    <row r="382" spans="1:27" customFormat="1">
      <c r="B382" s="7"/>
      <c r="C382" s="77" t="str">
        <f ca="1">IFERROR(OFFSET('4.2民生電力需要量'!$C$1,MATCH(D382,'4.2民生電力需要量'!$E:$E,0)-1,0),"")</f>
        <v/>
      </c>
      <c r="D382" s="96" t="s">
        <v>130</v>
      </c>
      <c r="E382" s="72" t="s">
        <v>131</v>
      </c>
      <c r="F382" s="1063" t="str">
        <f ca="1">IFERROR(OFFSET('4.2民生電力需要量'!$G$1,MATCH($D382,'4.2民生電力需要量'!$E:$E,0)-1,0),"")</f>
        <v/>
      </c>
      <c r="G382" s="1063"/>
      <c r="H382" s="1063"/>
      <c r="I382" s="1063"/>
      <c r="J382" s="1063"/>
      <c r="K382" s="1063"/>
      <c r="L382" s="1063"/>
      <c r="M382" s="8"/>
      <c r="R382" s="257" t="str">
        <f ca="1">IFERROR(OFFSET('4.2民生電力需要量'!$G$1,MATCH($D382,'4.2民生電力需要量'!$E:$E,0)-1,0),"")</f>
        <v/>
      </c>
      <c r="S382" s="177"/>
      <c r="T382" s="177"/>
      <c r="U382" s="177"/>
      <c r="V382" s="177"/>
      <c r="W382" s="177"/>
      <c r="X382" s="177"/>
      <c r="Y382" s="177"/>
      <c r="Z382" s="177"/>
      <c r="AA382" s="177">
        <f ca="1">(F382=R382)*1</f>
        <v>1</v>
      </c>
    </row>
    <row r="383" spans="1:27" customFormat="1">
      <c r="B383" s="7"/>
      <c r="C383" s="74"/>
      <c r="D383" s="66"/>
      <c r="E383" s="72" t="s">
        <v>221</v>
      </c>
      <c r="F383" s="1062" t="str">
        <f ca="1">IFERROR(OFFSET('4.2民生電力需要量'!$I$1,MATCH($D382,'4.2民生電力需要量'!$E:$E,0)-1,0),"")</f>
        <v/>
      </c>
      <c r="G383" s="1062"/>
      <c r="H383" s="1062"/>
      <c r="I383" s="1062"/>
      <c r="J383" s="1062"/>
      <c r="K383" s="1062"/>
      <c r="L383" s="1062"/>
      <c r="M383" s="8"/>
      <c r="R383" s="257" t="str">
        <f ca="1">IFERROR(OFFSET('4.2民生電力需要量'!$I$1,MATCH($D382,'4.2民生電力需要量'!$E:$E,0)-1,0),"")</f>
        <v/>
      </c>
      <c r="S383" s="177"/>
      <c r="T383" s="177"/>
      <c r="U383" s="177"/>
      <c r="V383" s="177"/>
      <c r="W383" s="177"/>
      <c r="X383" s="177"/>
      <c r="Y383" s="177"/>
      <c r="Z383" s="177"/>
      <c r="AA383" s="177">
        <f t="shared" ref="AA383:AA384" ca="1" si="199">(F383=R383)*1</f>
        <v>1</v>
      </c>
    </row>
    <row r="384" spans="1:27" customFormat="1">
      <c r="B384" s="7"/>
      <c r="C384" s="74"/>
      <c r="D384" s="66"/>
      <c r="E384" s="72" t="s">
        <v>176</v>
      </c>
      <c r="F384" s="1063" t="str">
        <f>_xlfn.IFNA(R384,"")</f>
        <v/>
      </c>
      <c r="G384" s="1063"/>
      <c r="H384" s="1063"/>
      <c r="I384" s="1063"/>
      <c r="J384" s="1063"/>
      <c r="K384" s="1063"/>
      <c r="L384" s="1063"/>
      <c r="M384" s="8"/>
      <c r="R384" s="131" t="str">
        <f>IF(OR(COUNTIF($E386:$E391,"&lt;&gt;〇〇(合意形成対象者名に書き換え)")=3,COUNTIF($E386:$E391,"")&gt;3),"",IF(PRODUCT($Y386:$Y391)=1,Z386,""))</f>
        <v/>
      </c>
      <c r="S384" s="177"/>
      <c r="T384" s="177"/>
      <c r="U384" s="177"/>
      <c r="V384" s="177"/>
      <c r="W384" s="177"/>
      <c r="X384" s="177"/>
      <c r="Y384" s="177"/>
      <c r="Z384" s="177"/>
      <c r="AA384" s="177">
        <f t="shared" si="199"/>
        <v>1</v>
      </c>
    </row>
    <row r="385" spans="1:27" ht="63.75" customHeight="1">
      <c r="B385" s="97"/>
      <c r="C385" s="98"/>
      <c r="D385" s="99"/>
      <c r="E385" s="374"/>
      <c r="F385" s="315" t="s">
        <v>270</v>
      </c>
      <c r="G385" s="315" t="s">
        <v>273</v>
      </c>
      <c r="H385" s="315" t="s">
        <v>274</v>
      </c>
      <c r="I385" s="315" t="s">
        <v>271</v>
      </c>
      <c r="J385" s="315" t="s">
        <v>440</v>
      </c>
      <c r="K385" s="315" t="s">
        <v>441</v>
      </c>
      <c r="L385" s="315" t="s">
        <v>272</v>
      </c>
      <c r="M385" s="100"/>
      <c r="N385" s="11"/>
      <c r="R385" s="128" t="s">
        <v>302</v>
      </c>
      <c r="S385" s="259" t="s">
        <v>429</v>
      </c>
      <c r="T385" s="128" t="s">
        <v>430</v>
      </c>
      <c r="U385" s="298" t="s">
        <v>442</v>
      </c>
      <c r="V385" s="258" t="s">
        <v>272</v>
      </c>
      <c r="W385" s="128" t="s">
        <v>432</v>
      </c>
      <c r="X385" s="131" t="s">
        <v>408</v>
      </c>
      <c r="Y385" s="131" t="s">
        <v>436</v>
      </c>
      <c r="Z385" s="128" t="s">
        <v>431</v>
      </c>
      <c r="AA385" s="257"/>
    </row>
    <row r="386" spans="1:27" hidden="1">
      <c r="B386" s="97"/>
      <c r="C386" s="98"/>
      <c r="D386" s="99"/>
      <c r="E386" s="444"/>
      <c r="F386" s="445"/>
      <c r="G386" s="441"/>
      <c r="H386" s="445"/>
      <c r="I386" s="441"/>
      <c r="J386" s="445"/>
      <c r="K386" s="441"/>
      <c r="L386" s="446"/>
      <c r="M386" s="100"/>
      <c r="N386" s="11"/>
      <c r="R386" s="131">
        <f t="shared" ref="R386:R391" si="200">IF(F386="実施済",1,0)</f>
        <v>0</v>
      </c>
      <c r="S386" s="260"/>
      <c r="T386" s="131">
        <f t="shared" ref="T386:T391" si="201">IF(AND(H386="実施済",I386="実施済"),R386*1,0)</f>
        <v>0</v>
      </c>
      <c r="U386" s="131">
        <f>IF(AND(J386="実施済",K386="実施済"),$T386*1,0)</f>
        <v>0</v>
      </c>
      <c r="V386" s="260"/>
      <c r="W386" s="131" t="str">
        <f>IF(OR(E386="〇〇(合意形成対象者名に書き換え)",E386=""),"",SUM(R386,T386,U386))</f>
        <v/>
      </c>
      <c r="X386" s="131">
        <f t="shared" ref="X386:X391" si="202">MIN($W$386:$W$391)+1</f>
        <v>1</v>
      </c>
      <c r="Y386" s="131">
        <f>IF(E386="",1,IF(AND(E386="〇〇(合意形成対象者名に書き換え)",COUNTA($F386:$L386)=0),1,IF(AND(E386&lt;&gt;"〇〇(合意形成対象者名に書き換え)",COUNTA($F386:$L386)=7),1,0)))</f>
        <v>1</v>
      </c>
      <c r="Z386" s="131" t="str" cm="1">
        <f t="array" ref="Z386">_xlfn.IFS(X386=4,"A",X386=3,"B",X386=2,"C",X386=1,"D")</f>
        <v>D</v>
      </c>
      <c r="AA386" s="257"/>
    </row>
    <row r="387" spans="1:27">
      <c r="B387" s="97"/>
      <c r="C387" s="98"/>
      <c r="D387" s="99"/>
      <c r="E387" s="450" t="s">
        <v>129</v>
      </c>
      <c r="F387" s="449"/>
      <c r="G387" s="443"/>
      <c r="H387" s="449"/>
      <c r="I387" s="443"/>
      <c r="J387" s="449"/>
      <c r="K387" s="443"/>
      <c r="L387" s="443"/>
      <c r="M387" s="100"/>
      <c r="N387" s="11"/>
      <c r="R387" s="131">
        <f t="shared" si="200"/>
        <v>0</v>
      </c>
      <c r="S387" s="260"/>
      <c r="T387" s="131">
        <f t="shared" si="201"/>
        <v>0</v>
      </c>
      <c r="U387" s="131">
        <f t="shared" ref="U387:U389" si="203">IF(AND(J387="実施済",K387="実施済"),$T387*1,0)</f>
        <v>0</v>
      </c>
      <c r="V387" s="260"/>
      <c r="W387" s="131" t="str">
        <f t="shared" ref="W387:W391" si="204">IF(OR(E387="〇〇(合意形成対象者名に書き換え)",E387=""),"",SUM(R387,T387,U387))</f>
        <v/>
      </c>
      <c r="X387" s="131">
        <f t="shared" si="202"/>
        <v>1</v>
      </c>
      <c r="Y387" s="131">
        <f t="shared" ref="Y387:Y391" si="205">IF(E387="",1,IF(AND(E387="〇〇(合意形成対象者名に書き換え)",COUNTA($F387:$L387)=0),1,IF(AND(E387&lt;&gt;"〇〇(合意形成対象者名に書き換え)",COUNTA($F387:$L387)=7),1,0)))</f>
        <v>1</v>
      </c>
      <c r="Z387" s="131" t="str" cm="1">
        <f t="array" ref="Z387">_xlfn.IFS(X387=4,"A",X387=3,"B",X387=2,"C",X387=1,"D")</f>
        <v>D</v>
      </c>
      <c r="AA387" s="257"/>
    </row>
    <row r="388" spans="1:27">
      <c r="B388" s="97"/>
      <c r="C388" s="98"/>
      <c r="D388" s="99"/>
      <c r="E388" s="450" t="s">
        <v>129</v>
      </c>
      <c r="F388" s="449"/>
      <c r="G388" s="443"/>
      <c r="H388" s="449"/>
      <c r="I388" s="443"/>
      <c r="J388" s="449"/>
      <c r="K388" s="443"/>
      <c r="L388" s="443"/>
      <c r="M388" s="100"/>
      <c r="N388" s="11"/>
      <c r="R388" s="131">
        <f t="shared" si="200"/>
        <v>0</v>
      </c>
      <c r="S388" s="260"/>
      <c r="T388" s="131">
        <f t="shared" si="201"/>
        <v>0</v>
      </c>
      <c r="U388" s="131">
        <f t="shared" si="203"/>
        <v>0</v>
      </c>
      <c r="V388" s="260"/>
      <c r="W388" s="131" t="str">
        <f t="shared" si="204"/>
        <v/>
      </c>
      <c r="X388" s="131">
        <f t="shared" si="202"/>
        <v>1</v>
      </c>
      <c r="Y388" s="131">
        <f t="shared" si="205"/>
        <v>1</v>
      </c>
      <c r="Z388" s="131" t="str" cm="1">
        <f t="array" ref="Z388">_xlfn.IFS(X388=4,"A",X388=3,"B",X388=2,"C",X388=1,"D")</f>
        <v>D</v>
      </c>
      <c r="AA388" s="257"/>
    </row>
    <row r="389" spans="1:27" s="101" customFormat="1">
      <c r="A389" s="11"/>
      <c r="B389" s="97"/>
      <c r="C389" s="98"/>
      <c r="D389" s="99"/>
      <c r="E389" s="450" t="s">
        <v>129</v>
      </c>
      <c r="F389" s="449"/>
      <c r="G389" s="443"/>
      <c r="H389" s="449"/>
      <c r="I389" s="443"/>
      <c r="J389" s="449"/>
      <c r="K389" s="443"/>
      <c r="L389" s="443"/>
      <c r="M389" s="100"/>
      <c r="N389" s="11"/>
      <c r="Q389" s="11"/>
      <c r="R389" s="131">
        <f t="shared" si="200"/>
        <v>0</v>
      </c>
      <c r="S389" s="260"/>
      <c r="T389" s="131">
        <f t="shared" si="201"/>
        <v>0</v>
      </c>
      <c r="U389" s="131">
        <f t="shared" si="203"/>
        <v>0</v>
      </c>
      <c r="V389" s="260"/>
      <c r="W389" s="131" t="str">
        <f t="shared" si="204"/>
        <v/>
      </c>
      <c r="X389" s="131">
        <f t="shared" si="202"/>
        <v>1</v>
      </c>
      <c r="Y389" s="131">
        <f t="shared" si="205"/>
        <v>1</v>
      </c>
      <c r="Z389" s="131" t="str" cm="1">
        <f t="array" ref="Z389">_xlfn.IFS(X389=4,"A",X389=3,"B",X389=2,"C",X389=1,"D")</f>
        <v>D</v>
      </c>
      <c r="AA389" s="131"/>
    </row>
    <row r="390" spans="1:27" customFormat="1" ht="7.5" customHeight="1">
      <c r="B390" s="65"/>
      <c r="C390" s="4"/>
      <c r="D390" s="4"/>
      <c r="E390" s="4"/>
      <c r="F390" s="4"/>
      <c r="G390" s="4"/>
      <c r="H390" s="4"/>
      <c r="I390" s="4"/>
      <c r="J390" s="4"/>
      <c r="K390" s="4"/>
      <c r="L390" s="4"/>
      <c r="M390" s="9"/>
      <c r="N390" s="2"/>
      <c r="O390" s="2"/>
      <c r="P390" s="2"/>
      <c r="R390" s="131">
        <f t="shared" si="200"/>
        <v>0</v>
      </c>
      <c r="S390" s="260"/>
      <c r="T390" s="131">
        <f t="shared" si="201"/>
        <v>0</v>
      </c>
      <c r="U390" s="131">
        <f>IF(AND(J390="実施済",K390="実施済"),$T390*1,0)</f>
        <v>0</v>
      </c>
      <c r="V390" s="260"/>
      <c r="W390" s="131" t="str">
        <f t="shared" si="204"/>
        <v/>
      </c>
      <c r="X390" s="131">
        <f t="shared" si="202"/>
        <v>1</v>
      </c>
      <c r="Y390" s="131">
        <f t="shared" si="205"/>
        <v>1</v>
      </c>
      <c r="Z390" s="131" t="str" cm="1">
        <f t="array" ref="Z390">_xlfn.IFS(X390=4,"A",X390=3,"B",X390=2,"C",X390=1,"D")</f>
        <v>D</v>
      </c>
      <c r="AA390" s="177"/>
    </row>
    <row r="391" spans="1:27" customFormat="1" ht="18" customHeight="1">
      <c r="N391" s="2"/>
      <c r="O391" s="2"/>
      <c r="P391" s="2"/>
      <c r="R391" s="131">
        <f t="shared" si="200"/>
        <v>0</v>
      </c>
      <c r="S391" s="260"/>
      <c r="T391" s="131">
        <f t="shared" si="201"/>
        <v>0</v>
      </c>
      <c r="U391" s="131">
        <f t="shared" ref="U391" si="206">IF(AND(J391="実施済",K391="実施済"),$T391*1,0)</f>
        <v>0</v>
      </c>
      <c r="V391" s="260"/>
      <c r="W391" s="131" t="str">
        <f t="shared" si="204"/>
        <v/>
      </c>
      <c r="X391" s="131">
        <f t="shared" si="202"/>
        <v>1</v>
      </c>
      <c r="Y391" s="131">
        <f t="shared" si="205"/>
        <v>1</v>
      </c>
      <c r="Z391" s="131" t="str" cm="1">
        <f t="array" ref="Z391">_xlfn.IFS(X391=4,"A",X391=3,"B",X391=2,"C",X391=1,"D")</f>
        <v>D</v>
      </c>
      <c r="AA391" s="177"/>
    </row>
    <row r="392" spans="1:27" customFormat="1" ht="103.5" customHeight="1">
      <c r="C392" s="78"/>
      <c r="D392" s="79"/>
      <c r="E392" s="71" t="s">
        <v>238</v>
      </c>
      <c r="F392" s="1057"/>
      <c r="G392" s="1057"/>
      <c r="H392" s="1057"/>
      <c r="I392" s="1057"/>
      <c r="J392" s="1057"/>
      <c r="K392" s="1057"/>
      <c r="L392" s="1057"/>
      <c r="M392" s="80" t="s">
        <v>132</v>
      </c>
      <c r="N392" s="80"/>
    </row>
    <row r="393" spans="1:27" customFormat="1" ht="146.25" customHeight="1">
      <c r="C393" s="75"/>
      <c r="D393" s="68"/>
      <c r="E393" s="71" t="s">
        <v>237</v>
      </c>
      <c r="F393" s="1057"/>
      <c r="G393" s="1057"/>
      <c r="H393" s="1057"/>
      <c r="I393" s="1057"/>
      <c r="J393" s="1057"/>
      <c r="K393" s="1057"/>
      <c r="L393" s="1057"/>
      <c r="N393" s="2"/>
      <c r="O393" s="2"/>
      <c r="P393" s="2"/>
    </row>
    <row r="394" spans="1:27" customFormat="1" ht="13.5" customHeight="1" thickBot="1">
      <c r="A394" s="81"/>
      <c r="B394" s="81"/>
      <c r="C394" s="81"/>
      <c r="D394" s="81"/>
      <c r="E394" s="81"/>
      <c r="F394" s="81"/>
      <c r="G394" s="81"/>
      <c r="H394" s="81"/>
      <c r="I394" s="81"/>
      <c r="J394" s="81"/>
      <c r="K394" s="81"/>
      <c r="L394" s="81"/>
      <c r="M394" s="81"/>
      <c r="N394" s="82"/>
      <c r="O394" s="2"/>
      <c r="P394" s="2"/>
    </row>
    <row r="395" spans="1:27" customFormat="1" ht="13.5" customHeight="1">
      <c r="A395" s="83"/>
      <c r="B395" s="83"/>
      <c r="C395" s="83"/>
      <c r="D395" s="83"/>
      <c r="E395" s="83"/>
      <c r="F395" s="83"/>
      <c r="G395" s="83"/>
      <c r="H395" s="83"/>
      <c r="I395" s="83"/>
      <c r="J395" s="83"/>
      <c r="K395" s="83"/>
      <c r="L395" s="83"/>
      <c r="M395" s="83"/>
      <c r="N395" s="84"/>
      <c r="O395" s="2"/>
      <c r="P395" s="2"/>
    </row>
    <row r="396" spans="1:27" customFormat="1" ht="15" customHeight="1">
      <c r="B396" s="10"/>
      <c r="C396" s="5"/>
      <c r="D396" s="5"/>
      <c r="E396" s="5"/>
      <c r="F396" s="5"/>
      <c r="G396" s="5"/>
      <c r="H396" s="5"/>
      <c r="I396" s="5"/>
      <c r="J396" s="5"/>
      <c r="K396" s="5"/>
      <c r="L396" s="5"/>
      <c r="M396" s="6"/>
      <c r="R396" s="11" t="str">
        <f>D397</f>
        <v>(選択してください)</v>
      </c>
    </row>
    <row r="397" spans="1:27" customFormat="1">
      <c r="B397" s="7"/>
      <c r="C397" s="77" t="str">
        <f ca="1">IFERROR(OFFSET('4.2民生電力需要量'!$C$1,MATCH(D397,'4.2民生電力需要量'!$E:$E,0)-1,0),"")</f>
        <v/>
      </c>
      <c r="D397" s="96" t="s">
        <v>130</v>
      </c>
      <c r="E397" s="72" t="s">
        <v>131</v>
      </c>
      <c r="F397" s="1063" t="str">
        <f ca="1">IFERROR(OFFSET('4.2民生電力需要量'!$G$1,MATCH($D397,'4.2民生電力需要量'!$E:$E,0)-1,0),"")</f>
        <v/>
      </c>
      <c r="G397" s="1063"/>
      <c r="H397" s="1063"/>
      <c r="I397" s="1063"/>
      <c r="J397" s="1063"/>
      <c r="K397" s="1063"/>
      <c r="L397" s="1063"/>
      <c r="M397" s="8"/>
      <c r="R397" s="257" t="str">
        <f ca="1">IFERROR(OFFSET('4.2民生電力需要量'!$G$1,MATCH($D397,'4.2民生電力需要量'!$E:$E,0)-1,0),"")</f>
        <v/>
      </c>
      <c r="S397" s="177"/>
      <c r="T397" s="177"/>
      <c r="U397" s="177"/>
      <c r="V397" s="177"/>
      <c r="W397" s="177"/>
      <c r="X397" s="177"/>
      <c r="Y397" s="177"/>
      <c r="Z397" s="177"/>
      <c r="AA397" s="177">
        <f ca="1">(F397=R397)*1</f>
        <v>1</v>
      </c>
    </row>
    <row r="398" spans="1:27" customFormat="1">
      <c r="B398" s="7"/>
      <c r="C398" s="74"/>
      <c r="D398" s="66"/>
      <c r="E398" s="72" t="s">
        <v>221</v>
      </c>
      <c r="F398" s="1062" t="str">
        <f ca="1">IFERROR(OFFSET('4.2民生電力需要量'!$I$1,MATCH($D397,'4.2民生電力需要量'!$E:$E,0)-1,0),"")</f>
        <v/>
      </c>
      <c r="G398" s="1062"/>
      <c r="H398" s="1062"/>
      <c r="I398" s="1062"/>
      <c r="J398" s="1062"/>
      <c r="K398" s="1062"/>
      <c r="L398" s="1062"/>
      <c r="M398" s="8"/>
      <c r="R398" s="257" t="str">
        <f ca="1">IFERROR(OFFSET('4.2民生電力需要量'!$I$1,MATCH($D397,'4.2民生電力需要量'!$E:$E,0)-1,0),"")</f>
        <v/>
      </c>
      <c r="S398" s="177"/>
      <c r="T398" s="177"/>
      <c r="U398" s="177"/>
      <c r="V398" s="177"/>
      <c r="W398" s="177"/>
      <c r="X398" s="177"/>
      <c r="Y398" s="177"/>
      <c r="Z398" s="177"/>
      <c r="AA398" s="177">
        <f t="shared" ref="AA398:AA399" ca="1" si="207">(F398=R398)*1</f>
        <v>1</v>
      </c>
    </row>
    <row r="399" spans="1:27" customFormat="1">
      <c r="B399" s="7"/>
      <c r="C399" s="74"/>
      <c r="D399" s="66"/>
      <c r="E399" s="72" t="s">
        <v>176</v>
      </c>
      <c r="F399" s="1063" t="str">
        <f>_xlfn.IFNA(R399,"")</f>
        <v/>
      </c>
      <c r="G399" s="1063"/>
      <c r="H399" s="1063"/>
      <c r="I399" s="1063"/>
      <c r="J399" s="1063"/>
      <c r="K399" s="1063"/>
      <c r="L399" s="1063"/>
      <c r="M399" s="8"/>
      <c r="R399" s="131" t="str">
        <f>IF(OR(COUNTIF($E401:$E406,"&lt;&gt;〇〇(合意形成対象者名に書き換え)")=3,COUNTIF($E401:$E406,"")&gt;3),"",IF(PRODUCT($Y401:$Y406)=1,Z401,""))</f>
        <v/>
      </c>
      <c r="S399" s="177"/>
      <c r="T399" s="177"/>
      <c r="U399" s="177"/>
      <c r="V399" s="177"/>
      <c r="W399" s="177"/>
      <c r="X399" s="177"/>
      <c r="Y399" s="177"/>
      <c r="Z399" s="177"/>
      <c r="AA399" s="177">
        <f t="shared" si="207"/>
        <v>1</v>
      </c>
    </row>
    <row r="400" spans="1:27" ht="63.75" customHeight="1">
      <c r="B400" s="97"/>
      <c r="C400" s="98"/>
      <c r="D400" s="99"/>
      <c r="E400" s="374"/>
      <c r="F400" s="315" t="s">
        <v>270</v>
      </c>
      <c r="G400" s="315" t="s">
        <v>273</v>
      </c>
      <c r="H400" s="315" t="s">
        <v>274</v>
      </c>
      <c r="I400" s="315" t="s">
        <v>271</v>
      </c>
      <c r="J400" s="315" t="s">
        <v>440</v>
      </c>
      <c r="K400" s="315" t="s">
        <v>441</v>
      </c>
      <c r="L400" s="315" t="s">
        <v>272</v>
      </c>
      <c r="M400" s="100"/>
      <c r="N400" s="11"/>
      <c r="R400" s="128" t="s">
        <v>302</v>
      </c>
      <c r="S400" s="259" t="s">
        <v>429</v>
      </c>
      <c r="T400" s="128" t="s">
        <v>430</v>
      </c>
      <c r="U400" s="298" t="s">
        <v>442</v>
      </c>
      <c r="V400" s="258" t="s">
        <v>272</v>
      </c>
      <c r="W400" s="128" t="s">
        <v>432</v>
      </c>
      <c r="X400" s="131" t="s">
        <v>408</v>
      </c>
      <c r="Y400" s="131" t="s">
        <v>436</v>
      </c>
      <c r="Z400" s="128" t="s">
        <v>431</v>
      </c>
      <c r="AA400" s="257"/>
    </row>
    <row r="401" spans="1:27" hidden="1">
      <c r="B401" s="97"/>
      <c r="C401" s="98"/>
      <c r="D401" s="99"/>
      <c r="E401" s="444"/>
      <c r="F401" s="445"/>
      <c r="G401" s="441"/>
      <c r="H401" s="445"/>
      <c r="I401" s="441"/>
      <c r="J401" s="445"/>
      <c r="K401" s="441"/>
      <c r="L401" s="446"/>
      <c r="M401" s="100"/>
      <c r="N401" s="11"/>
      <c r="R401" s="131">
        <f t="shared" ref="R401:R406" si="208">IF(F401="実施済",1,0)</f>
        <v>0</v>
      </c>
      <c r="S401" s="260"/>
      <c r="T401" s="131">
        <f t="shared" ref="T401:T406" si="209">IF(AND(H401="実施済",I401="実施済"),R401*1,0)</f>
        <v>0</v>
      </c>
      <c r="U401" s="131">
        <f>IF(AND(J401="実施済",K401="実施済"),$T401*1,0)</f>
        <v>0</v>
      </c>
      <c r="V401" s="260"/>
      <c r="W401" s="131" t="str">
        <f>IF(OR(E401="〇〇(合意形成対象者名に書き換え)",E401=""),"",SUM(R401,T401,U401))</f>
        <v/>
      </c>
      <c r="X401" s="131">
        <f t="shared" ref="X401:X406" si="210">MIN($W$401:$W$406)+1</f>
        <v>1</v>
      </c>
      <c r="Y401" s="131">
        <f>IF(E401="",1,IF(AND(E401="〇〇(合意形成対象者名に書き換え)",COUNTA($F401:$L401)=0),1,IF(AND(E401&lt;&gt;"〇〇(合意形成対象者名に書き換え)",COUNTA($F401:$L401)=7),1,0)))</f>
        <v>1</v>
      </c>
      <c r="Z401" s="131" t="str" cm="1">
        <f t="array" ref="Z401">_xlfn.IFS(X401=4,"A",X401=3,"B",X401=2,"C",X401=1,"D")</f>
        <v>D</v>
      </c>
      <c r="AA401" s="257"/>
    </row>
    <row r="402" spans="1:27">
      <c r="B402" s="97"/>
      <c r="C402" s="98"/>
      <c r="D402" s="99"/>
      <c r="E402" s="450" t="s">
        <v>129</v>
      </c>
      <c r="F402" s="449"/>
      <c r="G402" s="443"/>
      <c r="H402" s="449"/>
      <c r="I402" s="443"/>
      <c r="J402" s="449"/>
      <c r="K402" s="443"/>
      <c r="L402" s="443"/>
      <c r="M402" s="100"/>
      <c r="N402" s="11"/>
      <c r="R402" s="131">
        <f t="shared" si="208"/>
        <v>0</v>
      </c>
      <c r="S402" s="260"/>
      <c r="T402" s="131">
        <f t="shared" si="209"/>
        <v>0</v>
      </c>
      <c r="U402" s="131">
        <f t="shared" ref="U402:U404" si="211">IF(AND(J402="実施済",K402="実施済"),$T402*1,0)</f>
        <v>0</v>
      </c>
      <c r="V402" s="260"/>
      <c r="W402" s="131" t="str">
        <f t="shared" ref="W402:W406" si="212">IF(OR(E402="〇〇(合意形成対象者名に書き換え)",E402=""),"",SUM(R402,T402,U402))</f>
        <v/>
      </c>
      <c r="X402" s="131">
        <f t="shared" si="210"/>
        <v>1</v>
      </c>
      <c r="Y402" s="131">
        <f t="shared" ref="Y402:Y406" si="213">IF(E402="",1,IF(AND(E402="〇〇(合意形成対象者名に書き換え)",COUNTA($F402:$L402)=0),1,IF(AND(E402&lt;&gt;"〇〇(合意形成対象者名に書き換え)",COUNTA($F402:$L402)=7),1,0)))</f>
        <v>1</v>
      </c>
      <c r="Z402" s="131" t="str" cm="1">
        <f t="array" ref="Z402">_xlfn.IFS(X402=4,"A",X402=3,"B",X402=2,"C",X402=1,"D")</f>
        <v>D</v>
      </c>
      <c r="AA402" s="257"/>
    </row>
    <row r="403" spans="1:27">
      <c r="B403" s="97"/>
      <c r="C403" s="98"/>
      <c r="D403" s="99"/>
      <c r="E403" s="450" t="s">
        <v>129</v>
      </c>
      <c r="F403" s="449"/>
      <c r="G403" s="443"/>
      <c r="H403" s="449"/>
      <c r="I403" s="443"/>
      <c r="J403" s="449"/>
      <c r="K403" s="443"/>
      <c r="L403" s="443"/>
      <c r="M403" s="100"/>
      <c r="N403" s="11"/>
      <c r="R403" s="131">
        <f t="shared" si="208"/>
        <v>0</v>
      </c>
      <c r="S403" s="260"/>
      <c r="T403" s="131">
        <f t="shared" si="209"/>
        <v>0</v>
      </c>
      <c r="U403" s="131">
        <f t="shared" si="211"/>
        <v>0</v>
      </c>
      <c r="V403" s="260"/>
      <c r="W403" s="131" t="str">
        <f t="shared" si="212"/>
        <v/>
      </c>
      <c r="X403" s="131">
        <f t="shared" si="210"/>
        <v>1</v>
      </c>
      <c r="Y403" s="131">
        <f t="shared" si="213"/>
        <v>1</v>
      </c>
      <c r="Z403" s="131" t="str" cm="1">
        <f t="array" ref="Z403">_xlfn.IFS(X403=4,"A",X403=3,"B",X403=2,"C",X403=1,"D")</f>
        <v>D</v>
      </c>
      <c r="AA403" s="257"/>
    </row>
    <row r="404" spans="1:27" s="101" customFormat="1">
      <c r="A404" s="11"/>
      <c r="B404" s="97"/>
      <c r="C404" s="98"/>
      <c r="D404" s="99"/>
      <c r="E404" s="450" t="s">
        <v>129</v>
      </c>
      <c r="F404" s="449"/>
      <c r="G404" s="443"/>
      <c r="H404" s="449"/>
      <c r="I404" s="443"/>
      <c r="J404" s="449"/>
      <c r="K404" s="443"/>
      <c r="L404" s="443"/>
      <c r="M404" s="100"/>
      <c r="N404" s="11"/>
      <c r="Q404" s="11"/>
      <c r="R404" s="131">
        <f t="shared" si="208"/>
        <v>0</v>
      </c>
      <c r="S404" s="260"/>
      <c r="T404" s="131">
        <f t="shared" si="209"/>
        <v>0</v>
      </c>
      <c r="U404" s="131">
        <f t="shared" si="211"/>
        <v>0</v>
      </c>
      <c r="V404" s="260"/>
      <c r="W404" s="131" t="str">
        <f t="shared" si="212"/>
        <v/>
      </c>
      <c r="X404" s="131">
        <f t="shared" si="210"/>
        <v>1</v>
      </c>
      <c r="Y404" s="131">
        <f t="shared" si="213"/>
        <v>1</v>
      </c>
      <c r="Z404" s="131" t="str" cm="1">
        <f t="array" ref="Z404">_xlfn.IFS(X404=4,"A",X404=3,"B",X404=2,"C",X404=1,"D")</f>
        <v>D</v>
      </c>
      <c r="AA404" s="131"/>
    </row>
    <row r="405" spans="1:27" customFormat="1" ht="7.5" customHeight="1">
      <c r="B405" s="65"/>
      <c r="C405" s="4"/>
      <c r="D405" s="4"/>
      <c r="E405" s="4"/>
      <c r="F405" s="4"/>
      <c r="G405" s="4"/>
      <c r="H405" s="4"/>
      <c r="I405" s="4"/>
      <c r="J405" s="4"/>
      <c r="K405" s="4"/>
      <c r="L405" s="4"/>
      <c r="M405" s="9"/>
      <c r="N405" s="2"/>
      <c r="O405" s="2"/>
      <c r="P405" s="2"/>
      <c r="R405" s="131">
        <f t="shared" si="208"/>
        <v>0</v>
      </c>
      <c r="S405" s="260"/>
      <c r="T405" s="131">
        <f t="shared" si="209"/>
        <v>0</v>
      </c>
      <c r="U405" s="131">
        <f>IF(AND(J405="実施済",K405="実施済"),$T405*1,0)</f>
        <v>0</v>
      </c>
      <c r="V405" s="260"/>
      <c r="W405" s="131" t="str">
        <f t="shared" si="212"/>
        <v/>
      </c>
      <c r="X405" s="131">
        <f t="shared" si="210"/>
        <v>1</v>
      </c>
      <c r="Y405" s="131">
        <f t="shared" si="213"/>
        <v>1</v>
      </c>
      <c r="Z405" s="131" t="str" cm="1">
        <f t="array" ref="Z405">_xlfn.IFS(X405=4,"A",X405=3,"B",X405=2,"C",X405=1,"D")</f>
        <v>D</v>
      </c>
      <c r="AA405" s="177"/>
    </row>
    <row r="406" spans="1:27" customFormat="1" ht="18" customHeight="1">
      <c r="N406" s="2"/>
      <c r="O406" s="2"/>
      <c r="P406" s="2"/>
      <c r="R406" s="131">
        <f t="shared" si="208"/>
        <v>0</v>
      </c>
      <c r="S406" s="260"/>
      <c r="T406" s="131">
        <f t="shared" si="209"/>
        <v>0</v>
      </c>
      <c r="U406" s="131">
        <f t="shared" ref="U406" si="214">IF(AND(J406="実施済",K406="実施済"),$T406*1,0)</f>
        <v>0</v>
      </c>
      <c r="V406" s="260"/>
      <c r="W406" s="131" t="str">
        <f t="shared" si="212"/>
        <v/>
      </c>
      <c r="X406" s="131">
        <f t="shared" si="210"/>
        <v>1</v>
      </c>
      <c r="Y406" s="131">
        <f t="shared" si="213"/>
        <v>1</v>
      </c>
      <c r="Z406" s="131" t="str" cm="1">
        <f t="array" ref="Z406">_xlfn.IFS(X406=4,"A",X406=3,"B",X406=2,"C",X406=1,"D")</f>
        <v>D</v>
      </c>
      <c r="AA406" s="177"/>
    </row>
    <row r="407" spans="1:27" customFormat="1" ht="103.5" customHeight="1">
      <c r="C407" s="78"/>
      <c r="D407" s="79"/>
      <c r="E407" s="71" t="s">
        <v>238</v>
      </c>
      <c r="F407" s="1057"/>
      <c r="G407" s="1057"/>
      <c r="H407" s="1057"/>
      <c r="I407" s="1057"/>
      <c r="J407" s="1057"/>
      <c r="K407" s="1057"/>
      <c r="L407" s="1057"/>
      <c r="M407" s="80" t="s">
        <v>132</v>
      </c>
      <c r="N407" s="80"/>
    </row>
    <row r="408" spans="1:27" customFormat="1" ht="146.25" customHeight="1">
      <c r="C408" s="75"/>
      <c r="D408" s="68"/>
      <c r="E408" s="71" t="s">
        <v>237</v>
      </c>
      <c r="F408" s="1057"/>
      <c r="G408" s="1057"/>
      <c r="H408" s="1057"/>
      <c r="I408" s="1057"/>
      <c r="J408" s="1057"/>
      <c r="K408" s="1057"/>
      <c r="L408" s="1057"/>
      <c r="N408" s="2"/>
      <c r="O408" s="2"/>
      <c r="P408" s="2"/>
    </row>
    <row r="409" spans="1:27" customFormat="1" ht="13.5" customHeight="1" thickBot="1">
      <c r="A409" s="81"/>
      <c r="B409" s="81"/>
      <c r="C409" s="81"/>
      <c r="D409" s="81"/>
      <c r="E409" s="81"/>
      <c r="F409" s="81"/>
      <c r="G409" s="81"/>
      <c r="H409" s="81"/>
      <c r="I409" s="81"/>
      <c r="J409" s="81"/>
      <c r="K409" s="81"/>
      <c r="L409" s="81"/>
      <c r="M409" s="81"/>
      <c r="N409" s="82"/>
      <c r="O409" s="2"/>
      <c r="P409" s="2"/>
    </row>
    <row r="410" spans="1:27" customFormat="1" ht="13.5" customHeight="1">
      <c r="A410" s="83"/>
      <c r="B410" s="83"/>
      <c r="C410" s="83"/>
      <c r="D410" s="83"/>
      <c r="E410" s="83"/>
      <c r="F410" s="83"/>
      <c r="G410" s="83"/>
      <c r="H410" s="83"/>
      <c r="I410" s="83"/>
      <c r="J410" s="83"/>
      <c r="K410" s="83"/>
      <c r="L410" s="83"/>
      <c r="M410" s="83"/>
      <c r="N410" s="84"/>
      <c r="O410" s="2"/>
      <c r="P410" s="2"/>
    </row>
    <row r="411" spans="1:27" customFormat="1" ht="15" customHeight="1">
      <c r="B411" s="10"/>
      <c r="C411" s="5"/>
      <c r="D411" s="5"/>
      <c r="E411" s="5"/>
      <c r="F411" s="5"/>
      <c r="G411" s="5"/>
      <c r="H411" s="5"/>
      <c r="I411" s="5"/>
      <c r="J411" s="5"/>
      <c r="K411" s="5"/>
      <c r="L411" s="5"/>
      <c r="M411" s="6"/>
      <c r="R411" s="11" t="str">
        <f>D412</f>
        <v>(選択してください)</v>
      </c>
    </row>
    <row r="412" spans="1:27" customFormat="1">
      <c r="B412" s="7"/>
      <c r="C412" s="77" t="str">
        <f ca="1">IFERROR(OFFSET('4.2民生電力需要量'!$C$1,MATCH(D412,'4.2民生電力需要量'!$E:$E,0)-1,0),"")</f>
        <v/>
      </c>
      <c r="D412" s="96" t="s">
        <v>130</v>
      </c>
      <c r="E412" s="72" t="s">
        <v>131</v>
      </c>
      <c r="F412" s="1063" t="str">
        <f ca="1">IFERROR(OFFSET('4.2民生電力需要量'!$G$1,MATCH($D412,'4.2民生電力需要量'!$E:$E,0)-1,0),"")</f>
        <v/>
      </c>
      <c r="G412" s="1063"/>
      <c r="H412" s="1063"/>
      <c r="I412" s="1063"/>
      <c r="J412" s="1063"/>
      <c r="K412" s="1063"/>
      <c r="L412" s="1063"/>
      <c r="M412" s="8"/>
      <c r="R412" s="257" t="str">
        <f ca="1">IFERROR(OFFSET('4.2民生電力需要量'!$G$1,MATCH($D412,'4.2民生電力需要量'!$E:$E,0)-1,0),"")</f>
        <v/>
      </c>
      <c r="S412" s="177"/>
      <c r="T412" s="177"/>
      <c r="U412" s="177"/>
      <c r="V412" s="177"/>
      <c r="W412" s="177"/>
      <c r="X412" s="177"/>
      <c r="Y412" s="177"/>
      <c r="Z412" s="177"/>
      <c r="AA412" s="177">
        <f ca="1">(F412=R412)*1</f>
        <v>1</v>
      </c>
    </row>
    <row r="413" spans="1:27" customFormat="1">
      <c r="B413" s="7"/>
      <c r="C413" s="74"/>
      <c r="D413" s="66"/>
      <c r="E413" s="72" t="s">
        <v>221</v>
      </c>
      <c r="F413" s="1062" t="str">
        <f ca="1">IFERROR(OFFSET('4.2民生電力需要量'!$I$1,MATCH($D412,'4.2民生電力需要量'!$E:$E,0)-1,0),"")</f>
        <v/>
      </c>
      <c r="G413" s="1062"/>
      <c r="H413" s="1062"/>
      <c r="I413" s="1062"/>
      <c r="J413" s="1062"/>
      <c r="K413" s="1062"/>
      <c r="L413" s="1062"/>
      <c r="M413" s="8"/>
      <c r="R413" s="257" t="str">
        <f ca="1">IFERROR(OFFSET('4.2民生電力需要量'!$I$1,MATCH($D412,'4.2民生電力需要量'!$E:$E,0)-1,0),"")</f>
        <v/>
      </c>
      <c r="S413" s="177"/>
      <c r="T413" s="177"/>
      <c r="U413" s="177"/>
      <c r="V413" s="177"/>
      <c r="W413" s="177"/>
      <c r="X413" s="177"/>
      <c r="Y413" s="177"/>
      <c r="Z413" s="177"/>
      <c r="AA413" s="177">
        <f t="shared" ref="AA413:AA414" ca="1" si="215">(F413=R413)*1</f>
        <v>1</v>
      </c>
    </row>
    <row r="414" spans="1:27" customFormat="1">
      <c r="B414" s="7"/>
      <c r="C414" s="74"/>
      <c r="D414" s="66"/>
      <c r="E414" s="72" t="s">
        <v>176</v>
      </c>
      <c r="F414" s="1063" t="str">
        <f>_xlfn.IFNA(R414,"")</f>
        <v/>
      </c>
      <c r="G414" s="1063"/>
      <c r="H414" s="1063"/>
      <c r="I414" s="1063"/>
      <c r="J414" s="1063"/>
      <c r="K414" s="1063"/>
      <c r="L414" s="1063"/>
      <c r="M414" s="8"/>
      <c r="R414" s="131" t="str">
        <f>IF(OR(COUNTIF($E416:$E421,"&lt;&gt;〇〇(合意形成対象者名に書き換え)")=3,COUNTIF($E416:$E421,"")&gt;3),"",IF(PRODUCT($Y416:$Y421)=1,Z416,""))</f>
        <v/>
      </c>
      <c r="S414" s="177"/>
      <c r="T414" s="177"/>
      <c r="U414" s="177"/>
      <c r="V414" s="177"/>
      <c r="W414" s="177"/>
      <c r="X414" s="177"/>
      <c r="Y414" s="177"/>
      <c r="Z414" s="177"/>
      <c r="AA414" s="177">
        <f t="shared" si="215"/>
        <v>1</v>
      </c>
    </row>
    <row r="415" spans="1:27" ht="63.75" customHeight="1">
      <c r="B415" s="97"/>
      <c r="C415" s="98"/>
      <c r="D415" s="99"/>
      <c r="E415" s="374"/>
      <c r="F415" s="315" t="s">
        <v>270</v>
      </c>
      <c r="G415" s="315" t="s">
        <v>273</v>
      </c>
      <c r="H415" s="315" t="s">
        <v>274</v>
      </c>
      <c r="I415" s="315" t="s">
        <v>271</v>
      </c>
      <c r="J415" s="315" t="s">
        <v>440</v>
      </c>
      <c r="K415" s="315" t="s">
        <v>441</v>
      </c>
      <c r="L415" s="315" t="s">
        <v>272</v>
      </c>
      <c r="M415" s="100"/>
      <c r="N415" s="11"/>
      <c r="R415" s="128" t="s">
        <v>302</v>
      </c>
      <c r="S415" s="259" t="s">
        <v>429</v>
      </c>
      <c r="T415" s="128" t="s">
        <v>430</v>
      </c>
      <c r="U415" s="298" t="s">
        <v>442</v>
      </c>
      <c r="V415" s="258" t="s">
        <v>272</v>
      </c>
      <c r="W415" s="128" t="s">
        <v>432</v>
      </c>
      <c r="X415" s="131" t="s">
        <v>408</v>
      </c>
      <c r="Y415" s="131" t="s">
        <v>436</v>
      </c>
      <c r="Z415" s="128" t="s">
        <v>431</v>
      </c>
      <c r="AA415" s="257"/>
    </row>
    <row r="416" spans="1:27" hidden="1">
      <c r="B416" s="97"/>
      <c r="C416" s="98"/>
      <c r="D416" s="99"/>
      <c r="E416" s="444"/>
      <c r="F416" s="445"/>
      <c r="G416" s="441"/>
      <c r="H416" s="445"/>
      <c r="I416" s="441"/>
      <c r="J416" s="445"/>
      <c r="K416" s="441"/>
      <c r="L416" s="446"/>
      <c r="M416" s="100"/>
      <c r="N416" s="11"/>
      <c r="R416" s="131">
        <f t="shared" ref="R416:R421" si="216">IF(F416="実施済",1,0)</f>
        <v>0</v>
      </c>
      <c r="S416" s="260"/>
      <c r="T416" s="131">
        <f t="shared" ref="T416:T421" si="217">IF(AND(H416="実施済",I416="実施済"),R416*1,0)</f>
        <v>0</v>
      </c>
      <c r="U416" s="131">
        <f>IF(AND(J416="実施済",K416="実施済"),$T416*1,0)</f>
        <v>0</v>
      </c>
      <c r="V416" s="260"/>
      <c r="W416" s="131" t="str">
        <f>IF(OR(E416="〇〇(合意形成対象者名に書き換え)",E416=""),"",SUM(R416,T416,U416))</f>
        <v/>
      </c>
      <c r="X416" s="131">
        <f t="shared" ref="X416:X421" si="218">MIN($W$416:$W$421)+1</f>
        <v>1</v>
      </c>
      <c r="Y416" s="131">
        <f>IF(E416="",1,IF(AND(E416="〇〇(合意形成対象者名に書き換え)",COUNTA($F416:$L416)=0),1,IF(AND(E416&lt;&gt;"〇〇(合意形成対象者名に書き換え)",COUNTA($F416:$L416)=7),1,0)))</f>
        <v>1</v>
      </c>
      <c r="Z416" s="131" t="str" cm="1">
        <f t="array" ref="Z416">_xlfn.IFS(X416=4,"A",X416=3,"B",X416=2,"C",X416=1,"D")</f>
        <v>D</v>
      </c>
      <c r="AA416" s="257"/>
    </row>
    <row r="417" spans="1:27">
      <c r="B417" s="97"/>
      <c r="C417" s="98"/>
      <c r="D417" s="99"/>
      <c r="E417" s="450" t="s">
        <v>129</v>
      </c>
      <c r="F417" s="449"/>
      <c r="G417" s="443"/>
      <c r="H417" s="449"/>
      <c r="I417" s="443"/>
      <c r="J417" s="449"/>
      <c r="K417" s="443"/>
      <c r="L417" s="443"/>
      <c r="M417" s="100"/>
      <c r="N417" s="11"/>
      <c r="R417" s="131">
        <f t="shared" si="216"/>
        <v>0</v>
      </c>
      <c r="S417" s="260"/>
      <c r="T417" s="131">
        <f t="shared" si="217"/>
        <v>0</v>
      </c>
      <c r="U417" s="131">
        <f t="shared" ref="U417:U419" si="219">IF(AND(J417="実施済",K417="実施済"),$T417*1,0)</f>
        <v>0</v>
      </c>
      <c r="V417" s="260"/>
      <c r="W417" s="131" t="str">
        <f t="shared" ref="W417:W421" si="220">IF(OR(E417="〇〇(合意形成対象者名に書き換え)",E417=""),"",SUM(R417,T417,U417))</f>
        <v/>
      </c>
      <c r="X417" s="131">
        <f t="shared" si="218"/>
        <v>1</v>
      </c>
      <c r="Y417" s="131">
        <f t="shared" ref="Y417:Y421" si="221">IF(E417="",1,IF(AND(E417="〇〇(合意形成対象者名に書き換え)",COUNTA($F417:$L417)=0),1,IF(AND(E417&lt;&gt;"〇〇(合意形成対象者名に書き換え)",COUNTA($F417:$L417)=7),1,0)))</f>
        <v>1</v>
      </c>
      <c r="Z417" s="131" t="str" cm="1">
        <f t="array" ref="Z417">_xlfn.IFS(X417=4,"A",X417=3,"B",X417=2,"C",X417=1,"D")</f>
        <v>D</v>
      </c>
      <c r="AA417" s="257"/>
    </row>
    <row r="418" spans="1:27">
      <c r="B418" s="97"/>
      <c r="C418" s="98"/>
      <c r="D418" s="99"/>
      <c r="E418" s="450" t="s">
        <v>129</v>
      </c>
      <c r="F418" s="449"/>
      <c r="G418" s="443"/>
      <c r="H418" s="449"/>
      <c r="I418" s="443"/>
      <c r="J418" s="449"/>
      <c r="K418" s="443"/>
      <c r="L418" s="443"/>
      <c r="M418" s="100"/>
      <c r="N418" s="11"/>
      <c r="R418" s="131">
        <f t="shared" si="216"/>
        <v>0</v>
      </c>
      <c r="S418" s="260"/>
      <c r="T418" s="131">
        <f t="shared" si="217"/>
        <v>0</v>
      </c>
      <c r="U418" s="131">
        <f t="shared" si="219"/>
        <v>0</v>
      </c>
      <c r="V418" s="260"/>
      <c r="W418" s="131" t="str">
        <f t="shared" si="220"/>
        <v/>
      </c>
      <c r="X418" s="131">
        <f t="shared" si="218"/>
        <v>1</v>
      </c>
      <c r="Y418" s="131">
        <f t="shared" si="221"/>
        <v>1</v>
      </c>
      <c r="Z418" s="131" t="str" cm="1">
        <f t="array" ref="Z418">_xlfn.IFS(X418=4,"A",X418=3,"B",X418=2,"C",X418=1,"D")</f>
        <v>D</v>
      </c>
      <c r="AA418" s="257"/>
    </row>
    <row r="419" spans="1:27" s="101" customFormat="1">
      <c r="A419" s="11"/>
      <c r="B419" s="97"/>
      <c r="C419" s="98"/>
      <c r="D419" s="99"/>
      <c r="E419" s="450" t="s">
        <v>129</v>
      </c>
      <c r="F419" s="449"/>
      <c r="G419" s="443"/>
      <c r="H419" s="449"/>
      <c r="I419" s="443"/>
      <c r="J419" s="449"/>
      <c r="K419" s="443"/>
      <c r="L419" s="443"/>
      <c r="M419" s="100"/>
      <c r="N419" s="11"/>
      <c r="Q419" s="11"/>
      <c r="R419" s="131">
        <f t="shared" si="216"/>
        <v>0</v>
      </c>
      <c r="S419" s="260"/>
      <c r="T419" s="131">
        <f t="shared" si="217"/>
        <v>0</v>
      </c>
      <c r="U419" s="131">
        <f t="shared" si="219"/>
        <v>0</v>
      </c>
      <c r="V419" s="260"/>
      <c r="W419" s="131" t="str">
        <f t="shared" si="220"/>
        <v/>
      </c>
      <c r="X419" s="131">
        <f t="shared" si="218"/>
        <v>1</v>
      </c>
      <c r="Y419" s="131">
        <f t="shared" si="221"/>
        <v>1</v>
      </c>
      <c r="Z419" s="131" t="str" cm="1">
        <f t="array" ref="Z419">_xlfn.IFS(X419=4,"A",X419=3,"B",X419=2,"C",X419=1,"D")</f>
        <v>D</v>
      </c>
      <c r="AA419" s="131"/>
    </row>
    <row r="420" spans="1:27" customFormat="1" ht="7.5" customHeight="1">
      <c r="B420" s="65"/>
      <c r="C420" s="4"/>
      <c r="D420" s="4"/>
      <c r="E420" s="4"/>
      <c r="F420" s="4"/>
      <c r="G420" s="4"/>
      <c r="H420" s="4"/>
      <c r="I420" s="4"/>
      <c r="J420" s="4"/>
      <c r="K420" s="4"/>
      <c r="L420" s="4"/>
      <c r="M420" s="9"/>
      <c r="N420" s="2"/>
      <c r="O420" s="2"/>
      <c r="P420" s="2"/>
      <c r="R420" s="131">
        <f t="shared" si="216"/>
        <v>0</v>
      </c>
      <c r="S420" s="260"/>
      <c r="T420" s="131">
        <f t="shared" si="217"/>
        <v>0</v>
      </c>
      <c r="U420" s="131">
        <f>IF(AND(J420="実施済",K420="実施済"),$T420*1,0)</f>
        <v>0</v>
      </c>
      <c r="V420" s="260"/>
      <c r="W420" s="131" t="str">
        <f t="shared" si="220"/>
        <v/>
      </c>
      <c r="X420" s="131">
        <f t="shared" si="218"/>
        <v>1</v>
      </c>
      <c r="Y420" s="131">
        <f t="shared" si="221"/>
        <v>1</v>
      </c>
      <c r="Z420" s="131" t="str" cm="1">
        <f t="array" ref="Z420">_xlfn.IFS(X420=4,"A",X420=3,"B",X420=2,"C",X420=1,"D")</f>
        <v>D</v>
      </c>
      <c r="AA420" s="177"/>
    </row>
    <row r="421" spans="1:27" customFormat="1" ht="18" customHeight="1">
      <c r="N421" s="2"/>
      <c r="O421" s="2"/>
      <c r="P421" s="2"/>
      <c r="R421" s="131">
        <f t="shared" si="216"/>
        <v>0</v>
      </c>
      <c r="S421" s="260"/>
      <c r="T421" s="131">
        <f t="shared" si="217"/>
        <v>0</v>
      </c>
      <c r="U421" s="131">
        <f t="shared" ref="U421" si="222">IF(AND(J421="実施済",K421="実施済"),$T421*1,0)</f>
        <v>0</v>
      </c>
      <c r="V421" s="260"/>
      <c r="W421" s="131" t="str">
        <f t="shared" si="220"/>
        <v/>
      </c>
      <c r="X421" s="131">
        <f t="shared" si="218"/>
        <v>1</v>
      </c>
      <c r="Y421" s="131">
        <f t="shared" si="221"/>
        <v>1</v>
      </c>
      <c r="Z421" s="131" t="str" cm="1">
        <f t="array" ref="Z421">_xlfn.IFS(X421=4,"A",X421=3,"B",X421=2,"C",X421=1,"D")</f>
        <v>D</v>
      </c>
      <c r="AA421" s="177"/>
    </row>
    <row r="422" spans="1:27" customFormat="1" ht="103.5" customHeight="1">
      <c r="C422" s="78"/>
      <c r="D422" s="79"/>
      <c r="E422" s="71" t="s">
        <v>238</v>
      </c>
      <c r="F422" s="1057"/>
      <c r="G422" s="1057"/>
      <c r="H422" s="1057"/>
      <c r="I422" s="1057"/>
      <c r="J422" s="1057"/>
      <c r="K422" s="1057"/>
      <c r="L422" s="1057"/>
      <c r="M422" s="80" t="s">
        <v>132</v>
      </c>
      <c r="N422" s="80"/>
    </row>
    <row r="423" spans="1:27" customFormat="1" ht="146.25" customHeight="1">
      <c r="C423" s="75"/>
      <c r="D423" s="68"/>
      <c r="E423" s="71" t="s">
        <v>237</v>
      </c>
      <c r="F423" s="1057"/>
      <c r="G423" s="1057"/>
      <c r="H423" s="1057"/>
      <c r="I423" s="1057"/>
      <c r="J423" s="1057"/>
      <c r="K423" s="1057"/>
      <c r="L423" s="1057"/>
      <c r="N423" s="2"/>
      <c r="O423" s="2"/>
      <c r="P423" s="2"/>
    </row>
    <row r="424" spans="1:27" customFormat="1" ht="13.5" customHeight="1" thickBot="1">
      <c r="A424" s="81"/>
      <c r="B424" s="81"/>
      <c r="C424" s="81"/>
      <c r="D424" s="81"/>
      <c r="E424" s="81"/>
      <c r="F424" s="81"/>
      <c r="G424" s="81"/>
      <c r="H424" s="81"/>
      <c r="I424" s="81"/>
      <c r="J424" s="81"/>
      <c r="K424" s="81"/>
      <c r="L424" s="81"/>
      <c r="M424" s="81"/>
      <c r="N424" s="82"/>
      <c r="O424" s="2"/>
      <c r="P424" s="2"/>
    </row>
    <row r="425" spans="1:27" customFormat="1" ht="13.5" customHeight="1">
      <c r="A425" s="83"/>
      <c r="B425" s="83"/>
      <c r="C425" s="83"/>
      <c r="D425" s="83"/>
      <c r="E425" s="83"/>
      <c r="F425" s="83"/>
      <c r="G425" s="83"/>
      <c r="H425" s="83"/>
      <c r="I425" s="83"/>
      <c r="J425" s="83"/>
      <c r="K425" s="83"/>
      <c r="L425" s="83"/>
      <c r="M425" s="83"/>
      <c r="N425" s="84"/>
      <c r="O425" s="2"/>
      <c r="P425" s="2"/>
    </row>
    <row r="426" spans="1:27" customFormat="1" ht="15" customHeight="1">
      <c r="B426" s="10"/>
      <c r="C426" s="5"/>
      <c r="D426" s="5"/>
      <c r="E426" s="5"/>
      <c r="F426" s="5"/>
      <c r="G426" s="5"/>
      <c r="H426" s="5"/>
      <c r="I426" s="5"/>
      <c r="J426" s="5"/>
      <c r="K426" s="5"/>
      <c r="L426" s="5"/>
      <c r="M426" s="6"/>
      <c r="R426" s="11" t="str">
        <f>D427</f>
        <v>(選択してください)</v>
      </c>
    </row>
    <row r="427" spans="1:27" customFormat="1">
      <c r="B427" s="7"/>
      <c r="C427" s="77" t="str">
        <f ca="1">IFERROR(OFFSET('4.2民生電力需要量'!$C$1,MATCH(D427,'4.2民生電力需要量'!$E:$E,0)-1,0),"")</f>
        <v/>
      </c>
      <c r="D427" s="96" t="s">
        <v>130</v>
      </c>
      <c r="E427" s="72" t="s">
        <v>131</v>
      </c>
      <c r="F427" s="1063" t="str">
        <f ca="1">IFERROR(OFFSET('4.2民生電力需要量'!$G$1,MATCH($D427,'4.2民生電力需要量'!$E:$E,0)-1,0),"")</f>
        <v/>
      </c>
      <c r="G427" s="1063"/>
      <c r="H427" s="1063"/>
      <c r="I427" s="1063"/>
      <c r="J427" s="1063"/>
      <c r="K427" s="1063"/>
      <c r="L427" s="1063"/>
      <c r="M427" s="8"/>
      <c r="R427" s="257" t="str">
        <f ca="1">IFERROR(OFFSET('4.2民生電力需要量'!$G$1,MATCH($D427,'4.2民生電力需要量'!$E:$E,0)-1,0),"")</f>
        <v/>
      </c>
      <c r="S427" s="177"/>
      <c r="T427" s="177"/>
      <c r="U427" s="177"/>
      <c r="V427" s="177"/>
      <c r="W427" s="177"/>
      <c r="X427" s="177"/>
      <c r="Y427" s="177"/>
      <c r="Z427" s="177"/>
      <c r="AA427" s="177">
        <f ca="1">(F427=R427)*1</f>
        <v>1</v>
      </c>
    </row>
    <row r="428" spans="1:27" customFormat="1">
      <c r="B428" s="7"/>
      <c r="C428" s="74"/>
      <c r="D428" s="66"/>
      <c r="E428" s="72" t="s">
        <v>221</v>
      </c>
      <c r="F428" s="1062" t="str">
        <f ca="1">IFERROR(OFFSET('4.2民生電力需要量'!$I$1,MATCH($D427,'4.2民生電力需要量'!$E:$E,0)-1,0),"")</f>
        <v/>
      </c>
      <c r="G428" s="1062"/>
      <c r="H428" s="1062"/>
      <c r="I428" s="1062"/>
      <c r="J428" s="1062"/>
      <c r="K428" s="1062"/>
      <c r="L428" s="1062"/>
      <c r="M428" s="8"/>
      <c r="R428" s="257" t="str">
        <f ca="1">IFERROR(OFFSET('4.2民生電力需要量'!$I$1,MATCH($D427,'4.2民生電力需要量'!$E:$E,0)-1,0),"")</f>
        <v/>
      </c>
      <c r="S428" s="177"/>
      <c r="T428" s="177"/>
      <c r="U428" s="177"/>
      <c r="V428" s="177"/>
      <c r="W428" s="177"/>
      <c r="X428" s="177"/>
      <c r="Y428" s="177"/>
      <c r="Z428" s="177"/>
      <c r="AA428" s="177">
        <f t="shared" ref="AA428:AA429" ca="1" si="223">(F428=R428)*1</f>
        <v>1</v>
      </c>
    </row>
    <row r="429" spans="1:27" customFormat="1">
      <c r="B429" s="7"/>
      <c r="C429" s="74"/>
      <c r="D429" s="66"/>
      <c r="E429" s="72" t="s">
        <v>176</v>
      </c>
      <c r="F429" s="1063" t="str">
        <f>_xlfn.IFNA(R429,"")</f>
        <v/>
      </c>
      <c r="G429" s="1063"/>
      <c r="H429" s="1063"/>
      <c r="I429" s="1063"/>
      <c r="J429" s="1063"/>
      <c r="K429" s="1063"/>
      <c r="L429" s="1063"/>
      <c r="M429" s="8"/>
      <c r="R429" s="131" t="str">
        <f>IF(OR(COUNTIF($E431:$E436,"&lt;&gt;〇〇(合意形成対象者名に書き換え)")=3,COUNTIF($E431:$E436,"")&gt;3),"",IF(PRODUCT($Y431:$Y436)=1,Z431,""))</f>
        <v/>
      </c>
      <c r="S429" s="177"/>
      <c r="T429" s="177"/>
      <c r="U429" s="177"/>
      <c r="V429" s="177"/>
      <c r="W429" s="177"/>
      <c r="X429" s="177"/>
      <c r="Y429" s="177"/>
      <c r="Z429" s="177"/>
      <c r="AA429" s="177">
        <f t="shared" si="223"/>
        <v>1</v>
      </c>
    </row>
    <row r="430" spans="1:27" ht="63.75" customHeight="1">
      <c r="B430" s="97"/>
      <c r="C430" s="98"/>
      <c r="D430" s="99"/>
      <c r="E430" s="374"/>
      <c r="F430" s="315" t="s">
        <v>270</v>
      </c>
      <c r="G430" s="315" t="s">
        <v>273</v>
      </c>
      <c r="H430" s="315" t="s">
        <v>274</v>
      </c>
      <c r="I430" s="315" t="s">
        <v>271</v>
      </c>
      <c r="J430" s="315" t="s">
        <v>440</v>
      </c>
      <c r="K430" s="315" t="s">
        <v>441</v>
      </c>
      <c r="L430" s="315" t="s">
        <v>272</v>
      </c>
      <c r="M430" s="100"/>
      <c r="N430" s="11"/>
      <c r="R430" s="128" t="s">
        <v>302</v>
      </c>
      <c r="S430" s="259" t="s">
        <v>429</v>
      </c>
      <c r="T430" s="128" t="s">
        <v>430</v>
      </c>
      <c r="U430" s="298" t="s">
        <v>442</v>
      </c>
      <c r="V430" s="258" t="s">
        <v>272</v>
      </c>
      <c r="W430" s="128" t="s">
        <v>432</v>
      </c>
      <c r="X430" s="131" t="s">
        <v>408</v>
      </c>
      <c r="Y430" s="131" t="s">
        <v>436</v>
      </c>
      <c r="Z430" s="128" t="s">
        <v>431</v>
      </c>
      <c r="AA430" s="257"/>
    </row>
    <row r="431" spans="1:27" hidden="1">
      <c r="B431" s="97"/>
      <c r="C431" s="98"/>
      <c r="D431" s="99"/>
      <c r="E431" s="444"/>
      <c r="F431" s="445"/>
      <c r="G431" s="441"/>
      <c r="H431" s="445"/>
      <c r="I431" s="441"/>
      <c r="J431" s="445"/>
      <c r="K431" s="441"/>
      <c r="L431" s="446"/>
      <c r="M431" s="100"/>
      <c r="N431" s="11"/>
      <c r="R431" s="131">
        <f t="shared" ref="R431:R436" si="224">IF(F431="実施済",1,0)</f>
        <v>0</v>
      </c>
      <c r="S431" s="260"/>
      <c r="T431" s="131">
        <f t="shared" ref="T431:T436" si="225">IF(AND(H431="実施済",I431="実施済"),R431*1,0)</f>
        <v>0</v>
      </c>
      <c r="U431" s="131">
        <f>IF(AND(J431="実施済",K431="実施済"),$T431*1,0)</f>
        <v>0</v>
      </c>
      <c r="V431" s="260"/>
      <c r="W431" s="131" t="str">
        <f>IF(OR(E431="〇〇(合意形成対象者名に書き換え)",E431=""),"",SUM(R431,T431,U431))</f>
        <v/>
      </c>
      <c r="X431" s="131">
        <f t="shared" ref="X431:X436" si="226">MIN($W$431:$W$436)+1</f>
        <v>1</v>
      </c>
      <c r="Y431" s="131">
        <f>IF(E431="",1,IF(AND(E431="〇〇(合意形成対象者名に書き換え)",COUNTA($F431:$L431)=0),1,IF(AND(E431&lt;&gt;"〇〇(合意形成対象者名に書き換え)",COUNTA($F431:$L431)=7),1,0)))</f>
        <v>1</v>
      </c>
      <c r="Z431" s="131" t="str" cm="1">
        <f t="array" ref="Z431">_xlfn.IFS(X431=4,"A",X431=3,"B",X431=2,"C",X431=1,"D")</f>
        <v>D</v>
      </c>
      <c r="AA431" s="257"/>
    </row>
    <row r="432" spans="1:27">
      <c r="B432" s="97"/>
      <c r="C432" s="98"/>
      <c r="D432" s="99"/>
      <c r="E432" s="450" t="s">
        <v>129</v>
      </c>
      <c r="F432" s="449"/>
      <c r="G432" s="443"/>
      <c r="H432" s="449"/>
      <c r="I432" s="443"/>
      <c r="J432" s="449"/>
      <c r="K432" s="443"/>
      <c r="L432" s="443"/>
      <c r="M432" s="100"/>
      <c r="N432" s="11"/>
      <c r="R432" s="131">
        <f t="shared" si="224"/>
        <v>0</v>
      </c>
      <c r="S432" s="260"/>
      <c r="T432" s="131">
        <f t="shared" si="225"/>
        <v>0</v>
      </c>
      <c r="U432" s="131">
        <f t="shared" ref="U432:U434" si="227">IF(AND(J432="実施済",K432="実施済"),$T432*1,0)</f>
        <v>0</v>
      </c>
      <c r="V432" s="260"/>
      <c r="W432" s="131" t="str">
        <f t="shared" ref="W432:W436" si="228">IF(OR(E432="〇〇(合意形成対象者名に書き換え)",E432=""),"",SUM(R432,T432,U432))</f>
        <v/>
      </c>
      <c r="X432" s="131">
        <f t="shared" si="226"/>
        <v>1</v>
      </c>
      <c r="Y432" s="131">
        <f t="shared" ref="Y432:Y436" si="229">IF(E432="",1,IF(AND(E432="〇〇(合意形成対象者名に書き換え)",COUNTA($F432:$L432)=0),1,IF(AND(E432&lt;&gt;"〇〇(合意形成対象者名に書き換え)",COUNTA($F432:$L432)=7),1,0)))</f>
        <v>1</v>
      </c>
      <c r="Z432" s="131" t="str" cm="1">
        <f t="array" ref="Z432">_xlfn.IFS(X432=4,"A",X432=3,"B",X432=2,"C",X432=1,"D")</f>
        <v>D</v>
      </c>
      <c r="AA432" s="257"/>
    </row>
    <row r="433" spans="1:27">
      <c r="B433" s="97"/>
      <c r="C433" s="98"/>
      <c r="D433" s="99"/>
      <c r="E433" s="450" t="s">
        <v>129</v>
      </c>
      <c r="F433" s="449"/>
      <c r="G433" s="443"/>
      <c r="H433" s="449"/>
      <c r="I433" s="443"/>
      <c r="J433" s="449"/>
      <c r="K433" s="443"/>
      <c r="L433" s="443"/>
      <c r="M433" s="100"/>
      <c r="N433" s="11"/>
      <c r="R433" s="131">
        <f t="shared" si="224"/>
        <v>0</v>
      </c>
      <c r="S433" s="260"/>
      <c r="T433" s="131">
        <f t="shared" si="225"/>
        <v>0</v>
      </c>
      <c r="U433" s="131">
        <f t="shared" si="227"/>
        <v>0</v>
      </c>
      <c r="V433" s="260"/>
      <c r="W433" s="131" t="str">
        <f t="shared" si="228"/>
        <v/>
      </c>
      <c r="X433" s="131">
        <f t="shared" si="226"/>
        <v>1</v>
      </c>
      <c r="Y433" s="131">
        <f t="shared" si="229"/>
        <v>1</v>
      </c>
      <c r="Z433" s="131" t="str" cm="1">
        <f t="array" ref="Z433">_xlfn.IFS(X433=4,"A",X433=3,"B",X433=2,"C",X433=1,"D")</f>
        <v>D</v>
      </c>
      <c r="AA433" s="257"/>
    </row>
    <row r="434" spans="1:27" s="101" customFormat="1">
      <c r="A434" s="11"/>
      <c r="B434" s="97"/>
      <c r="C434" s="98"/>
      <c r="D434" s="99"/>
      <c r="E434" s="450" t="s">
        <v>129</v>
      </c>
      <c r="F434" s="449"/>
      <c r="G434" s="443"/>
      <c r="H434" s="449"/>
      <c r="I434" s="443"/>
      <c r="J434" s="449"/>
      <c r="K434" s="443"/>
      <c r="L434" s="443"/>
      <c r="M434" s="100"/>
      <c r="N434" s="11"/>
      <c r="Q434" s="11"/>
      <c r="R434" s="131">
        <f t="shared" si="224"/>
        <v>0</v>
      </c>
      <c r="S434" s="260"/>
      <c r="T434" s="131">
        <f t="shared" si="225"/>
        <v>0</v>
      </c>
      <c r="U434" s="131">
        <f t="shared" si="227"/>
        <v>0</v>
      </c>
      <c r="V434" s="260"/>
      <c r="W434" s="131" t="str">
        <f t="shared" si="228"/>
        <v/>
      </c>
      <c r="X434" s="131">
        <f t="shared" si="226"/>
        <v>1</v>
      </c>
      <c r="Y434" s="131">
        <f t="shared" si="229"/>
        <v>1</v>
      </c>
      <c r="Z434" s="131" t="str" cm="1">
        <f t="array" ref="Z434">_xlfn.IFS(X434=4,"A",X434=3,"B",X434=2,"C",X434=1,"D")</f>
        <v>D</v>
      </c>
      <c r="AA434" s="131"/>
    </row>
    <row r="435" spans="1:27" customFormat="1" ht="7.5" customHeight="1">
      <c r="B435" s="65"/>
      <c r="C435" s="4"/>
      <c r="D435" s="4"/>
      <c r="E435" s="4"/>
      <c r="F435" s="4"/>
      <c r="G435" s="4"/>
      <c r="H435" s="4"/>
      <c r="I435" s="4"/>
      <c r="J435" s="4"/>
      <c r="K435" s="4"/>
      <c r="L435" s="4"/>
      <c r="M435" s="9"/>
      <c r="N435" s="2"/>
      <c r="O435" s="2"/>
      <c r="P435" s="2"/>
      <c r="R435" s="131">
        <f t="shared" si="224"/>
        <v>0</v>
      </c>
      <c r="S435" s="260"/>
      <c r="T435" s="131">
        <f t="shared" si="225"/>
        <v>0</v>
      </c>
      <c r="U435" s="131">
        <f>IF(AND(J435="実施済",K435="実施済"),$T435*1,0)</f>
        <v>0</v>
      </c>
      <c r="V435" s="260"/>
      <c r="W435" s="131" t="str">
        <f t="shared" si="228"/>
        <v/>
      </c>
      <c r="X435" s="131">
        <f t="shared" si="226"/>
        <v>1</v>
      </c>
      <c r="Y435" s="131">
        <f t="shared" si="229"/>
        <v>1</v>
      </c>
      <c r="Z435" s="131" t="str" cm="1">
        <f t="array" ref="Z435">_xlfn.IFS(X435=4,"A",X435=3,"B",X435=2,"C",X435=1,"D")</f>
        <v>D</v>
      </c>
      <c r="AA435" s="177"/>
    </row>
    <row r="436" spans="1:27" customFormat="1" ht="18" customHeight="1">
      <c r="N436" s="2"/>
      <c r="O436" s="2"/>
      <c r="P436" s="2"/>
      <c r="R436" s="131">
        <f t="shared" si="224"/>
        <v>0</v>
      </c>
      <c r="S436" s="260"/>
      <c r="T436" s="131">
        <f t="shared" si="225"/>
        <v>0</v>
      </c>
      <c r="U436" s="131">
        <f t="shared" ref="U436" si="230">IF(AND(J436="実施済",K436="実施済"),$T436*1,0)</f>
        <v>0</v>
      </c>
      <c r="V436" s="260"/>
      <c r="W436" s="131" t="str">
        <f t="shared" si="228"/>
        <v/>
      </c>
      <c r="X436" s="131">
        <f t="shared" si="226"/>
        <v>1</v>
      </c>
      <c r="Y436" s="131">
        <f t="shared" si="229"/>
        <v>1</v>
      </c>
      <c r="Z436" s="131" t="str" cm="1">
        <f t="array" ref="Z436">_xlfn.IFS(X436=4,"A",X436=3,"B",X436=2,"C",X436=1,"D")</f>
        <v>D</v>
      </c>
      <c r="AA436" s="177"/>
    </row>
    <row r="437" spans="1:27" customFormat="1" ht="103.5" customHeight="1">
      <c r="C437" s="78"/>
      <c r="D437" s="79"/>
      <c r="E437" s="71" t="s">
        <v>238</v>
      </c>
      <c r="F437" s="1057"/>
      <c r="G437" s="1057"/>
      <c r="H437" s="1057"/>
      <c r="I437" s="1057"/>
      <c r="J437" s="1057"/>
      <c r="K437" s="1057"/>
      <c r="L437" s="1057"/>
      <c r="M437" s="80" t="s">
        <v>132</v>
      </c>
      <c r="N437" s="80"/>
    </row>
    <row r="438" spans="1:27" customFormat="1" ht="146.25" customHeight="1">
      <c r="C438" s="75"/>
      <c r="D438" s="68"/>
      <c r="E438" s="71" t="s">
        <v>237</v>
      </c>
      <c r="F438" s="1057"/>
      <c r="G438" s="1057"/>
      <c r="H438" s="1057"/>
      <c r="I438" s="1057"/>
      <c r="J438" s="1057"/>
      <c r="K438" s="1057"/>
      <c r="L438" s="1057"/>
      <c r="N438" s="2"/>
      <c r="O438" s="2"/>
      <c r="P438" s="2"/>
    </row>
    <row r="439" spans="1:27" customFormat="1" ht="13.5" customHeight="1" thickBot="1">
      <c r="A439" s="81"/>
      <c r="B439" s="81"/>
      <c r="C439" s="81"/>
      <c r="D439" s="81"/>
      <c r="E439" s="81"/>
      <c r="F439" s="81"/>
      <c r="G439" s="81"/>
      <c r="H439" s="81"/>
      <c r="I439" s="81"/>
      <c r="J439" s="81"/>
      <c r="K439" s="81"/>
      <c r="L439" s="81"/>
      <c r="M439" s="81"/>
      <c r="N439" s="82"/>
      <c r="O439" s="2"/>
      <c r="P439" s="2"/>
    </row>
    <row r="440" spans="1:27" customFormat="1" ht="13.5" customHeight="1">
      <c r="A440" s="83"/>
      <c r="B440" s="83"/>
      <c r="C440" s="83"/>
      <c r="D440" s="83"/>
      <c r="E440" s="83"/>
      <c r="F440" s="83"/>
      <c r="G440" s="83"/>
      <c r="H440" s="83"/>
      <c r="I440" s="83"/>
      <c r="J440" s="83"/>
      <c r="K440" s="83"/>
      <c r="L440" s="83"/>
      <c r="M440" s="83"/>
      <c r="N440" s="84"/>
      <c r="O440" s="2"/>
      <c r="P440" s="2"/>
    </row>
    <row r="441" spans="1:27" customFormat="1" ht="15" customHeight="1">
      <c r="B441" s="10"/>
      <c r="C441" s="5"/>
      <c r="D441" s="5"/>
      <c r="E441" s="5"/>
      <c r="F441" s="5"/>
      <c r="G441" s="5"/>
      <c r="H441" s="5"/>
      <c r="I441" s="5"/>
      <c r="J441" s="5"/>
      <c r="K441" s="5"/>
      <c r="L441" s="5"/>
      <c r="M441" s="6"/>
      <c r="R441" s="11" t="str">
        <f>D442</f>
        <v>(選択してください)</v>
      </c>
    </row>
    <row r="442" spans="1:27" customFormat="1">
      <c r="B442" s="7"/>
      <c r="C442" s="77" t="str">
        <f ca="1">IFERROR(OFFSET('4.2民生電力需要量'!$C$1,MATCH(D442,'4.2民生電力需要量'!$E:$E,0)-1,0),"")</f>
        <v/>
      </c>
      <c r="D442" s="96" t="s">
        <v>130</v>
      </c>
      <c r="E442" s="72" t="s">
        <v>131</v>
      </c>
      <c r="F442" s="1063" t="str">
        <f ca="1">IFERROR(OFFSET('4.2民生電力需要量'!$G$1,MATCH($D442,'4.2民生電力需要量'!$E:$E,0)-1,0),"")</f>
        <v/>
      </c>
      <c r="G442" s="1063"/>
      <c r="H442" s="1063"/>
      <c r="I442" s="1063"/>
      <c r="J442" s="1063"/>
      <c r="K442" s="1063"/>
      <c r="L442" s="1063"/>
      <c r="M442" s="8"/>
      <c r="R442" s="257" t="str">
        <f ca="1">IFERROR(OFFSET('4.2民生電力需要量'!$G$1,MATCH($D442,'4.2民生電力需要量'!$E:$E,0)-1,0),"")</f>
        <v/>
      </c>
      <c r="S442" s="177"/>
      <c r="T442" s="177"/>
      <c r="U442" s="177"/>
      <c r="V442" s="177"/>
      <c r="W442" s="177"/>
      <c r="X442" s="177"/>
      <c r="Y442" s="177"/>
      <c r="Z442" s="177"/>
      <c r="AA442" s="177">
        <f ca="1">(F442=R442)*1</f>
        <v>1</v>
      </c>
    </row>
    <row r="443" spans="1:27" customFormat="1">
      <c r="B443" s="7"/>
      <c r="C443" s="74"/>
      <c r="D443" s="66"/>
      <c r="E443" s="72" t="s">
        <v>221</v>
      </c>
      <c r="F443" s="1062" t="str">
        <f ca="1">IFERROR(OFFSET('4.2民生電力需要量'!$I$1,MATCH($D442,'4.2民生電力需要量'!$E:$E,0)-1,0),"")</f>
        <v/>
      </c>
      <c r="G443" s="1062"/>
      <c r="H443" s="1062"/>
      <c r="I443" s="1062"/>
      <c r="J443" s="1062"/>
      <c r="K443" s="1062"/>
      <c r="L443" s="1062"/>
      <c r="M443" s="8"/>
      <c r="R443" s="257" t="str">
        <f ca="1">IFERROR(OFFSET('4.2民生電力需要量'!$I$1,MATCH($D442,'4.2民生電力需要量'!$E:$E,0)-1,0),"")</f>
        <v/>
      </c>
      <c r="S443" s="177"/>
      <c r="T443" s="177"/>
      <c r="U443" s="177"/>
      <c r="V443" s="177"/>
      <c r="W443" s="177"/>
      <c r="X443" s="177"/>
      <c r="Y443" s="177"/>
      <c r="Z443" s="177"/>
      <c r="AA443" s="177">
        <f t="shared" ref="AA443:AA444" ca="1" si="231">(F443=R443)*1</f>
        <v>1</v>
      </c>
    </row>
    <row r="444" spans="1:27" customFormat="1">
      <c r="B444" s="7"/>
      <c r="C444" s="74"/>
      <c r="D444" s="66"/>
      <c r="E444" s="72" t="s">
        <v>176</v>
      </c>
      <c r="F444" s="1063" t="str">
        <f>_xlfn.IFNA(R444,"")</f>
        <v/>
      </c>
      <c r="G444" s="1063"/>
      <c r="H444" s="1063"/>
      <c r="I444" s="1063"/>
      <c r="J444" s="1063"/>
      <c r="K444" s="1063"/>
      <c r="L444" s="1063"/>
      <c r="M444" s="8"/>
      <c r="R444" s="131" t="str">
        <f>IF(OR(COUNTIF($E446:$E451,"&lt;&gt;〇〇(合意形成対象者名に書き換え)")=3,COUNTIF($E446:$E451,"")&gt;3),"",IF(PRODUCT($Y446:$Y451)=1,Z446,""))</f>
        <v/>
      </c>
      <c r="S444" s="177"/>
      <c r="T444" s="177"/>
      <c r="U444" s="177"/>
      <c r="V444" s="177"/>
      <c r="W444" s="177"/>
      <c r="X444" s="177"/>
      <c r="Y444" s="177"/>
      <c r="Z444" s="177"/>
      <c r="AA444" s="177">
        <f t="shared" si="231"/>
        <v>1</v>
      </c>
    </row>
    <row r="445" spans="1:27" ht="63.75" customHeight="1">
      <c r="B445" s="97"/>
      <c r="C445" s="98"/>
      <c r="D445" s="99"/>
      <c r="E445" s="374"/>
      <c r="F445" s="315" t="s">
        <v>270</v>
      </c>
      <c r="G445" s="315" t="s">
        <v>273</v>
      </c>
      <c r="H445" s="315" t="s">
        <v>274</v>
      </c>
      <c r="I445" s="315" t="s">
        <v>271</v>
      </c>
      <c r="J445" s="315" t="s">
        <v>440</v>
      </c>
      <c r="K445" s="315" t="s">
        <v>441</v>
      </c>
      <c r="L445" s="315" t="s">
        <v>272</v>
      </c>
      <c r="M445" s="100"/>
      <c r="N445" s="11"/>
      <c r="R445" s="128" t="s">
        <v>302</v>
      </c>
      <c r="S445" s="259" t="s">
        <v>429</v>
      </c>
      <c r="T445" s="128" t="s">
        <v>430</v>
      </c>
      <c r="U445" s="298" t="s">
        <v>442</v>
      </c>
      <c r="V445" s="258" t="s">
        <v>272</v>
      </c>
      <c r="W445" s="128" t="s">
        <v>432</v>
      </c>
      <c r="X445" s="131" t="s">
        <v>408</v>
      </c>
      <c r="Y445" s="131" t="s">
        <v>436</v>
      </c>
      <c r="Z445" s="128" t="s">
        <v>431</v>
      </c>
      <c r="AA445" s="257"/>
    </row>
    <row r="446" spans="1:27" hidden="1">
      <c r="B446" s="97"/>
      <c r="C446" s="98"/>
      <c r="D446" s="99"/>
      <c r="E446" s="444"/>
      <c r="F446" s="445"/>
      <c r="G446" s="441"/>
      <c r="H446" s="445"/>
      <c r="I446" s="441"/>
      <c r="J446" s="445"/>
      <c r="K446" s="441"/>
      <c r="L446" s="446"/>
      <c r="M446" s="100"/>
      <c r="N446" s="11"/>
      <c r="R446" s="131">
        <f t="shared" ref="R446:R451" si="232">IF(F446="実施済",1,0)</f>
        <v>0</v>
      </c>
      <c r="S446" s="260"/>
      <c r="T446" s="131">
        <f t="shared" ref="T446:T451" si="233">IF(AND(H446="実施済",I446="実施済"),R446*1,0)</f>
        <v>0</v>
      </c>
      <c r="U446" s="131">
        <f>IF(AND(J446="実施済",K446="実施済"),$T446*1,0)</f>
        <v>0</v>
      </c>
      <c r="V446" s="260"/>
      <c r="W446" s="131" t="str">
        <f>IF(OR(E446="〇〇(合意形成対象者名に書き換え)",E446=""),"",SUM(R446,T446,U446))</f>
        <v/>
      </c>
      <c r="X446" s="131">
        <f t="shared" ref="X446:X451" si="234">MIN($W$446:$W$451)+1</f>
        <v>1</v>
      </c>
      <c r="Y446" s="131">
        <f>IF(E446="",1,IF(AND(E446="〇〇(合意形成対象者名に書き換え)",COUNTA($F446:$L446)=0),1,IF(AND(E446&lt;&gt;"〇〇(合意形成対象者名に書き換え)",COUNTA($F446:$L446)=7),1,0)))</f>
        <v>1</v>
      </c>
      <c r="Z446" s="131" t="str" cm="1">
        <f t="array" ref="Z446">_xlfn.IFS(X446=4,"A",X446=3,"B",X446=2,"C",X446=1,"D")</f>
        <v>D</v>
      </c>
      <c r="AA446" s="257"/>
    </row>
    <row r="447" spans="1:27">
      <c r="B447" s="97"/>
      <c r="C447" s="98"/>
      <c r="D447" s="99"/>
      <c r="E447" s="450" t="s">
        <v>129</v>
      </c>
      <c r="F447" s="449"/>
      <c r="G447" s="443"/>
      <c r="H447" s="449"/>
      <c r="I447" s="443"/>
      <c r="J447" s="449"/>
      <c r="K447" s="443"/>
      <c r="L447" s="443"/>
      <c r="M447" s="100"/>
      <c r="N447" s="11"/>
      <c r="R447" s="131">
        <f t="shared" si="232"/>
        <v>0</v>
      </c>
      <c r="S447" s="260"/>
      <c r="T447" s="131">
        <f t="shared" si="233"/>
        <v>0</v>
      </c>
      <c r="U447" s="131">
        <f t="shared" ref="U447:U449" si="235">IF(AND(J447="実施済",K447="実施済"),$T447*1,0)</f>
        <v>0</v>
      </c>
      <c r="V447" s="260"/>
      <c r="W447" s="131" t="str">
        <f t="shared" ref="W447:W451" si="236">IF(OR(E447="〇〇(合意形成対象者名に書き換え)",E447=""),"",SUM(R447,T447,U447))</f>
        <v/>
      </c>
      <c r="X447" s="131">
        <f t="shared" si="234"/>
        <v>1</v>
      </c>
      <c r="Y447" s="131">
        <f t="shared" ref="Y447:Y451" si="237">IF(E447="",1,IF(AND(E447="〇〇(合意形成対象者名に書き換え)",COUNTA($F447:$L447)=0),1,IF(AND(E447&lt;&gt;"〇〇(合意形成対象者名に書き換え)",COUNTA($F447:$L447)=7),1,0)))</f>
        <v>1</v>
      </c>
      <c r="Z447" s="131" t="str" cm="1">
        <f t="array" ref="Z447">_xlfn.IFS(X447=4,"A",X447=3,"B",X447=2,"C",X447=1,"D")</f>
        <v>D</v>
      </c>
      <c r="AA447" s="257"/>
    </row>
    <row r="448" spans="1:27">
      <c r="B448" s="97"/>
      <c r="C448" s="98"/>
      <c r="D448" s="99"/>
      <c r="E448" s="450" t="s">
        <v>129</v>
      </c>
      <c r="F448" s="449"/>
      <c r="G448" s="443"/>
      <c r="H448" s="449"/>
      <c r="I448" s="443"/>
      <c r="J448" s="449"/>
      <c r="K448" s="443"/>
      <c r="L448" s="443"/>
      <c r="M448" s="100"/>
      <c r="N448" s="11"/>
      <c r="R448" s="131">
        <f t="shared" si="232"/>
        <v>0</v>
      </c>
      <c r="S448" s="260"/>
      <c r="T448" s="131">
        <f t="shared" si="233"/>
        <v>0</v>
      </c>
      <c r="U448" s="131">
        <f t="shared" si="235"/>
        <v>0</v>
      </c>
      <c r="V448" s="260"/>
      <c r="W448" s="131" t="str">
        <f t="shared" si="236"/>
        <v/>
      </c>
      <c r="X448" s="131">
        <f t="shared" si="234"/>
        <v>1</v>
      </c>
      <c r="Y448" s="131">
        <f t="shared" si="237"/>
        <v>1</v>
      </c>
      <c r="Z448" s="131" t="str" cm="1">
        <f t="array" ref="Z448">_xlfn.IFS(X448=4,"A",X448=3,"B",X448=2,"C",X448=1,"D")</f>
        <v>D</v>
      </c>
      <c r="AA448" s="257"/>
    </row>
    <row r="449" spans="1:27" s="101" customFormat="1">
      <c r="A449" s="11"/>
      <c r="B449" s="97"/>
      <c r="C449" s="98"/>
      <c r="D449" s="99"/>
      <c r="E449" s="450" t="s">
        <v>129</v>
      </c>
      <c r="F449" s="449"/>
      <c r="G449" s="443"/>
      <c r="H449" s="449"/>
      <c r="I449" s="443"/>
      <c r="J449" s="449"/>
      <c r="K449" s="443"/>
      <c r="L449" s="443"/>
      <c r="M449" s="100"/>
      <c r="N449" s="11"/>
      <c r="Q449" s="11"/>
      <c r="R449" s="131">
        <f t="shared" si="232"/>
        <v>0</v>
      </c>
      <c r="S449" s="260"/>
      <c r="T449" s="131">
        <f t="shared" si="233"/>
        <v>0</v>
      </c>
      <c r="U449" s="131">
        <f t="shared" si="235"/>
        <v>0</v>
      </c>
      <c r="V449" s="260"/>
      <c r="W449" s="131" t="str">
        <f t="shared" si="236"/>
        <v/>
      </c>
      <c r="X449" s="131">
        <f t="shared" si="234"/>
        <v>1</v>
      </c>
      <c r="Y449" s="131">
        <f t="shared" si="237"/>
        <v>1</v>
      </c>
      <c r="Z449" s="131" t="str" cm="1">
        <f t="array" ref="Z449">_xlfn.IFS(X449=4,"A",X449=3,"B",X449=2,"C",X449=1,"D")</f>
        <v>D</v>
      </c>
      <c r="AA449" s="131"/>
    </row>
    <row r="450" spans="1:27" customFormat="1" ht="7.5" customHeight="1">
      <c r="B450" s="65"/>
      <c r="C450" s="4"/>
      <c r="D450" s="4"/>
      <c r="E450" s="4"/>
      <c r="F450" s="4"/>
      <c r="G450" s="4"/>
      <c r="H450" s="4"/>
      <c r="I450" s="4"/>
      <c r="J450" s="4"/>
      <c r="K450" s="4"/>
      <c r="L450" s="4"/>
      <c r="M450" s="9"/>
      <c r="N450" s="2"/>
      <c r="O450" s="2"/>
      <c r="P450" s="2"/>
      <c r="R450" s="131">
        <f t="shared" si="232"/>
        <v>0</v>
      </c>
      <c r="S450" s="260"/>
      <c r="T450" s="131">
        <f t="shared" si="233"/>
        <v>0</v>
      </c>
      <c r="U450" s="131">
        <f>IF(AND(J450="実施済",K450="実施済"),$T450*1,0)</f>
        <v>0</v>
      </c>
      <c r="V450" s="260"/>
      <c r="W450" s="131" t="str">
        <f t="shared" si="236"/>
        <v/>
      </c>
      <c r="X450" s="131">
        <f t="shared" si="234"/>
        <v>1</v>
      </c>
      <c r="Y450" s="131">
        <f t="shared" si="237"/>
        <v>1</v>
      </c>
      <c r="Z450" s="131" t="str" cm="1">
        <f t="array" ref="Z450">_xlfn.IFS(X450=4,"A",X450=3,"B",X450=2,"C",X450=1,"D")</f>
        <v>D</v>
      </c>
      <c r="AA450" s="177"/>
    </row>
    <row r="451" spans="1:27" customFormat="1" ht="18" customHeight="1">
      <c r="N451" s="2"/>
      <c r="O451" s="2"/>
      <c r="P451" s="2"/>
      <c r="R451" s="131">
        <f t="shared" si="232"/>
        <v>0</v>
      </c>
      <c r="S451" s="260"/>
      <c r="T451" s="131">
        <f t="shared" si="233"/>
        <v>0</v>
      </c>
      <c r="U451" s="131">
        <f t="shared" ref="U451" si="238">IF(AND(J451="実施済",K451="実施済"),$T451*1,0)</f>
        <v>0</v>
      </c>
      <c r="V451" s="260"/>
      <c r="W451" s="131" t="str">
        <f t="shared" si="236"/>
        <v/>
      </c>
      <c r="X451" s="131">
        <f t="shared" si="234"/>
        <v>1</v>
      </c>
      <c r="Y451" s="131">
        <f t="shared" si="237"/>
        <v>1</v>
      </c>
      <c r="Z451" s="131" t="str" cm="1">
        <f t="array" ref="Z451">_xlfn.IFS(X451=4,"A",X451=3,"B",X451=2,"C",X451=1,"D")</f>
        <v>D</v>
      </c>
      <c r="AA451" s="177"/>
    </row>
    <row r="452" spans="1:27" customFormat="1" ht="103.5" customHeight="1">
      <c r="C452" s="78"/>
      <c r="D452" s="79"/>
      <c r="E452" s="71" t="s">
        <v>238</v>
      </c>
      <c r="F452" s="1057"/>
      <c r="G452" s="1057"/>
      <c r="H452" s="1057"/>
      <c r="I452" s="1057"/>
      <c r="J452" s="1057"/>
      <c r="K452" s="1057"/>
      <c r="L452" s="1057"/>
      <c r="M452" s="80" t="s">
        <v>132</v>
      </c>
      <c r="N452" s="80"/>
    </row>
    <row r="453" spans="1:27" customFormat="1" ht="146.25" customHeight="1">
      <c r="C453" s="75"/>
      <c r="D453" s="68"/>
      <c r="E453" s="71" t="s">
        <v>237</v>
      </c>
      <c r="F453" s="1057"/>
      <c r="G453" s="1057"/>
      <c r="H453" s="1057"/>
      <c r="I453" s="1057"/>
      <c r="J453" s="1057"/>
      <c r="K453" s="1057"/>
      <c r="L453" s="1057"/>
      <c r="N453" s="2"/>
      <c r="O453" s="2"/>
      <c r="P453" s="2"/>
    </row>
    <row r="454" spans="1:27" customFormat="1" ht="13.5" customHeight="1" thickBot="1">
      <c r="A454" s="81"/>
      <c r="B454" s="81"/>
      <c r="C454" s="81"/>
      <c r="D454" s="81"/>
      <c r="E454" s="81"/>
      <c r="F454" s="81"/>
      <c r="G454" s="81"/>
      <c r="H454" s="81"/>
      <c r="I454" s="81"/>
      <c r="J454" s="81"/>
      <c r="K454" s="81"/>
      <c r="L454" s="81"/>
      <c r="M454" s="81"/>
      <c r="N454" s="82"/>
      <c r="O454" s="2"/>
      <c r="P454" s="2"/>
    </row>
  </sheetData>
  <sheetProtection algorithmName="SHA-512" hashValue="APFiOFJGiqIX/oJWUvrFqorcqbJ15/ZAwpfp5OGb3R7EohuwStHcgH9B/tBKcDDjjtqEa1GLUaTu4prSVJd3Yg==" saltValue="36TPSkOa7GCEGt08e7+OIA==" spinCount="100000" sheet="1" formatCells="0" insertRows="0" deleteRows="0"/>
  <mergeCells count="150">
    <mergeCell ref="F22:L22"/>
    <mergeCell ref="F23:L23"/>
    <mergeCell ref="F32:L32"/>
    <mergeCell ref="F24:L24"/>
    <mergeCell ref="F7:L7"/>
    <mergeCell ref="F8:L8"/>
    <mergeCell ref="F9:L9"/>
    <mergeCell ref="F18:L18"/>
    <mergeCell ref="F17:L17"/>
    <mergeCell ref="F48:L48"/>
    <mergeCell ref="F52:L52"/>
    <mergeCell ref="F53:L53"/>
    <mergeCell ref="F54:L54"/>
    <mergeCell ref="F62:L62"/>
    <mergeCell ref="F33:L33"/>
    <mergeCell ref="F37:L37"/>
    <mergeCell ref="F38:L38"/>
    <mergeCell ref="F39:L39"/>
    <mergeCell ref="F47:L47"/>
    <mergeCell ref="F78:L78"/>
    <mergeCell ref="F82:L82"/>
    <mergeCell ref="F83:L83"/>
    <mergeCell ref="F84:L84"/>
    <mergeCell ref="F92:L92"/>
    <mergeCell ref="F63:L63"/>
    <mergeCell ref="F67:L67"/>
    <mergeCell ref="F68:L68"/>
    <mergeCell ref="F69:L69"/>
    <mergeCell ref="F77:L77"/>
    <mergeCell ref="F108:L108"/>
    <mergeCell ref="F112:L112"/>
    <mergeCell ref="F113:L113"/>
    <mergeCell ref="F114:L114"/>
    <mergeCell ref="F122:L122"/>
    <mergeCell ref="F93:L93"/>
    <mergeCell ref="F97:L97"/>
    <mergeCell ref="F98:L98"/>
    <mergeCell ref="F99:L99"/>
    <mergeCell ref="F107:L107"/>
    <mergeCell ref="F138:L138"/>
    <mergeCell ref="F142:L142"/>
    <mergeCell ref="F143:L143"/>
    <mergeCell ref="F144:L144"/>
    <mergeCell ref="F152:L152"/>
    <mergeCell ref="F123:L123"/>
    <mergeCell ref="F127:L127"/>
    <mergeCell ref="F128:L128"/>
    <mergeCell ref="F129:L129"/>
    <mergeCell ref="F137:L137"/>
    <mergeCell ref="F168:L168"/>
    <mergeCell ref="F172:L172"/>
    <mergeCell ref="F173:L173"/>
    <mergeCell ref="F174:L174"/>
    <mergeCell ref="F182:L182"/>
    <mergeCell ref="F153:L153"/>
    <mergeCell ref="F157:L157"/>
    <mergeCell ref="F158:L158"/>
    <mergeCell ref="F159:L159"/>
    <mergeCell ref="F167:L167"/>
    <mergeCell ref="F198:L198"/>
    <mergeCell ref="F202:L202"/>
    <mergeCell ref="F203:L203"/>
    <mergeCell ref="F204:L204"/>
    <mergeCell ref="F212:L212"/>
    <mergeCell ref="F183:L183"/>
    <mergeCell ref="F187:L187"/>
    <mergeCell ref="F188:L188"/>
    <mergeCell ref="F189:L189"/>
    <mergeCell ref="F197:L197"/>
    <mergeCell ref="F228:L228"/>
    <mergeCell ref="F232:L232"/>
    <mergeCell ref="F233:L233"/>
    <mergeCell ref="F234:L234"/>
    <mergeCell ref="F242:L242"/>
    <mergeCell ref="F213:L213"/>
    <mergeCell ref="F217:L217"/>
    <mergeCell ref="F218:L218"/>
    <mergeCell ref="F219:L219"/>
    <mergeCell ref="F227:L227"/>
    <mergeCell ref="F258:L258"/>
    <mergeCell ref="F262:L262"/>
    <mergeCell ref="F263:L263"/>
    <mergeCell ref="F264:L264"/>
    <mergeCell ref="F272:L272"/>
    <mergeCell ref="F243:L243"/>
    <mergeCell ref="F247:L247"/>
    <mergeCell ref="F248:L248"/>
    <mergeCell ref="F249:L249"/>
    <mergeCell ref="F257:L257"/>
    <mergeCell ref="F288:L288"/>
    <mergeCell ref="F292:L292"/>
    <mergeCell ref="F293:L293"/>
    <mergeCell ref="F294:L294"/>
    <mergeCell ref="F302:L302"/>
    <mergeCell ref="F273:L273"/>
    <mergeCell ref="F277:L277"/>
    <mergeCell ref="F278:L278"/>
    <mergeCell ref="F279:L279"/>
    <mergeCell ref="F287:L287"/>
    <mergeCell ref="F318:L318"/>
    <mergeCell ref="F322:L322"/>
    <mergeCell ref="F323:L323"/>
    <mergeCell ref="F324:L324"/>
    <mergeCell ref="F332:L332"/>
    <mergeCell ref="F303:L303"/>
    <mergeCell ref="F307:L307"/>
    <mergeCell ref="F308:L308"/>
    <mergeCell ref="F309:L309"/>
    <mergeCell ref="F317:L317"/>
    <mergeCell ref="F348:L348"/>
    <mergeCell ref="F352:L352"/>
    <mergeCell ref="F353:L353"/>
    <mergeCell ref="F354:L354"/>
    <mergeCell ref="F362:L362"/>
    <mergeCell ref="F333:L333"/>
    <mergeCell ref="F337:L337"/>
    <mergeCell ref="F338:L338"/>
    <mergeCell ref="F339:L339"/>
    <mergeCell ref="F347:L347"/>
    <mergeCell ref="F378:L378"/>
    <mergeCell ref="F382:L382"/>
    <mergeCell ref="F383:L383"/>
    <mergeCell ref="F384:L384"/>
    <mergeCell ref="F392:L392"/>
    <mergeCell ref="F363:L363"/>
    <mergeCell ref="F367:L367"/>
    <mergeCell ref="F368:L368"/>
    <mergeCell ref="F369:L369"/>
    <mergeCell ref="F377:L377"/>
    <mergeCell ref="F408:L408"/>
    <mergeCell ref="F412:L412"/>
    <mergeCell ref="F413:L413"/>
    <mergeCell ref="F414:L414"/>
    <mergeCell ref="F422:L422"/>
    <mergeCell ref="F393:L393"/>
    <mergeCell ref="F397:L397"/>
    <mergeCell ref="F398:L398"/>
    <mergeCell ref="F399:L399"/>
    <mergeCell ref="F407:L407"/>
    <mergeCell ref="F453:L453"/>
    <mergeCell ref="F438:L438"/>
    <mergeCell ref="F442:L442"/>
    <mergeCell ref="F443:L443"/>
    <mergeCell ref="F444:L444"/>
    <mergeCell ref="F452:L452"/>
    <mergeCell ref="F423:L423"/>
    <mergeCell ref="F427:L427"/>
    <mergeCell ref="F428:L428"/>
    <mergeCell ref="F429:L429"/>
    <mergeCell ref="F437:L437"/>
  </mergeCells>
  <phoneticPr fontId="1"/>
  <conditionalFormatting sqref="C7">
    <cfRule type="containsBlanks" dxfId="956" priority="1527">
      <formula>LEN(TRIM(C7))=0</formula>
    </cfRule>
  </conditionalFormatting>
  <conditionalFormatting sqref="C22">
    <cfRule type="containsBlanks" dxfId="955" priority="837">
      <formula>LEN(TRIM(C22))=0</formula>
    </cfRule>
  </conditionalFormatting>
  <conditionalFormatting sqref="C37">
    <cfRule type="containsBlanks" dxfId="954" priority="836">
      <formula>LEN(TRIM(C37))=0</formula>
    </cfRule>
  </conditionalFormatting>
  <conditionalFormatting sqref="C52">
    <cfRule type="containsBlanks" dxfId="953" priority="835">
      <formula>LEN(TRIM(C52))=0</formula>
    </cfRule>
  </conditionalFormatting>
  <conditionalFormatting sqref="C67">
    <cfRule type="containsBlanks" dxfId="952" priority="834">
      <formula>LEN(TRIM(C67))=0</formula>
    </cfRule>
  </conditionalFormatting>
  <conditionalFormatting sqref="C82">
    <cfRule type="containsBlanks" dxfId="951" priority="833">
      <formula>LEN(TRIM(C82))=0</formula>
    </cfRule>
  </conditionalFormatting>
  <conditionalFormatting sqref="C97">
    <cfRule type="containsBlanks" dxfId="950" priority="832">
      <formula>LEN(TRIM(C97))=0</formula>
    </cfRule>
  </conditionalFormatting>
  <conditionalFormatting sqref="C112">
    <cfRule type="containsBlanks" dxfId="949" priority="831">
      <formula>LEN(TRIM(C112))=0</formula>
    </cfRule>
  </conditionalFormatting>
  <conditionalFormatting sqref="C127">
    <cfRule type="containsBlanks" dxfId="948" priority="830">
      <formula>LEN(TRIM(C127))=0</formula>
    </cfRule>
  </conditionalFormatting>
  <conditionalFormatting sqref="C142">
    <cfRule type="containsBlanks" dxfId="947" priority="829">
      <formula>LEN(TRIM(C142))=0</formula>
    </cfRule>
  </conditionalFormatting>
  <conditionalFormatting sqref="C157">
    <cfRule type="containsBlanks" dxfId="946" priority="828">
      <formula>LEN(TRIM(C157))=0</formula>
    </cfRule>
  </conditionalFormatting>
  <conditionalFormatting sqref="C172">
    <cfRule type="containsBlanks" dxfId="945" priority="827">
      <formula>LEN(TRIM(C172))=0</formula>
    </cfRule>
  </conditionalFormatting>
  <conditionalFormatting sqref="C187">
    <cfRule type="containsBlanks" dxfId="944" priority="826">
      <formula>LEN(TRIM(C187))=0</formula>
    </cfRule>
  </conditionalFormatting>
  <conditionalFormatting sqref="C202">
    <cfRule type="containsBlanks" dxfId="943" priority="825">
      <formula>LEN(TRIM(C202))=0</formula>
    </cfRule>
  </conditionalFormatting>
  <conditionalFormatting sqref="C217">
    <cfRule type="containsBlanks" dxfId="942" priority="824">
      <formula>LEN(TRIM(C217))=0</formula>
    </cfRule>
  </conditionalFormatting>
  <conditionalFormatting sqref="C232">
    <cfRule type="containsBlanks" dxfId="941" priority="823">
      <formula>LEN(TRIM(C232))=0</formula>
    </cfRule>
  </conditionalFormatting>
  <conditionalFormatting sqref="C247">
    <cfRule type="containsBlanks" dxfId="940" priority="822">
      <formula>LEN(TRIM(C247))=0</formula>
    </cfRule>
  </conditionalFormatting>
  <conditionalFormatting sqref="C262">
    <cfRule type="containsBlanks" dxfId="939" priority="821">
      <formula>LEN(TRIM(C262))=0</formula>
    </cfRule>
  </conditionalFormatting>
  <conditionalFormatting sqref="C277">
    <cfRule type="containsBlanks" dxfId="938" priority="820">
      <formula>LEN(TRIM(C277))=0</formula>
    </cfRule>
  </conditionalFormatting>
  <conditionalFormatting sqref="C292">
    <cfRule type="containsBlanks" dxfId="937" priority="819">
      <formula>LEN(TRIM(C292))=0</formula>
    </cfRule>
  </conditionalFormatting>
  <conditionalFormatting sqref="C307">
    <cfRule type="containsBlanks" dxfId="936" priority="818">
      <formula>LEN(TRIM(C307))=0</formula>
    </cfRule>
  </conditionalFormatting>
  <conditionalFormatting sqref="C322">
    <cfRule type="containsBlanks" dxfId="935" priority="817">
      <formula>LEN(TRIM(C322))=0</formula>
    </cfRule>
  </conditionalFormatting>
  <conditionalFormatting sqref="C337">
    <cfRule type="containsBlanks" dxfId="934" priority="816">
      <formula>LEN(TRIM(C337))=0</formula>
    </cfRule>
  </conditionalFormatting>
  <conditionalFormatting sqref="C352">
    <cfRule type="containsBlanks" dxfId="933" priority="815">
      <formula>LEN(TRIM(C352))=0</formula>
    </cfRule>
  </conditionalFormatting>
  <conditionalFormatting sqref="C367">
    <cfRule type="containsBlanks" dxfId="932" priority="811">
      <formula>LEN(TRIM(C367))=0</formula>
    </cfRule>
  </conditionalFormatting>
  <conditionalFormatting sqref="C382">
    <cfRule type="containsBlanks" dxfId="931" priority="810">
      <formula>LEN(TRIM(C382))=0</formula>
    </cfRule>
  </conditionalFormatting>
  <conditionalFormatting sqref="C397">
    <cfRule type="containsBlanks" dxfId="930" priority="809">
      <formula>LEN(TRIM(C397))=0</formula>
    </cfRule>
  </conditionalFormatting>
  <conditionalFormatting sqref="C412">
    <cfRule type="containsBlanks" dxfId="929" priority="808">
      <formula>LEN(TRIM(C412))=0</formula>
    </cfRule>
  </conditionalFormatting>
  <conditionalFormatting sqref="C427">
    <cfRule type="containsBlanks" dxfId="928" priority="807">
      <formula>LEN(TRIM(C427))=0</formula>
    </cfRule>
  </conditionalFormatting>
  <conditionalFormatting sqref="C442">
    <cfRule type="containsBlanks" dxfId="927" priority="806">
      <formula>LEN(TRIM(C442))=0</formula>
    </cfRule>
  </conditionalFormatting>
  <conditionalFormatting sqref="C15:D15">
    <cfRule type="expression" dxfId="926" priority="117">
      <formula>$E17="懸念事項"</formula>
    </cfRule>
  </conditionalFormatting>
  <conditionalFormatting sqref="C30:D30">
    <cfRule type="expression" dxfId="925" priority="113">
      <formula>$E32="懸念事項"</formula>
    </cfRule>
  </conditionalFormatting>
  <conditionalFormatting sqref="C45:D45">
    <cfRule type="expression" dxfId="924" priority="109">
      <formula>$E47="懸念事項"</formula>
    </cfRule>
  </conditionalFormatting>
  <conditionalFormatting sqref="C60:D60">
    <cfRule type="expression" dxfId="923" priority="105">
      <formula>$E62="懸念事項"</formula>
    </cfRule>
  </conditionalFormatting>
  <conditionalFormatting sqref="C75:D75">
    <cfRule type="expression" dxfId="922" priority="101">
      <formula>$E77="懸念事項"</formula>
    </cfRule>
  </conditionalFormatting>
  <conditionalFormatting sqref="C90:D90">
    <cfRule type="expression" dxfId="921" priority="97">
      <formula>$E92="懸念事項"</formula>
    </cfRule>
  </conditionalFormatting>
  <conditionalFormatting sqref="C105:D105">
    <cfRule type="expression" dxfId="920" priority="93">
      <formula>$E107="懸念事項"</formula>
    </cfRule>
  </conditionalFormatting>
  <conditionalFormatting sqref="C120:D120">
    <cfRule type="expression" dxfId="919" priority="89">
      <formula>$E122="懸念事項"</formula>
    </cfRule>
  </conditionalFormatting>
  <conditionalFormatting sqref="C135:D135">
    <cfRule type="expression" dxfId="918" priority="85">
      <formula>$E137="懸念事項"</formula>
    </cfRule>
  </conditionalFormatting>
  <conditionalFormatting sqref="C150:D150">
    <cfRule type="expression" dxfId="917" priority="81">
      <formula>$E152="懸念事項"</formula>
    </cfRule>
  </conditionalFormatting>
  <conditionalFormatting sqref="C165:D165">
    <cfRule type="expression" dxfId="916" priority="77">
      <formula>$E167="懸念事項"</formula>
    </cfRule>
  </conditionalFormatting>
  <conditionalFormatting sqref="C180:D180">
    <cfRule type="expression" dxfId="915" priority="73">
      <formula>$E182="懸念事項"</formula>
    </cfRule>
  </conditionalFormatting>
  <conditionalFormatting sqref="C195:D195">
    <cfRule type="expression" dxfId="914" priority="69">
      <formula>$E197="懸念事項"</formula>
    </cfRule>
  </conditionalFormatting>
  <conditionalFormatting sqref="C210:D210">
    <cfRule type="expression" dxfId="913" priority="65">
      <formula>$E212="懸念事項"</formula>
    </cfRule>
  </conditionalFormatting>
  <conditionalFormatting sqref="C225:D225">
    <cfRule type="expression" dxfId="912" priority="61">
      <formula>$E227="懸念事項"</formula>
    </cfRule>
  </conditionalFormatting>
  <conditionalFormatting sqref="C240:D240">
    <cfRule type="expression" dxfId="911" priority="57">
      <formula>$E242="懸念事項"</formula>
    </cfRule>
  </conditionalFormatting>
  <conditionalFormatting sqref="C255:D255">
    <cfRule type="expression" dxfId="910" priority="53">
      <formula>$E257="懸念事項"</formula>
    </cfRule>
  </conditionalFormatting>
  <conditionalFormatting sqref="C270:D270">
    <cfRule type="expression" dxfId="909" priority="49">
      <formula>$E272="懸念事項"</formula>
    </cfRule>
  </conditionalFormatting>
  <conditionalFormatting sqref="C285:D285">
    <cfRule type="expression" dxfId="908" priority="45">
      <formula>$E287="懸念事項"</formula>
    </cfRule>
  </conditionalFormatting>
  <conditionalFormatting sqref="C300:D300">
    <cfRule type="expression" dxfId="907" priority="41">
      <formula>$E302="懸念事項"</formula>
    </cfRule>
  </conditionalFormatting>
  <conditionalFormatting sqref="C315:D315">
    <cfRule type="expression" dxfId="906" priority="37">
      <formula>$E317="懸念事項"</formula>
    </cfRule>
  </conditionalFormatting>
  <conditionalFormatting sqref="C330:D330">
    <cfRule type="expression" dxfId="905" priority="33">
      <formula>$E332="懸念事項"</formula>
    </cfRule>
  </conditionalFormatting>
  <conditionalFormatting sqref="C345:D345">
    <cfRule type="expression" dxfId="904" priority="29">
      <formula>$E347="懸念事項"</formula>
    </cfRule>
  </conditionalFormatting>
  <conditionalFormatting sqref="C360:D360">
    <cfRule type="expression" dxfId="903" priority="25">
      <formula>$E362="懸念事項"</formula>
    </cfRule>
  </conditionalFormatting>
  <conditionalFormatting sqref="C375:D375">
    <cfRule type="expression" dxfId="902" priority="21">
      <formula>$E377="懸念事項"</formula>
    </cfRule>
  </conditionalFormatting>
  <conditionalFormatting sqref="C390:D390">
    <cfRule type="expression" dxfId="901" priority="17">
      <formula>$E392="懸念事項"</formula>
    </cfRule>
  </conditionalFormatting>
  <conditionalFormatting sqref="C405:D405">
    <cfRule type="expression" dxfId="900" priority="13">
      <formula>$E407="懸念事項"</formula>
    </cfRule>
  </conditionalFormatting>
  <conditionalFormatting sqref="C420:D420">
    <cfRule type="expression" dxfId="899" priority="9">
      <formula>$E422="懸念事項"</formula>
    </cfRule>
  </conditionalFormatting>
  <conditionalFormatting sqref="C435:D435">
    <cfRule type="expression" dxfId="898" priority="5">
      <formula>$E437="懸念事項"</formula>
    </cfRule>
  </conditionalFormatting>
  <conditionalFormatting sqref="C450:D450">
    <cfRule type="expression" dxfId="897" priority="1">
      <formula>$E452="懸念事項"</formula>
    </cfRule>
  </conditionalFormatting>
  <conditionalFormatting sqref="C10:L15">
    <cfRule type="expression" dxfId="896" priority="447">
      <formula>$R10=""</formula>
    </cfRule>
  </conditionalFormatting>
  <conditionalFormatting sqref="C25:L30">
    <cfRule type="expression" dxfId="895" priority="114">
      <formula>$R25=""</formula>
    </cfRule>
  </conditionalFormatting>
  <conditionalFormatting sqref="C40:L45">
    <cfRule type="expression" dxfId="894" priority="110">
      <formula>$R40=""</formula>
    </cfRule>
  </conditionalFormatting>
  <conditionalFormatting sqref="C55:L60">
    <cfRule type="expression" dxfId="893" priority="106">
      <formula>$R55=""</formula>
    </cfRule>
  </conditionalFormatting>
  <conditionalFormatting sqref="C70:L75">
    <cfRule type="expression" dxfId="892" priority="102">
      <formula>$R70=""</formula>
    </cfRule>
  </conditionalFormatting>
  <conditionalFormatting sqref="C85:L90">
    <cfRule type="expression" dxfId="891" priority="98">
      <formula>$R85=""</formula>
    </cfRule>
  </conditionalFormatting>
  <conditionalFormatting sqref="C100:L105">
    <cfRule type="expression" dxfId="890" priority="94">
      <formula>$R100=""</formula>
    </cfRule>
  </conditionalFormatting>
  <conditionalFormatting sqref="C115:L120">
    <cfRule type="expression" dxfId="889" priority="90">
      <formula>$R115=""</formula>
    </cfRule>
  </conditionalFormatting>
  <conditionalFormatting sqref="C130:L135">
    <cfRule type="expression" dxfId="888" priority="86">
      <formula>$R130=""</formula>
    </cfRule>
  </conditionalFormatting>
  <conditionalFormatting sqref="C145:L150">
    <cfRule type="expression" dxfId="887" priority="82">
      <formula>$R145=""</formula>
    </cfRule>
  </conditionalFormatting>
  <conditionalFormatting sqref="C160:L165">
    <cfRule type="expression" dxfId="886" priority="78">
      <formula>$R160=""</formula>
    </cfRule>
  </conditionalFormatting>
  <conditionalFormatting sqref="C175:L180">
    <cfRule type="expression" dxfId="885" priority="74">
      <formula>$R175=""</formula>
    </cfRule>
  </conditionalFormatting>
  <conditionalFormatting sqref="C190:L195">
    <cfRule type="expression" dxfId="884" priority="70">
      <formula>$R190=""</formula>
    </cfRule>
  </conditionalFormatting>
  <conditionalFormatting sqref="C205:L210">
    <cfRule type="expression" dxfId="883" priority="66">
      <formula>$R205=""</formula>
    </cfRule>
  </conditionalFormatting>
  <conditionalFormatting sqref="C220:L225">
    <cfRule type="expression" dxfId="882" priority="62">
      <formula>$R220=""</formula>
    </cfRule>
  </conditionalFormatting>
  <conditionalFormatting sqref="C235:L240">
    <cfRule type="expression" dxfId="881" priority="58">
      <formula>$R235=""</formula>
    </cfRule>
  </conditionalFormatting>
  <conditionalFormatting sqref="C250:L255">
    <cfRule type="expression" dxfId="880" priority="54">
      <formula>$R250=""</formula>
    </cfRule>
  </conditionalFormatting>
  <conditionalFormatting sqref="C265:L270">
    <cfRule type="expression" dxfId="879" priority="50">
      <formula>$R265=""</formula>
    </cfRule>
  </conditionalFormatting>
  <conditionalFormatting sqref="C280:L285">
    <cfRule type="expression" dxfId="878" priority="46">
      <formula>$R280=""</formula>
    </cfRule>
  </conditionalFormatting>
  <conditionalFormatting sqref="C295:L300">
    <cfRule type="expression" dxfId="877" priority="42">
      <formula>$R295=""</formula>
    </cfRule>
  </conditionalFormatting>
  <conditionalFormatting sqref="C310:L315">
    <cfRule type="expression" dxfId="876" priority="38">
      <formula>$R310=""</formula>
    </cfRule>
  </conditionalFormatting>
  <conditionalFormatting sqref="C325:L330">
    <cfRule type="expression" dxfId="875" priority="34">
      <formula>$R325=""</formula>
    </cfRule>
  </conditionalFormatting>
  <conditionalFormatting sqref="C340:L345">
    <cfRule type="expression" dxfId="874" priority="30">
      <formula>$R340=""</formula>
    </cfRule>
  </conditionalFormatting>
  <conditionalFormatting sqref="C355:L360">
    <cfRule type="expression" dxfId="873" priority="26">
      <formula>$R355=""</formula>
    </cfRule>
  </conditionalFormatting>
  <conditionalFormatting sqref="C370:L375">
    <cfRule type="expression" dxfId="872" priority="22">
      <formula>$R370=""</formula>
    </cfRule>
  </conditionalFormatting>
  <conditionalFormatting sqref="C385:L390">
    <cfRule type="expression" dxfId="871" priority="18">
      <formula>$R385=""</formula>
    </cfRule>
  </conditionalFormatting>
  <conditionalFormatting sqref="C400:L405">
    <cfRule type="expression" dxfId="870" priority="14">
      <formula>$R400=""</formula>
    </cfRule>
  </conditionalFormatting>
  <conditionalFormatting sqref="C415:L420">
    <cfRule type="expression" dxfId="869" priority="10">
      <formula>$R415=""</formula>
    </cfRule>
  </conditionalFormatting>
  <conditionalFormatting sqref="C430:L435">
    <cfRule type="expression" dxfId="868" priority="6">
      <formula>$R430=""</formula>
    </cfRule>
  </conditionalFormatting>
  <conditionalFormatting sqref="C445:L450">
    <cfRule type="expression" dxfId="867" priority="2">
      <formula>$R445=""</formula>
    </cfRule>
  </conditionalFormatting>
  <conditionalFormatting sqref="D7">
    <cfRule type="containsText" dxfId="866" priority="295" operator="containsText" text="選択してください">
      <formula>NOT(ISERROR(SEARCH("選択してください",D7)))</formula>
    </cfRule>
  </conditionalFormatting>
  <conditionalFormatting sqref="D22">
    <cfRule type="containsText" dxfId="865" priority="296" operator="containsText" text="選択してください">
      <formula>NOT(ISERROR(SEARCH("選択してください",D22)))</formula>
    </cfRule>
  </conditionalFormatting>
  <conditionalFormatting sqref="D37">
    <cfRule type="containsText" dxfId="864" priority="297" operator="containsText" text="選択してください">
      <formula>NOT(ISERROR(SEARCH("選択してください",D37)))</formula>
    </cfRule>
  </conditionalFormatting>
  <conditionalFormatting sqref="D52">
    <cfRule type="containsText" dxfId="863" priority="298" operator="containsText" text="選択してください">
      <formula>NOT(ISERROR(SEARCH("選択してください",D52)))</formula>
    </cfRule>
  </conditionalFormatting>
  <conditionalFormatting sqref="D67">
    <cfRule type="containsText" dxfId="862" priority="299" operator="containsText" text="選択してください">
      <formula>NOT(ISERROR(SEARCH("選択してください",D67)))</formula>
    </cfRule>
  </conditionalFormatting>
  <conditionalFormatting sqref="D82">
    <cfRule type="containsText" dxfId="861" priority="300" operator="containsText" text="選択してください">
      <formula>NOT(ISERROR(SEARCH("選択してください",D82)))</formula>
    </cfRule>
  </conditionalFormatting>
  <conditionalFormatting sqref="D97">
    <cfRule type="containsText" dxfId="860" priority="301" operator="containsText" text="選択してください">
      <formula>NOT(ISERROR(SEARCH("選択してください",D97)))</formula>
    </cfRule>
  </conditionalFormatting>
  <conditionalFormatting sqref="D112">
    <cfRule type="containsText" dxfId="859" priority="1001" operator="containsText" text="選択してください">
      <formula>NOT(ISERROR(SEARCH("選択してください",D112)))</formula>
    </cfRule>
  </conditionalFormatting>
  <conditionalFormatting sqref="D127">
    <cfRule type="containsText" dxfId="858" priority="994" operator="containsText" text="選択してください">
      <formula>NOT(ISERROR(SEARCH("選択してください",D127)))</formula>
    </cfRule>
  </conditionalFormatting>
  <conditionalFormatting sqref="D142">
    <cfRule type="containsText" dxfId="857" priority="987" operator="containsText" text="選択してください">
      <formula>NOT(ISERROR(SEARCH("選択してください",D142)))</formula>
    </cfRule>
  </conditionalFormatting>
  <conditionalFormatting sqref="D157">
    <cfRule type="containsText" dxfId="856" priority="980" operator="containsText" text="選択してください">
      <formula>NOT(ISERROR(SEARCH("選択してください",D157)))</formula>
    </cfRule>
  </conditionalFormatting>
  <conditionalFormatting sqref="D172">
    <cfRule type="containsText" dxfId="855" priority="973" operator="containsText" text="選択してください">
      <formula>NOT(ISERROR(SEARCH("選択してください",D172)))</formula>
    </cfRule>
  </conditionalFormatting>
  <conditionalFormatting sqref="D187">
    <cfRule type="containsText" dxfId="854" priority="966" operator="containsText" text="選択してください">
      <formula>NOT(ISERROR(SEARCH("選択してください",D187)))</formula>
    </cfRule>
  </conditionalFormatting>
  <conditionalFormatting sqref="D202">
    <cfRule type="containsText" dxfId="853" priority="959" operator="containsText" text="選択してください">
      <formula>NOT(ISERROR(SEARCH("選択してください",D202)))</formula>
    </cfRule>
  </conditionalFormatting>
  <conditionalFormatting sqref="D217">
    <cfRule type="containsText" dxfId="852" priority="952" operator="containsText" text="選択してください">
      <formula>NOT(ISERROR(SEARCH("選択してください",D217)))</formula>
    </cfRule>
  </conditionalFormatting>
  <conditionalFormatting sqref="D232">
    <cfRule type="containsText" dxfId="851" priority="945" operator="containsText" text="選択してください">
      <formula>NOT(ISERROR(SEARCH("選択してください",D232)))</formula>
    </cfRule>
  </conditionalFormatting>
  <conditionalFormatting sqref="D247">
    <cfRule type="containsText" dxfId="850" priority="938" operator="containsText" text="選択してください">
      <formula>NOT(ISERROR(SEARCH("選択してください",D247)))</formula>
    </cfRule>
  </conditionalFormatting>
  <conditionalFormatting sqref="D262">
    <cfRule type="containsText" dxfId="849" priority="931" operator="containsText" text="選択してください">
      <formula>NOT(ISERROR(SEARCH("選択してください",D262)))</formula>
    </cfRule>
  </conditionalFormatting>
  <conditionalFormatting sqref="D277">
    <cfRule type="containsText" dxfId="848" priority="924" operator="containsText" text="選択してください">
      <formula>NOT(ISERROR(SEARCH("選択してください",D277)))</formula>
    </cfRule>
  </conditionalFormatting>
  <conditionalFormatting sqref="D292">
    <cfRule type="containsText" dxfId="847" priority="917" operator="containsText" text="選択してください">
      <formula>NOT(ISERROR(SEARCH("選択してください",D292)))</formula>
    </cfRule>
  </conditionalFormatting>
  <conditionalFormatting sqref="D307">
    <cfRule type="containsText" dxfId="846" priority="910" operator="containsText" text="選択してください">
      <formula>NOT(ISERROR(SEARCH("選択してください",D307)))</formula>
    </cfRule>
  </conditionalFormatting>
  <conditionalFormatting sqref="D322">
    <cfRule type="containsText" dxfId="845" priority="903" operator="containsText" text="選択してください">
      <formula>NOT(ISERROR(SEARCH("選択してください",D322)))</formula>
    </cfRule>
  </conditionalFormatting>
  <conditionalFormatting sqref="D337">
    <cfRule type="containsText" dxfId="844" priority="896" operator="containsText" text="選択してください">
      <formula>NOT(ISERROR(SEARCH("選択してください",D337)))</formula>
    </cfRule>
  </conditionalFormatting>
  <conditionalFormatting sqref="D352">
    <cfRule type="containsText" dxfId="843" priority="889" operator="containsText" text="選択してください">
      <formula>NOT(ISERROR(SEARCH("選択してください",D352)))</formula>
    </cfRule>
  </conditionalFormatting>
  <conditionalFormatting sqref="D367">
    <cfRule type="containsText" dxfId="842" priority="882" operator="containsText" text="選択してください">
      <formula>NOT(ISERROR(SEARCH("選択してください",D367)))</formula>
    </cfRule>
  </conditionalFormatting>
  <conditionalFormatting sqref="D382">
    <cfRule type="containsText" dxfId="841" priority="875" operator="containsText" text="選択してください">
      <formula>NOT(ISERROR(SEARCH("選択してください",D382)))</formula>
    </cfRule>
  </conditionalFormatting>
  <conditionalFormatting sqref="D397">
    <cfRule type="containsText" dxfId="840" priority="868" operator="containsText" text="選択してください">
      <formula>NOT(ISERROR(SEARCH("選択してください",D397)))</formula>
    </cfRule>
  </conditionalFormatting>
  <conditionalFormatting sqref="D412">
    <cfRule type="containsText" dxfId="839" priority="861" operator="containsText" text="選択してください">
      <formula>NOT(ISERROR(SEARCH("選択してください",D412)))</formula>
    </cfRule>
  </conditionalFormatting>
  <conditionalFormatting sqref="D427">
    <cfRule type="containsText" dxfId="838" priority="854" operator="containsText" text="選択してください">
      <formula>NOT(ISERROR(SEARCH("選択してください",D427)))</formula>
    </cfRule>
  </conditionalFormatting>
  <conditionalFormatting sqref="D442">
    <cfRule type="containsText" dxfId="837" priority="847" operator="containsText" text="選択してください">
      <formula>NOT(ISERROR(SEARCH("選択してください",D442)))</formula>
    </cfRule>
  </conditionalFormatting>
  <conditionalFormatting sqref="E11:E15">
    <cfRule type="containsText" dxfId="836" priority="1728" operator="containsText" text="合意形成対象者">
      <formula>NOT(ISERROR(SEARCH("合意形成対象者",E11)))</formula>
    </cfRule>
  </conditionalFormatting>
  <conditionalFormatting sqref="E26:E30">
    <cfRule type="containsText" dxfId="835" priority="115" operator="containsText" text="合意形成対象者">
      <formula>NOT(ISERROR(SEARCH("合意形成対象者",E26)))</formula>
    </cfRule>
  </conditionalFormatting>
  <conditionalFormatting sqref="E41:E45">
    <cfRule type="containsText" dxfId="834" priority="111" operator="containsText" text="合意形成対象者">
      <formula>NOT(ISERROR(SEARCH("合意形成対象者",E41)))</formula>
    </cfRule>
  </conditionalFormatting>
  <conditionalFormatting sqref="E56:E60">
    <cfRule type="containsText" dxfId="833" priority="107" operator="containsText" text="合意形成対象者">
      <formula>NOT(ISERROR(SEARCH("合意形成対象者",E56)))</formula>
    </cfRule>
  </conditionalFormatting>
  <conditionalFormatting sqref="E71:E75">
    <cfRule type="containsText" dxfId="832" priority="103" operator="containsText" text="合意形成対象者">
      <formula>NOT(ISERROR(SEARCH("合意形成対象者",E71)))</formula>
    </cfRule>
  </conditionalFormatting>
  <conditionalFormatting sqref="E86:E90">
    <cfRule type="containsText" dxfId="831" priority="99" operator="containsText" text="合意形成対象者">
      <formula>NOT(ISERROR(SEARCH("合意形成対象者",E86)))</formula>
    </cfRule>
  </conditionalFormatting>
  <conditionalFormatting sqref="E101:E105">
    <cfRule type="containsText" dxfId="830" priority="95" operator="containsText" text="合意形成対象者">
      <formula>NOT(ISERROR(SEARCH("合意形成対象者",E101)))</formula>
    </cfRule>
  </conditionalFormatting>
  <conditionalFormatting sqref="E116:E120">
    <cfRule type="containsText" dxfId="829" priority="91" operator="containsText" text="合意形成対象者">
      <formula>NOT(ISERROR(SEARCH("合意形成対象者",E116)))</formula>
    </cfRule>
  </conditionalFormatting>
  <conditionalFormatting sqref="E131:E135">
    <cfRule type="containsText" dxfId="828" priority="87" operator="containsText" text="合意形成対象者">
      <formula>NOT(ISERROR(SEARCH("合意形成対象者",E131)))</formula>
    </cfRule>
  </conditionalFormatting>
  <conditionalFormatting sqref="E146:E150">
    <cfRule type="containsText" dxfId="827" priority="83" operator="containsText" text="合意形成対象者">
      <formula>NOT(ISERROR(SEARCH("合意形成対象者",E146)))</formula>
    </cfRule>
  </conditionalFormatting>
  <conditionalFormatting sqref="E161:E165">
    <cfRule type="containsText" dxfId="826" priority="79" operator="containsText" text="合意形成対象者">
      <formula>NOT(ISERROR(SEARCH("合意形成対象者",E161)))</formula>
    </cfRule>
  </conditionalFormatting>
  <conditionalFormatting sqref="E176:E180">
    <cfRule type="containsText" dxfId="825" priority="75" operator="containsText" text="合意形成対象者">
      <formula>NOT(ISERROR(SEARCH("合意形成対象者",E176)))</formula>
    </cfRule>
  </conditionalFormatting>
  <conditionalFormatting sqref="E191:E195">
    <cfRule type="containsText" dxfId="824" priority="71" operator="containsText" text="合意形成対象者">
      <formula>NOT(ISERROR(SEARCH("合意形成対象者",E191)))</formula>
    </cfRule>
  </conditionalFormatting>
  <conditionalFormatting sqref="E206:E210">
    <cfRule type="containsText" dxfId="823" priority="67" operator="containsText" text="合意形成対象者">
      <formula>NOT(ISERROR(SEARCH("合意形成対象者",E206)))</formula>
    </cfRule>
  </conditionalFormatting>
  <conditionalFormatting sqref="E221:E225">
    <cfRule type="containsText" dxfId="822" priority="63" operator="containsText" text="合意形成対象者">
      <formula>NOT(ISERROR(SEARCH("合意形成対象者",E221)))</formula>
    </cfRule>
  </conditionalFormatting>
  <conditionalFormatting sqref="E236:E240">
    <cfRule type="containsText" dxfId="821" priority="59" operator="containsText" text="合意形成対象者">
      <formula>NOT(ISERROR(SEARCH("合意形成対象者",E236)))</formula>
    </cfRule>
  </conditionalFormatting>
  <conditionalFormatting sqref="E251:E255">
    <cfRule type="containsText" dxfId="820" priority="55" operator="containsText" text="合意形成対象者">
      <formula>NOT(ISERROR(SEARCH("合意形成対象者",E251)))</formula>
    </cfRule>
  </conditionalFormatting>
  <conditionalFormatting sqref="E266:E270">
    <cfRule type="containsText" dxfId="819" priority="51" operator="containsText" text="合意形成対象者">
      <formula>NOT(ISERROR(SEARCH("合意形成対象者",E266)))</formula>
    </cfRule>
  </conditionalFormatting>
  <conditionalFormatting sqref="E281:E285">
    <cfRule type="containsText" dxfId="818" priority="47" operator="containsText" text="合意形成対象者">
      <formula>NOT(ISERROR(SEARCH("合意形成対象者",E281)))</formula>
    </cfRule>
  </conditionalFormatting>
  <conditionalFormatting sqref="E296:E300">
    <cfRule type="containsText" dxfId="817" priority="43" operator="containsText" text="合意形成対象者">
      <formula>NOT(ISERROR(SEARCH("合意形成対象者",E296)))</formula>
    </cfRule>
  </conditionalFormatting>
  <conditionalFormatting sqref="E311:E315">
    <cfRule type="containsText" dxfId="816" priority="39" operator="containsText" text="合意形成対象者">
      <formula>NOT(ISERROR(SEARCH("合意形成対象者",E311)))</formula>
    </cfRule>
  </conditionalFormatting>
  <conditionalFormatting sqref="E326:E330">
    <cfRule type="containsText" dxfId="815" priority="35" operator="containsText" text="合意形成対象者">
      <formula>NOT(ISERROR(SEARCH("合意形成対象者",E326)))</formula>
    </cfRule>
  </conditionalFormatting>
  <conditionalFormatting sqref="E341:E345">
    <cfRule type="containsText" dxfId="814" priority="31" operator="containsText" text="合意形成対象者">
      <formula>NOT(ISERROR(SEARCH("合意形成対象者",E341)))</formula>
    </cfRule>
  </conditionalFormatting>
  <conditionalFormatting sqref="E356:E360">
    <cfRule type="containsText" dxfId="813" priority="27" operator="containsText" text="合意形成対象者">
      <formula>NOT(ISERROR(SEARCH("合意形成対象者",E356)))</formula>
    </cfRule>
  </conditionalFormatting>
  <conditionalFormatting sqref="E371:E375">
    <cfRule type="containsText" dxfId="812" priority="23" operator="containsText" text="合意形成対象者">
      <formula>NOT(ISERROR(SEARCH("合意形成対象者",E371)))</formula>
    </cfRule>
  </conditionalFormatting>
  <conditionalFormatting sqref="E386:E390">
    <cfRule type="containsText" dxfId="811" priority="19" operator="containsText" text="合意形成対象者">
      <formula>NOT(ISERROR(SEARCH("合意形成対象者",E386)))</formula>
    </cfRule>
  </conditionalFormatting>
  <conditionalFormatting sqref="E401:E405">
    <cfRule type="containsText" dxfId="810" priority="15" operator="containsText" text="合意形成対象者">
      <formula>NOT(ISERROR(SEARCH("合意形成対象者",E401)))</formula>
    </cfRule>
  </conditionalFormatting>
  <conditionalFormatting sqref="E416:E420">
    <cfRule type="containsText" dxfId="809" priority="11" operator="containsText" text="合意形成対象者">
      <formula>NOT(ISERROR(SEARCH("合意形成対象者",E416)))</formula>
    </cfRule>
  </conditionalFormatting>
  <conditionalFormatting sqref="E431:E435">
    <cfRule type="containsText" dxfId="808" priority="7" operator="containsText" text="合意形成対象者">
      <formula>NOT(ISERROR(SEARCH("合意形成対象者",E431)))</formula>
    </cfRule>
  </conditionalFormatting>
  <conditionalFormatting sqref="E446:E450">
    <cfRule type="containsText" dxfId="807" priority="3" operator="containsText" text="合意形成対象者">
      <formula>NOT(ISERROR(SEARCH("合意形成対象者",E446)))</formula>
    </cfRule>
  </conditionalFormatting>
  <conditionalFormatting sqref="E11:L15">
    <cfRule type="notContainsBlanks" dxfId="806" priority="1729">
      <formula>LEN(TRIM(E11))&gt;0</formula>
    </cfRule>
  </conditionalFormatting>
  <conditionalFormatting sqref="E26:L30">
    <cfRule type="notContainsBlanks" dxfId="805" priority="116">
      <formula>LEN(TRIM(E26))&gt;0</formula>
    </cfRule>
  </conditionalFormatting>
  <conditionalFormatting sqref="E41:L45">
    <cfRule type="notContainsBlanks" dxfId="804" priority="112">
      <formula>LEN(TRIM(E41))&gt;0</formula>
    </cfRule>
  </conditionalFormatting>
  <conditionalFormatting sqref="E56:L60">
    <cfRule type="notContainsBlanks" dxfId="803" priority="108">
      <formula>LEN(TRIM(E56))&gt;0</formula>
    </cfRule>
  </conditionalFormatting>
  <conditionalFormatting sqref="E71:L75">
    <cfRule type="notContainsBlanks" dxfId="802" priority="104">
      <formula>LEN(TRIM(E71))&gt;0</formula>
    </cfRule>
  </conditionalFormatting>
  <conditionalFormatting sqref="E86:L90">
    <cfRule type="notContainsBlanks" dxfId="801" priority="100">
      <formula>LEN(TRIM(E86))&gt;0</formula>
    </cfRule>
  </conditionalFormatting>
  <conditionalFormatting sqref="E101:L105">
    <cfRule type="notContainsBlanks" dxfId="800" priority="96">
      <formula>LEN(TRIM(E101))&gt;0</formula>
    </cfRule>
  </conditionalFormatting>
  <conditionalFormatting sqref="E116:L120">
    <cfRule type="notContainsBlanks" dxfId="799" priority="92">
      <formula>LEN(TRIM(E116))&gt;0</formula>
    </cfRule>
  </conditionalFormatting>
  <conditionalFormatting sqref="E131:L135">
    <cfRule type="notContainsBlanks" dxfId="798" priority="88">
      <formula>LEN(TRIM(E131))&gt;0</formula>
    </cfRule>
  </conditionalFormatting>
  <conditionalFormatting sqref="E146:L150">
    <cfRule type="notContainsBlanks" dxfId="797" priority="84">
      <formula>LEN(TRIM(E146))&gt;0</formula>
    </cfRule>
  </conditionalFormatting>
  <conditionalFormatting sqref="E161:L165">
    <cfRule type="notContainsBlanks" dxfId="796" priority="80">
      <formula>LEN(TRIM(E161))&gt;0</formula>
    </cfRule>
  </conditionalFormatting>
  <conditionalFormatting sqref="E176:L180">
    <cfRule type="notContainsBlanks" dxfId="795" priority="76">
      <formula>LEN(TRIM(E176))&gt;0</formula>
    </cfRule>
  </conditionalFormatting>
  <conditionalFormatting sqref="E191:L195">
    <cfRule type="notContainsBlanks" dxfId="794" priority="72">
      <formula>LEN(TRIM(E191))&gt;0</formula>
    </cfRule>
  </conditionalFormatting>
  <conditionalFormatting sqref="E206:L210">
    <cfRule type="notContainsBlanks" dxfId="793" priority="68">
      <formula>LEN(TRIM(E206))&gt;0</formula>
    </cfRule>
  </conditionalFormatting>
  <conditionalFormatting sqref="E221:L225">
    <cfRule type="notContainsBlanks" dxfId="792" priority="64">
      <formula>LEN(TRIM(E221))&gt;0</formula>
    </cfRule>
  </conditionalFormatting>
  <conditionalFormatting sqref="E236:L240">
    <cfRule type="notContainsBlanks" dxfId="791" priority="60">
      <formula>LEN(TRIM(E236))&gt;0</formula>
    </cfRule>
  </conditionalFormatting>
  <conditionalFormatting sqref="E251:L255">
    <cfRule type="notContainsBlanks" dxfId="790" priority="56">
      <formula>LEN(TRIM(E251))&gt;0</formula>
    </cfRule>
  </conditionalFormatting>
  <conditionalFormatting sqref="E266:L270">
    <cfRule type="notContainsBlanks" dxfId="789" priority="52">
      <formula>LEN(TRIM(E266))&gt;0</formula>
    </cfRule>
  </conditionalFormatting>
  <conditionalFormatting sqref="E281:L285">
    <cfRule type="notContainsBlanks" dxfId="788" priority="48">
      <formula>LEN(TRIM(E281))&gt;0</formula>
    </cfRule>
  </conditionalFormatting>
  <conditionalFormatting sqref="E296:L300">
    <cfRule type="notContainsBlanks" dxfId="787" priority="44">
      <formula>LEN(TRIM(E296))&gt;0</formula>
    </cfRule>
  </conditionalFormatting>
  <conditionalFormatting sqref="E311:L315">
    <cfRule type="notContainsBlanks" dxfId="786" priority="40">
      <formula>LEN(TRIM(E311))&gt;0</formula>
    </cfRule>
  </conditionalFormatting>
  <conditionalFormatting sqref="E326:L330">
    <cfRule type="notContainsBlanks" dxfId="785" priority="36">
      <formula>LEN(TRIM(E326))&gt;0</formula>
    </cfRule>
  </conditionalFormatting>
  <conditionalFormatting sqref="E341:L345">
    <cfRule type="notContainsBlanks" dxfId="784" priority="32">
      <formula>LEN(TRIM(E341))&gt;0</formula>
    </cfRule>
  </conditionalFormatting>
  <conditionalFormatting sqref="E356:L360">
    <cfRule type="notContainsBlanks" dxfId="783" priority="28">
      <formula>LEN(TRIM(E356))&gt;0</formula>
    </cfRule>
  </conditionalFormatting>
  <conditionalFormatting sqref="E371:L375">
    <cfRule type="notContainsBlanks" dxfId="782" priority="24">
      <formula>LEN(TRIM(E371))&gt;0</formula>
    </cfRule>
  </conditionalFormatting>
  <conditionalFormatting sqref="E386:L390">
    <cfRule type="notContainsBlanks" dxfId="781" priority="20">
      <formula>LEN(TRIM(E386))&gt;0</formula>
    </cfRule>
  </conditionalFormatting>
  <conditionalFormatting sqref="E401:L405">
    <cfRule type="notContainsBlanks" dxfId="780" priority="16">
      <formula>LEN(TRIM(E401))&gt;0</formula>
    </cfRule>
  </conditionalFormatting>
  <conditionalFormatting sqref="E416:L420">
    <cfRule type="notContainsBlanks" dxfId="779" priority="12">
      <formula>LEN(TRIM(E416))&gt;0</formula>
    </cfRule>
  </conditionalFormatting>
  <conditionalFormatting sqref="E431:L435">
    <cfRule type="notContainsBlanks" dxfId="778" priority="8">
      <formula>LEN(TRIM(E431))&gt;0</formula>
    </cfRule>
  </conditionalFormatting>
  <conditionalFormatting sqref="E446:L450">
    <cfRule type="notContainsBlanks" dxfId="777" priority="4">
      <formula>LEN(TRIM(E446))&gt;0</formula>
    </cfRule>
  </conditionalFormatting>
  <conditionalFormatting sqref="F7:L9">
    <cfRule type="containsBlanks" dxfId="776" priority="1538">
      <formula>LEN(TRIM(F7))=0</formula>
    </cfRule>
    <cfRule type="expression" dxfId="775" priority="568">
      <formula>$F7&lt;&gt;$R7</formula>
    </cfRule>
  </conditionalFormatting>
  <conditionalFormatting sqref="F17:L17">
    <cfRule type="expression" dxfId="774" priority="804">
      <formula>$C7&lt;&gt;""</formula>
    </cfRule>
  </conditionalFormatting>
  <conditionalFormatting sqref="F17:L18">
    <cfRule type="notContainsBlanks" dxfId="773" priority="801">
      <formula>LEN(TRIM(F17))&gt;0</formula>
    </cfRule>
  </conditionalFormatting>
  <conditionalFormatting sqref="F18:L18">
    <cfRule type="expression" dxfId="772" priority="802">
      <formula>$C7&lt;&gt;""</formula>
    </cfRule>
  </conditionalFormatting>
  <conditionalFormatting sqref="F22:L24">
    <cfRule type="expression" dxfId="771" priority="566">
      <formula>$F22&lt;&gt;$R22</formula>
    </cfRule>
    <cfRule type="containsBlanks" dxfId="770" priority="567">
      <formula>LEN(TRIM(F22))=0</formula>
    </cfRule>
  </conditionalFormatting>
  <conditionalFormatting sqref="F32:L32">
    <cfRule type="expression" dxfId="769" priority="684">
      <formula>$C22&lt;&gt;""</formula>
    </cfRule>
  </conditionalFormatting>
  <conditionalFormatting sqref="F32:L33">
    <cfRule type="notContainsBlanks" dxfId="768" priority="681">
      <formula>LEN(TRIM(F32))&gt;0</formula>
    </cfRule>
  </conditionalFormatting>
  <conditionalFormatting sqref="F33:L33">
    <cfRule type="expression" dxfId="767" priority="682">
      <formula>$C22&lt;&gt;""</formula>
    </cfRule>
  </conditionalFormatting>
  <conditionalFormatting sqref="F37:L39">
    <cfRule type="containsBlanks" dxfId="766" priority="565">
      <formula>LEN(TRIM(F37))=0</formula>
    </cfRule>
    <cfRule type="expression" dxfId="765" priority="564">
      <formula>$F37&lt;&gt;$R37</formula>
    </cfRule>
  </conditionalFormatting>
  <conditionalFormatting sqref="F47:L47">
    <cfRule type="expression" dxfId="764" priority="680">
      <formula>$C37&lt;&gt;""</formula>
    </cfRule>
  </conditionalFormatting>
  <conditionalFormatting sqref="F47:L48">
    <cfRule type="notContainsBlanks" dxfId="763" priority="677">
      <formula>LEN(TRIM(F47))&gt;0</formula>
    </cfRule>
  </conditionalFormatting>
  <conditionalFormatting sqref="F48:L48">
    <cfRule type="expression" dxfId="762" priority="678">
      <formula>$C37&lt;&gt;""</formula>
    </cfRule>
  </conditionalFormatting>
  <conditionalFormatting sqref="F52:L54">
    <cfRule type="containsBlanks" dxfId="761" priority="563">
      <formula>LEN(TRIM(F52))=0</formula>
    </cfRule>
    <cfRule type="expression" dxfId="760" priority="562">
      <formula>$F52&lt;&gt;$R52</formula>
    </cfRule>
  </conditionalFormatting>
  <conditionalFormatting sqref="F62:L62">
    <cfRule type="expression" dxfId="759" priority="676">
      <formula>$C52&lt;&gt;""</formula>
    </cfRule>
  </conditionalFormatting>
  <conditionalFormatting sqref="F62:L63">
    <cfRule type="notContainsBlanks" dxfId="758" priority="673">
      <formula>LEN(TRIM(F62))&gt;0</formula>
    </cfRule>
  </conditionalFormatting>
  <conditionalFormatting sqref="F63:L63">
    <cfRule type="expression" dxfId="757" priority="674">
      <formula>$C52&lt;&gt;""</formula>
    </cfRule>
  </conditionalFormatting>
  <conditionalFormatting sqref="F67:L69">
    <cfRule type="containsBlanks" dxfId="756" priority="561">
      <formula>LEN(TRIM(F67))=0</formula>
    </cfRule>
    <cfRule type="expression" dxfId="755" priority="560">
      <formula>$F67&lt;&gt;$R67</formula>
    </cfRule>
  </conditionalFormatting>
  <conditionalFormatting sqref="F77:L77">
    <cfRule type="expression" dxfId="754" priority="672">
      <formula>$C67&lt;&gt;""</formula>
    </cfRule>
  </conditionalFormatting>
  <conditionalFormatting sqref="F77:L78">
    <cfRule type="notContainsBlanks" dxfId="753" priority="669">
      <formula>LEN(TRIM(F77))&gt;0</formula>
    </cfRule>
  </conditionalFormatting>
  <conditionalFormatting sqref="F78:L78">
    <cfRule type="expression" dxfId="752" priority="670">
      <formula>$C67&lt;&gt;""</formula>
    </cfRule>
  </conditionalFormatting>
  <conditionalFormatting sqref="F82:L84">
    <cfRule type="containsBlanks" dxfId="751" priority="559">
      <formula>LEN(TRIM(F82))=0</formula>
    </cfRule>
    <cfRule type="expression" dxfId="750" priority="558">
      <formula>$F82&lt;&gt;$R82</formula>
    </cfRule>
  </conditionalFormatting>
  <conditionalFormatting sqref="F92:L92">
    <cfRule type="expression" dxfId="749" priority="668">
      <formula>$C82&lt;&gt;""</formula>
    </cfRule>
  </conditionalFormatting>
  <conditionalFormatting sqref="F92:L93">
    <cfRule type="notContainsBlanks" dxfId="748" priority="665">
      <formula>LEN(TRIM(F92))&gt;0</formula>
    </cfRule>
  </conditionalFormatting>
  <conditionalFormatting sqref="F93:L93">
    <cfRule type="expression" dxfId="747" priority="666">
      <formula>$C82&lt;&gt;""</formula>
    </cfRule>
  </conditionalFormatting>
  <conditionalFormatting sqref="F97:L99">
    <cfRule type="containsBlanks" dxfId="746" priority="557">
      <formula>LEN(TRIM(F97))=0</formula>
    </cfRule>
    <cfRule type="expression" dxfId="745" priority="556">
      <formula>$F97&lt;&gt;$R97</formula>
    </cfRule>
  </conditionalFormatting>
  <conditionalFormatting sqref="F107:L107">
    <cfRule type="expression" dxfId="744" priority="664">
      <formula>$C97&lt;&gt;""</formula>
    </cfRule>
  </conditionalFormatting>
  <conditionalFormatting sqref="F107:L108">
    <cfRule type="notContainsBlanks" dxfId="743" priority="661">
      <formula>LEN(TRIM(F107))&gt;0</formula>
    </cfRule>
  </conditionalFormatting>
  <conditionalFormatting sqref="F108:L108">
    <cfRule type="expression" dxfId="742" priority="662">
      <formula>$C97&lt;&gt;""</formula>
    </cfRule>
  </conditionalFormatting>
  <conditionalFormatting sqref="F112:L114">
    <cfRule type="containsBlanks" dxfId="741" priority="555">
      <formula>LEN(TRIM(F112))=0</formula>
    </cfRule>
    <cfRule type="expression" dxfId="740" priority="554">
      <formula>$F112&lt;&gt;$R112</formula>
    </cfRule>
  </conditionalFormatting>
  <conditionalFormatting sqref="F122:L122">
    <cfRule type="expression" dxfId="739" priority="660">
      <formula>$C112&lt;&gt;""</formula>
    </cfRule>
  </conditionalFormatting>
  <conditionalFormatting sqref="F122:L123">
    <cfRule type="notContainsBlanks" dxfId="738" priority="657">
      <formula>LEN(TRIM(F122))&gt;0</formula>
    </cfRule>
  </conditionalFormatting>
  <conditionalFormatting sqref="F123:L123">
    <cfRule type="expression" dxfId="737" priority="658">
      <formula>$C112&lt;&gt;""</formula>
    </cfRule>
  </conditionalFormatting>
  <conditionalFormatting sqref="F127:L129">
    <cfRule type="containsBlanks" dxfId="736" priority="549">
      <formula>LEN(TRIM(F127))=0</formula>
    </cfRule>
    <cfRule type="expression" dxfId="735" priority="548">
      <formula>$F127&lt;&gt;$R127</formula>
    </cfRule>
  </conditionalFormatting>
  <conditionalFormatting sqref="F137:L137">
    <cfRule type="expression" dxfId="734" priority="656">
      <formula>$C127&lt;&gt;""</formula>
    </cfRule>
  </conditionalFormatting>
  <conditionalFormatting sqref="F137:L138">
    <cfRule type="notContainsBlanks" dxfId="733" priority="653">
      <formula>LEN(TRIM(F137))&gt;0</formula>
    </cfRule>
  </conditionalFormatting>
  <conditionalFormatting sqref="F138:L138">
    <cfRule type="expression" dxfId="732" priority="654">
      <formula>$C127&lt;&gt;""</formula>
    </cfRule>
  </conditionalFormatting>
  <conditionalFormatting sqref="F142:L144">
    <cfRule type="containsBlanks" dxfId="731" priority="547">
      <formula>LEN(TRIM(F142))=0</formula>
    </cfRule>
    <cfRule type="expression" dxfId="730" priority="546">
      <formula>$F142&lt;&gt;$R142</formula>
    </cfRule>
  </conditionalFormatting>
  <conditionalFormatting sqref="F152:L152">
    <cfRule type="expression" dxfId="729" priority="652">
      <formula>$C142&lt;&gt;""</formula>
    </cfRule>
  </conditionalFormatting>
  <conditionalFormatting sqref="F152:L153">
    <cfRule type="notContainsBlanks" dxfId="728" priority="649">
      <formula>LEN(TRIM(F152))&gt;0</formula>
    </cfRule>
  </conditionalFormatting>
  <conditionalFormatting sqref="F153:L153">
    <cfRule type="expression" dxfId="727" priority="650">
      <formula>$C142&lt;&gt;""</formula>
    </cfRule>
  </conditionalFormatting>
  <conditionalFormatting sqref="F157:L159">
    <cfRule type="expression" dxfId="726" priority="544">
      <formula>$F157&lt;&gt;$R157</formula>
    </cfRule>
    <cfRule type="containsBlanks" dxfId="725" priority="545">
      <formula>LEN(TRIM(F157))=0</formula>
    </cfRule>
  </conditionalFormatting>
  <conditionalFormatting sqref="F167:L167">
    <cfRule type="expression" dxfId="724" priority="648">
      <formula>$C157&lt;&gt;""</formula>
    </cfRule>
  </conditionalFormatting>
  <conditionalFormatting sqref="F167:L168">
    <cfRule type="notContainsBlanks" dxfId="723" priority="645">
      <formula>LEN(TRIM(F167))&gt;0</formula>
    </cfRule>
  </conditionalFormatting>
  <conditionalFormatting sqref="F168:L168">
    <cfRule type="expression" dxfId="722" priority="646">
      <formula>$C157&lt;&gt;""</formula>
    </cfRule>
  </conditionalFormatting>
  <conditionalFormatting sqref="F172:L174">
    <cfRule type="expression" dxfId="721" priority="542">
      <formula>$F172&lt;&gt;$R172</formula>
    </cfRule>
    <cfRule type="containsBlanks" dxfId="720" priority="543">
      <formula>LEN(TRIM(F172))=0</formula>
    </cfRule>
  </conditionalFormatting>
  <conditionalFormatting sqref="F182:L182">
    <cfRule type="expression" dxfId="719" priority="644">
      <formula>$C172&lt;&gt;""</formula>
    </cfRule>
  </conditionalFormatting>
  <conditionalFormatting sqref="F182:L183">
    <cfRule type="notContainsBlanks" dxfId="718" priority="641">
      <formula>LEN(TRIM(F182))&gt;0</formula>
    </cfRule>
  </conditionalFormatting>
  <conditionalFormatting sqref="F183:L183">
    <cfRule type="expression" dxfId="717" priority="642">
      <formula>$C172&lt;&gt;""</formula>
    </cfRule>
  </conditionalFormatting>
  <conditionalFormatting sqref="F187:L189">
    <cfRule type="containsBlanks" dxfId="716" priority="541">
      <formula>LEN(TRIM(F187))=0</formula>
    </cfRule>
    <cfRule type="expression" dxfId="715" priority="540">
      <formula>$F187&lt;&gt;$R187</formula>
    </cfRule>
  </conditionalFormatting>
  <conditionalFormatting sqref="F197:L197">
    <cfRule type="expression" dxfId="714" priority="640">
      <formula>$C187&lt;&gt;""</formula>
    </cfRule>
  </conditionalFormatting>
  <conditionalFormatting sqref="F197:L198">
    <cfRule type="notContainsBlanks" dxfId="713" priority="637">
      <formula>LEN(TRIM(F197))&gt;0</formula>
    </cfRule>
  </conditionalFormatting>
  <conditionalFormatting sqref="F198:L198">
    <cfRule type="expression" dxfId="712" priority="638">
      <formula>$C187&lt;&gt;""</formula>
    </cfRule>
  </conditionalFormatting>
  <conditionalFormatting sqref="F202:L204">
    <cfRule type="expression" dxfId="711" priority="538">
      <formula>$F202&lt;&gt;$R202</formula>
    </cfRule>
    <cfRule type="containsBlanks" dxfId="710" priority="539">
      <formula>LEN(TRIM(F202))=0</formula>
    </cfRule>
  </conditionalFormatting>
  <conditionalFormatting sqref="F212:L212">
    <cfRule type="expression" dxfId="709" priority="636">
      <formula>$C202&lt;&gt;""</formula>
    </cfRule>
  </conditionalFormatting>
  <conditionalFormatting sqref="F212:L213">
    <cfRule type="notContainsBlanks" dxfId="708" priority="633">
      <formula>LEN(TRIM(F212))&gt;0</formula>
    </cfRule>
  </conditionalFormatting>
  <conditionalFormatting sqref="F213:L213">
    <cfRule type="expression" dxfId="707" priority="634">
      <formula>$C202&lt;&gt;""</formula>
    </cfRule>
  </conditionalFormatting>
  <conditionalFormatting sqref="F217:L219">
    <cfRule type="containsBlanks" dxfId="706" priority="537">
      <formula>LEN(TRIM(F217))=0</formula>
    </cfRule>
    <cfRule type="expression" dxfId="705" priority="536">
      <formula>$F217&lt;&gt;$R217</formula>
    </cfRule>
  </conditionalFormatting>
  <conditionalFormatting sqref="F227:L227">
    <cfRule type="expression" dxfId="704" priority="632">
      <formula>$C217&lt;&gt;""</formula>
    </cfRule>
  </conditionalFormatting>
  <conditionalFormatting sqref="F227:L228">
    <cfRule type="notContainsBlanks" dxfId="703" priority="629">
      <formula>LEN(TRIM(F227))&gt;0</formula>
    </cfRule>
  </conditionalFormatting>
  <conditionalFormatting sqref="F228:L228">
    <cfRule type="expression" dxfId="702" priority="630">
      <formula>$C217&lt;&gt;""</formula>
    </cfRule>
  </conditionalFormatting>
  <conditionalFormatting sqref="F232:L234">
    <cfRule type="containsBlanks" dxfId="701" priority="535">
      <formula>LEN(TRIM(F232))=0</formula>
    </cfRule>
    <cfRule type="expression" dxfId="700" priority="534">
      <formula>$F232&lt;&gt;$R232</formula>
    </cfRule>
  </conditionalFormatting>
  <conditionalFormatting sqref="F242:L242">
    <cfRule type="expression" dxfId="699" priority="628">
      <formula>$C232&lt;&gt;""</formula>
    </cfRule>
  </conditionalFormatting>
  <conditionalFormatting sqref="F242:L243">
    <cfRule type="notContainsBlanks" dxfId="698" priority="625">
      <formula>LEN(TRIM(F242))&gt;0</formula>
    </cfRule>
  </conditionalFormatting>
  <conditionalFormatting sqref="F243:L243">
    <cfRule type="expression" dxfId="697" priority="626">
      <formula>$C232&lt;&gt;""</formula>
    </cfRule>
  </conditionalFormatting>
  <conditionalFormatting sqref="F247:L249">
    <cfRule type="containsBlanks" dxfId="696" priority="533">
      <formula>LEN(TRIM(F247))=0</formula>
    </cfRule>
    <cfRule type="expression" dxfId="695" priority="532">
      <formula>$F247&lt;&gt;$R247</formula>
    </cfRule>
  </conditionalFormatting>
  <conditionalFormatting sqref="F257:L257">
    <cfRule type="expression" dxfId="694" priority="624">
      <formula>$C247&lt;&gt;""</formula>
    </cfRule>
  </conditionalFormatting>
  <conditionalFormatting sqref="F257:L258">
    <cfRule type="notContainsBlanks" dxfId="693" priority="621">
      <formula>LEN(TRIM(F257))&gt;0</formula>
    </cfRule>
  </conditionalFormatting>
  <conditionalFormatting sqref="F258:L258">
    <cfRule type="expression" dxfId="692" priority="622">
      <formula>$C247&lt;&gt;""</formula>
    </cfRule>
  </conditionalFormatting>
  <conditionalFormatting sqref="F262:L264">
    <cfRule type="containsBlanks" dxfId="691" priority="531">
      <formula>LEN(TRIM(F262))=0</formula>
    </cfRule>
    <cfRule type="expression" dxfId="690" priority="530">
      <formula>$F262&lt;&gt;$R262</formula>
    </cfRule>
  </conditionalFormatting>
  <conditionalFormatting sqref="F272:L272">
    <cfRule type="expression" dxfId="689" priority="620">
      <formula>$C262&lt;&gt;""</formula>
    </cfRule>
  </conditionalFormatting>
  <conditionalFormatting sqref="F272:L273">
    <cfRule type="notContainsBlanks" dxfId="688" priority="617">
      <formula>LEN(TRIM(F272))&gt;0</formula>
    </cfRule>
  </conditionalFormatting>
  <conditionalFormatting sqref="F273:L273">
    <cfRule type="expression" dxfId="687" priority="618">
      <formula>$C262&lt;&gt;""</formula>
    </cfRule>
  </conditionalFormatting>
  <conditionalFormatting sqref="F277:L279">
    <cfRule type="expression" dxfId="686" priority="528">
      <formula>$F277&lt;&gt;$R277</formula>
    </cfRule>
    <cfRule type="containsBlanks" dxfId="685" priority="529">
      <formula>LEN(TRIM(F277))=0</formula>
    </cfRule>
  </conditionalFormatting>
  <conditionalFormatting sqref="F287:L287">
    <cfRule type="expression" dxfId="684" priority="616">
      <formula>$C277&lt;&gt;""</formula>
    </cfRule>
  </conditionalFormatting>
  <conditionalFormatting sqref="F287:L288">
    <cfRule type="notContainsBlanks" dxfId="683" priority="613">
      <formula>LEN(TRIM(F287))&gt;0</formula>
    </cfRule>
  </conditionalFormatting>
  <conditionalFormatting sqref="F288:L288">
    <cfRule type="expression" dxfId="682" priority="614">
      <formula>$C277&lt;&gt;""</formula>
    </cfRule>
  </conditionalFormatting>
  <conditionalFormatting sqref="F292:L294">
    <cfRule type="containsBlanks" dxfId="681" priority="527">
      <formula>LEN(TRIM(F292))=0</formula>
    </cfRule>
    <cfRule type="expression" dxfId="680" priority="526">
      <formula>$F292&lt;&gt;$R292</formula>
    </cfRule>
  </conditionalFormatting>
  <conditionalFormatting sqref="F302:L302">
    <cfRule type="expression" dxfId="679" priority="612">
      <formula>$C292&lt;&gt;""</formula>
    </cfRule>
  </conditionalFormatting>
  <conditionalFormatting sqref="F302:L303">
    <cfRule type="notContainsBlanks" dxfId="678" priority="609">
      <formula>LEN(TRIM(F302))&gt;0</formula>
    </cfRule>
  </conditionalFormatting>
  <conditionalFormatting sqref="F303:L303">
    <cfRule type="expression" dxfId="677" priority="610">
      <formula>$C292&lt;&gt;""</formula>
    </cfRule>
  </conditionalFormatting>
  <conditionalFormatting sqref="F307:L309">
    <cfRule type="expression" dxfId="676" priority="524">
      <formula>$F307&lt;&gt;$R307</formula>
    </cfRule>
    <cfRule type="containsBlanks" dxfId="675" priority="525">
      <formula>LEN(TRIM(F307))=0</formula>
    </cfRule>
  </conditionalFormatting>
  <conditionalFormatting sqref="F317:L317">
    <cfRule type="expression" dxfId="674" priority="608">
      <formula>$C307&lt;&gt;""</formula>
    </cfRule>
  </conditionalFormatting>
  <conditionalFormatting sqref="F317:L318">
    <cfRule type="notContainsBlanks" dxfId="673" priority="605">
      <formula>LEN(TRIM(F317))&gt;0</formula>
    </cfRule>
  </conditionalFormatting>
  <conditionalFormatting sqref="F318:L318">
    <cfRule type="expression" dxfId="672" priority="606">
      <formula>$C307&lt;&gt;""</formula>
    </cfRule>
  </conditionalFormatting>
  <conditionalFormatting sqref="F322:L324">
    <cfRule type="containsBlanks" dxfId="671" priority="523">
      <formula>LEN(TRIM(F322))=0</formula>
    </cfRule>
    <cfRule type="expression" dxfId="670" priority="522">
      <formula>$F322&lt;&gt;$R322</formula>
    </cfRule>
  </conditionalFormatting>
  <conditionalFormatting sqref="F332:L332">
    <cfRule type="expression" dxfId="669" priority="604">
      <formula>$C322&lt;&gt;""</formula>
    </cfRule>
  </conditionalFormatting>
  <conditionalFormatting sqref="F332:L333">
    <cfRule type="notContainsBlanks" dxfId="668" priority="601">
      <formula>LEN(TRIM(F332))&gt;0</formula>
    </cfRule>
  </conditionalFormatting>
  <conditionalFormatting sqref="F333:L333">
    <cfRule type="expression" dxfId="667" priority="602">
      <formula>$C322&lt;&gt;""</formula>
    </cfRule>
  </conditionalFormatting>
  <conditionalFormatting sqref="F337:L339">
    <cfRule type="containsBlanks" dxfId="666" priority="521">
      <formula>LEN(TRIM(F337))=0</formula>
    </cfRule>
    <cfRule type="expression" dxfId="665" priority="520">
      <formula>$F337&lt;&gt;$R337</formula>
    </cfRule>
  </conditionalFormatting>
  <conditionalFormatting sqref="F347:L347">
    <cfRule type="expression" dxfId="664" priority="600">
      <formula>$C337&lt;&gt;""</formula>
    </cfRule>
  </conditionalFormatting>
  <conditionalFormatting sqref="F347:L348">
    <cfRule type="notContainsBlanks" dxfId="663" priority="597">
      <formula>LEN(TRIM(F347))&gt;0</formula>
    </cfRule>
  </conditionalFormatting>
  <conditionalFormatting sqref="F348:L348">
    <cfRule type="expression" dxfId="662" priority="598">
      <formula>$C337&lt;&gt;""</formula>
    </cfRule>
  </conditionalFormatting>
  <conditionalFormatting sqref="F352:L354">
    <cfRule type="containsBlanks" dxfId="661" priority="519">
      <formula>LEN(TRIM(F352))=0</formula>
    </cfRule>
    <cfRule type="expression" dxfId="660" priority="518">
      <formula>$F352&lt;&gt;$R352</formula>
    </cfRule>
  </conditionalFormatting>
  <conditionalFormatting sqref="F362:L362">
    <cfRule type="expression" dxfId="659" priority="596">
      <formula>$C352&lt;&gt;""</formula>
    </cfRule>
  </conditionalFormatting>
  <conditionalFormatting sqref="F362:L363">
    <cfRule type="notContainsBlanks" dxfId="658" priority="593">
      <formula>LEN(TRIM(F362))&gt;0</formula>
    </cfRule>
  </conditionalFormatting>
  <conditionalFormatting sqref="F363:L363">
    <cfRule type="expression" dxfId="657" priority="594">
      <formula>$C352&lt;&gt;""</formula>
    </cfRule>
  </conditionalFormatting>
  <conditionalFormatting sqref="F367:L369">
    <cfRule type="containsBlanks" dxfId="656" priority="517">
      <formula>LEN(TRIM(F367))=0</formula>
    </cfRule>
    <cfRule type="expression" dxfId="655" priority="516">
      <formula>$F367&lt;&gt;$R367</formula>
    </cfRule>
  </conditionalFormatting>
  <conditionalFormatting sqref="F377:L377">
    <cfRule type="expression" dxfId="654" priority="592">
      <formula>$C367&lt;&gt;""</formula>
    </cfRule>
  </conditionalFormatting>
  <conditionalFormatting sqref="F377:L378">
    <cfRule type="notContainsBlanks" dxfId="653" priority="589">
      <formula>LEN(TRIM(F377))&gt;0</formula>
    </cfRule>
  </conditionalFormatting>
  <conditionalFormatting sqref="F378:L378">
    <cfRule type="expression" dxfId="652" priority="590">
      <formula>$C367&lt;&gt;""</formula>
    </cfRule>
  </conditionalFormatting>
  <conditionalFormatting sqref="F382:L384">
    <cfRule type="containsBlanks" dxfId="651" priority="515">
      <formula>LEN(TRIM(F382))=0</formula>
    </cfRule>
    <cfRule type="expression" dxfId="650" priority="514">
      <formula>$F382&lt;&gt;$R382</formula>
    </cfRule>
  </conditionalFormatting>
  <conditionalFormatting sqref="F392:L392">
    <cfRule type="expression" dxfId="649" priority="588">
      <formula>$C382&lt;&gt;""</formula>
    </cfRule>
  </conditionalFormatting>
  <conditionalFormatting sqref="F392:L393">
    <cfRule type="notContainsBlanks" dxfId="648" priority="585">
      <formula>LEN(TRIM(F392))&gt;0</formula>
    </cfRule>
  </conditionalFormatting>
  <conditionalFormatting sqref="F393:L393">
    <cfRule type="expression" dxfId="647" priority="586">
      <formula>$C382&lt;&gt;""</formula>
    </cfRule>
  </conditionalFormatting>
  <conditionalFormatting sqref="F397:L399">
    <cfRule type="containsBlanks" dxfId="646" priority="513">
      <formula>LEN(TRIM(F397))=0</formula>
    </cfRule>
    <cfRule type="expression" dxfId="645" priority="512">
      <formula>$F397&lt;&gt;$R397</formula>
    </cfRule>
  </conditionalFormatting>
  <conditionalFormatting sqref="F407:L407">
    <cfRule type="expression" dxfId="644" priority="584">
      <formula>$C397&lt;&gt;""</formula>
    </cfRule>
  </conditionalFormatting>
  <conditionalFormatting sqref="F407:L408">
    <cfRule type="notContainsBlanks" dxfId="643" priority="581">
      <formula>LEN(TRIM(F407))&gt;0</formula>
    </cfRule>
  </conditionalFormatting>
  <conditionalFormatting sqref="F408:L408">
    <cfRule type="expression" dxfId="642" priority="582">
      <formula>$C397&lt;&gt;""</formula>
    </cfRule>
  </conditionalFormatting>
  <conditionalFormatting sqref="F412:L414">
    <cfRule type="containsBlanks" dxfId="641" priority="511">
      <formula>LEN(TRIM(F412))=0</formula>
    </cfRule>
    <cfRule type="expression" dxfId="640" priority="510">
      <formula>$F412&lt;&gt;$R412</formula>
    </cfRule>
  </conditionalFormatting>
  <conditionalFormatting sqref="F422:L422">
    <cfRule type="expression" dxfId="639" priority="580">
      <formula>$C412&lt;&gt;""</formula>
    </cfRule>
  </conditionalFormatting>
  <conditionalFormatting sqref="F422:L423">
    <cfRule type="notContainsBlanks" dxfId="638" priority="577">
      <formula>LEN(TRIM(F422))&gt;0</formula>
    </cfRule>
  </conditionalFormatting>
  <conditionalFormatting sqref="F423:L423">
    <cfRule type="expression" dxfId="637" priority="578">
      <formula>$C412&lt;&gt;""</formula>
    </cfRule>
  </conditionalFormatting>
  <conditionalFormatting sqref="F427:L429">
    <cfRule type="containsBlanks" dxfId="636" priority="509">
      <formula>LEN(TRIM(F427))=0</formula>
    </cfRule>
    <cfRule type="expression" dxfId="635" priority="508">
      <formula>$F427&lt;&gt;$R427</formula>
    </cfRule>
  </conditionalFormatting>
  <conditionalFormatting sqref="F437:L437">
    <cfRule type="expression" dxfId="634" priority="576">
      <formula>$C427&lt;&gt;""</formula>
    </cfRule>
  </conditionalFormatting>
  <conditionalFormatting sqref="F437:L438">
    <cfRule type="notContainsBlanks" dxfId="633" priority="573">
      <formula>LEN(TRIM(F437))&gt;0</formula>
    </cfRule>
  </conditionalFormatting>
  <conditionalFormatting sqref="F438:L438">
    <cfRule type="expression" dxfId="632" priority="574">
      <formula>$C427&lt;&gt;""</formula>
    </cfRule>
  </conditionalFormatting>
  <conditionalFormatting sqref="F442:L444">
    <cfRule type="containsBlanks" dxfId="631" priority="507">
      <formula>LEN(TRIM(F442))=0</formula>
    </cfRule>
    <cfRule type="expression" dxfId="630" priority="506">
      <formula>$F442&lt;&gt;$R442</formula>
    </cfRule>
  </conditionalFormatting>
  <conditionalFormatting sqref="F452:L452">
    <cfRule type="expression" dxfId="629" priority="572">
      <formula>$C442&lt;&gt;""</formula>
    </cfRule>
  </conditionalFormatting>
  <conditionalFormatting sqref="F452:L453">
    <cfRule type="notContainsBlanks" dxfId="628" priority="569">
      <formula>LEN(TRIM(F452))&gt;0</formula>
    </cfRule>
  </conditionalFormatting>
  <conditionalFormatting sqref="F453:L453">
    <cfRule type="expression" dxfId="627" priority="570">
      <formula>$C442&lt;&gt;""</formula>
    </cfRule>
  </conditionalFormatting>
  <dataValidations count="2">
    <dataValidation type="list" allowBlank="1" showInputMessage="1" showErrorMessage="1" sqref="F401:K404 F386:K389 F11:K14 F416:K419 F431:K434 F26:K29 F41:K44 F56:K59 F71:K74 F86:K89 F101:K104 F116:K119 F131:K134 F146:K149 F161:K164 F176:K179 F191:K194 F206:K209 F221:K224 F236:K239 F251:K254 F266:K269 F281:K284 F296:K299 F311:K314 F326:K329 F341:K344 F356:K359 F371:K374 F446:K449" xr:uid="{F2230F50-7779-4695-A90F-AD4F83F4453B}">
      <formula1>"未実施,実施中,実施済"</formula1>
    </dataValidation>
    <dataValidation type="list" allowBlank="1" showInputMessage="1" showErrorMessage="1" sqref="L401:L404 L386:L389 L11:L14 L416:L419 L431:L434 L26:L29 L41:L44 L56:L59 L71:L74 L86:L89 L101:L104 L116:L119 L131:L134 L146:L149 L161:L164 L176:L179 L191:L194 L206:L209 L221:L224 L236:L239 L251:L254 L266:L269 L281:L284 L296:L299 L311:L314 L326:L329 L341:L344 L356:L359 L371:L374 L446:L449" xr:uid="{B39B76D5-EEF1-48E3-BFCA-E94A94899CF3}">
      <formula1>"未完了,完了"</formula1>
    </dataValidation>
  </dataValidations>
  <pageMargins left="0.7" right="0.7" top="0.75" bottom="0.75" header="0.3" footer="0.3"/>
  <pageSetup paperSize="9" scale="35" fitToHeight="0" orientation="portrait"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1">
        <x14:dataValidation type="list" showInputMessage="1" xr:uid="{47BDB702-EB99-489A-AF6B-CC861A6AAD58}">
          <x14:formula1>
            <xm:f>IF('4.2民生電力需要量'!$T$2=1,OFFSET('4.2民生電力需要量'!$Y$8,1,0,'4.2民生電力需要量'!$T$4,1),OFFSET('4.2民生電力需要量'!$U$8,1,0,'4.2民生電力需要量'!$Q$4,1))</xm:f>
          </x14:formula1>
          <xm:sqref>D442 D7 D52 D67 D82 D97 D22 D112 D127 D142 D157 D172 D187 D202 D217 D232 D247 D262 D277 D292 D307 D322 D337 D352 D367 D382 D397 D412 D427 D37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30163-034D-4CAD-AFDC-3F211632E6ED}">
  <sheetPr codeName="Sheet34">
    <tabColor theme="7" tint="0.79998168889431442"/>
    <pageSetUpPr autoPageBreaks="0" fitToPage="1"/>
  </sheetPr>
  <dimension ref="A1:W454"/>
  <sheetViews>
    <sheetView showGridLines="0" zoomScaleNormal="100" zoomScaleSheetLayoutView="56" workbookViewId="0"/>
  </sheetViews>
  <sheetFormatPr defaultColWidth="9" defaultRowHeight="18"/>
  <cols>
    <col min="1" max="1" width="2.08203125" style="11" customWidth="1"/>
    <col min="2" max="2" width="2" style="11" customWidth="1"/>
    <col min="3" max="3" width="7.08203125" style="11" customWidth="1"/>
    <col min="4" max="4" width="21.5" style="11" customWidth="1"/>
    <col min="5" max="5" width="35" style="11" customWidth="1"/>
    <col min="6" max="8" width="15" style="11" customWidth="1"/>
    <col min="9" max="9" width="2" style="11" customWidth="1"/>
    <col min="10" max="10" width="4.08203125" style="101" customWidth="1"/>
    <col min="11" max="12" width="9" style="101"/>
    <col min="13" max="17" width="9" style="11"/>
    <col min="18" max="21" width="12.58203125" style="11" hidden="1" customWidth="1"/>
    <col min="22" max="22" width="9" style="11" hidden="1" customWidth="1"/>
    <col min="23" max="23" width="0" style="11" hidden="1" customWidth="1"/>
    <col min="24" max="16384" width="9" style="11"/>
  </cols>
  <sheetData>
    <row r="1" spans="1:23" customFormat="1">
      <c r="A1" s="44" t="s">
        <v>366</v>
      </c>
      <c r="B1" s="1"/>
      <c r="C1" s="1"/>
      <c r="J1" s="2"/>
      <c r="K1" s="2"/>
      <c r="L1" s="2"/>
    </row>
    <row r="2" spans="1:23" customFormat="1" ht="18.75" customHeight="1">
      <c r="B2" s="80" t="s">
        <v>455</v>
      </c>
      <c r="C2" s="80"/>
      <c r="D2" s="80"/>
      <c r="E2" s="80"/>
      <c r="F2" s="80"/>
      <c r="G2" s="80"/>
      <c r="H2" s="80"/>
      <c r="I2" s="80"/>
      <c r="J2" s="80"/>
      <c r="K2" s="80"/>
      <c r="L2" s="80"/>
      <c r="M2" s="80"/>
    </row>
    <row r="3" spans="1:23" customFormat="1">
      <c r="B3" s="11"/>
      <c r="C3" t="s">
        <v>515</v>
      </c>
      <c r="J3" s="2"/>
      <c r="K3" s="2"/>
      <c r="L3" s="2"/>
    </row>
    <row r="4" spans="1:23" customFormat="1">
      <c r="B4" s="11"/>
      <c r="C4" t="s">
        <v>434</v>
      </c>
      <c r="J4" s="2"/>
      <c r="K4" s="2"/>
      <c r="L4" s="2"/>
      <c r="R4" t="s">
        <v>317</v>
      </c>
    </row>
    <row r="5" spans="1:23" customFormat="1" ht="13.5" customHeight="1">
      <c r="J5" s="2"/>
      <c r="K5" s="2"/>
      <c r="L5" s="2"/>
      <c r="V5">
        <f ca="1">PRODUCT(W:W)</f>
        <v>1</v>
      </c>
    </row>
    <row r="6" spans="1:23" customFormat="1" ht="15" customHeight="1">
      <c r="B6" s="10"/>
      <c r="C6" s="5"/>
      <c r="D6" s="5"/>
      <c r="E6" s="5"/>
      <c r="F6" s="5"/>
      <c r="G6" s="5"/>
      <c r="H6" s="5"/>
      <c r="I6" s="6"/>
      <c r="R6" s="11" t="str">
        <f>D7</f>
        <v>(選択してください)</v>
      </c>
    </row>
    <row r="7" spans="1:23" customFormat="1">
      <c r="B7" s="7"/>
      <c r="C7" s="77" t="str">
        <f ca="1">IFERROR(OFFSET('4.2民生電力需要量'!$C$8,MATCH(D7,'4.2民生電力需要量'!$E$9:$E$49,0),0),"")</f>
        <v/>
      </c>
      <c r="D7" s="96" t="s">
        <v>130</v>
      </c>
      <c r="E7" s="72" t="s">
        <v>131</v>
      </c>
      <c r="F7" s="1063" t="str">
        <f ca="1">IFERROR(OFFSET('4.2民生電力需要量'!$G$1,MATCH($D7,'4.2民生電力需要量'!$E:$E,0)-1,0),"")</f>
        <v/>
      </c>
      <c r="G7" s="1063"/>
      <c r="H7" s="1063"/>
      <c r="I7" s="8"/>
      <c r="R7" s="257" t="str">
        <f ca="1">IFERROR(OFFSET('4.2民生電力需要量'!$G$1,MATCH($D7,'4.2民生電力需要量'!$E:$E,0)-1,0),"")</f>
        <v/>
      </c>
      <c r="S7" s="177"/>
      <c r="T7" s="177"/>
      <c r="U7" s="177"/>
      <c r="V7" s="177"/>
      <c r="W7" s="177">
        <f ca="1">(F7=R7)*1</f>
        <v>1</v>
      </c>
    </row>
    <row r="8" spans="1:23" customFormat="1">
      <c r="B8" s="7"/>
      <c r="C8" s="74"/>
      <c r="D8" s="66"/>
      <c r="E8" s="72" t="s">
        <v>221</v>
      </c>
      <c r="F8" s="1062" t="str">
        <f ca="1">IFERROR(OFFSET('4.2民生電力需要量'!$I$1,MATCH($D7,'4.2民生電力需要量'!$E:$E,0)-1,0),"")</f>
        <v/>
      </c>
      <c r="G8" s="1062"/>
      <c r="H8" s="1062"/>
      <c r="I8" s="8"/>
      <c r="R8" s="177" t="str">
        <f ca="1">IFERROR(OFFSET('4.2民生電力需要量'!$I$1,MATCH($D7,'4.2民生電力需要量'!$E:$E,0)-1,0),"")</f>
        <v/>
      </c>
      <c r="S8" s="177"/>
      <c r="T8" s="177"/>
      <c r="U8" s="177"/>
      <c r="V8" s="177"/>
      <c r="W8" s="177">
        <f t="shared" ref="W8:W9" ca="1" si="0">(F8=R8)*1</f>
        <v>1</v>
      </c>
    </row>
    <row r="9" spans="1:23" customFormat="1">
      <c r="B9" s="7"/>
      <c r="C9" s="74"/>
      <c r="D9" s="66"/>
      <c r="E9" s="72" t="s">
        <v>176</v>
      </c>
      <c r="F9" s="1070" t="str">
        <f>_xlfn.IFNA(R9,"")</f>
        <v/>
      </c>
      <c r="G9" s="1071"/>
      <c r="H9" s="1072"/>
      <c r="I9" s="8"/>
      <c r="R9" s="131" t="str">
        <f>IF(OR(COUNTIF($E11:$E16,"&lt;&gt;〇〇(合意形成対象者名に書き換え)")=3,COUNTIF($E11:$E16,"")&gt;3),"",IF(PRODUCT($U11:$U16)=1,V11,""))</f>
        <v/>
      </c>
      <c r="S9" s="177"/>
      <c r="T9" s="177"/>
      <c r="U9" s="177"/>
      <c r="V9" s="177"/>
      <c r="W9" s="177">
        <f t="shared" si="0"/>
        <v>1</v>
      </c>
    </row>
    <row r="10" spans="1:23" ht="63.75" customHeight="1">
      <c r="B10" s="97"/>
      <c r="C10" s="98"/>
      <c r="D10" s="99"/>
      <c r="E10" s="374"/>
      <c r="F10" s="315" t="s">
        <v>283</v>
      </c>
      <c r="G10" s="315" t="s">
        <v>284</v>
      </c>
      <c r="H10" s="315" t="s">
        <v>281</v>
      </c>
      <c r="I10" s="100"/>
      <c r="J10" s="11"/>
      <c r="R10" s="128" t="s">
        <v>272</v>
      </c>
      <c r="S10" s="128" t="s">
        <v>432</v>
      </c>
      <c r="T10" s="131" t="s">
        <v>408</v>
      </c>
      <c r="U10" s="131" t="s">
        <v>436</v>
      </c>
      <c r="V10" s="128" t="s">
        <v>431</v>
      </c>
      <c r="W10" s="257"/>
    </row>
    <row r="11" spans="1:23" hidden="1">
      <c r="B11" s="97"/>
      <c r="C11" s="98"/>
      <c r="D11" s="99"/>
      <c r="E11" s="444"/>
      <c r="F11" s="445"/>
      <c r="G11" s="441"/>
      <c r="H11" s="441"/>
      <c r="I11" s="100"/>
      <c r="J11" s="11"/>
      <c r="R11" s="131">
        <f>IF(AND(F11="実施済",G11="実施済",H11="完了"),3,0)</f>
        <v>0</v>
      </c>
      <c r="S11" s="131" t="str">
        <f>IF(OR(E11="〇〇(合意形成対象者名に書き換え)",E11=""),"",R11)</f>
        <v/>
      </c>
      <c r="T11" s="131">
        <f t="shared" ref="T11:T16" si="1">MIN($S$11:$S$16)+1</f>
        <v>1</v>
      </c>
      <c r="U11" s="131">
        <f>IF(E11="",1,IF(AND(E11="〇〇(合意形成対象者名に書き換え)",COUNTA($F11:$H11)=0),1,IF(AND(E11&lt;&gt;"〇〇(合意形成対象者名に書き換え)",COUNTA($F11:$H11)=3),1,0)))</f>
        <v>1</v>
      </c>
      <c r="V11" s="131" t="str" cm="1">
        <f t="array" ref="V11">_xlfn.IFS(T11=4,"A",T11=3,"B",T11=2,"C",T11=1,"D")</f>
        <v>D</v>
      </c>
      <c r="W11" s="257"/>
    </row>
    <row r="12" spans="1:23">
      <c r="B12" s="97"/>
      <c r="C12" s="98"/>
      <c r="D12" s="99"/>
      <c r="E12" s="102" t="s">
        <v>129</v>
      </c>
      <c r="F12" s="449"/>
      <c r="G12" s="443"/>
      <c r="H12" s="443"/>
      <c r="I12" s="100"/>
      <c r="J12" s="11"/>
      <c r="R12" s="131">
        <f t="shared" ref="R12:R16" si="2">IF(AND(F12="実施済",G12="実施済",H12="完了"),3,0)</f>
        <v>0</v>
      </c>
      <c r="S12" s="131" t="str">
        <f t="shared" ref="S12:S16" si="3">IF(OR(E12="〇〇(合意形成対象者名に書き換え)",E12=""),"",R12)</f>
        <v/>
      </c>
      <c r="T12" s="131">
        <f t="shared" si="1"/>
        <v>1</v>
      </c>
      <c r="U12" s="131">
        <f>IF(E12="",1,IF(AND(E12="〇〇(合意形成対象者名に書き換え)",COUNTA($F12:$H12)=0),1,IF(AND(E12&lt;&gt;"〇〇(合意形成対象者名に書き換え)",COUNTA($F12:$H12)=3),1,0)))</f>
        <v>1</v>
      </c>
      <c r="V12" s="131" t="str" cm="1">
        <f t="array" ref="V12">_xlfn.IFS(T12=4,"A",T12=3,"B",T12=2,"C",T12=1,"D")</f>
        <v>D</v>
      </c>
      <c r="W12" s="257"/>
    </row>
    <row r="13" spans="1:23">
      <c r="B13" s="97"/>
      <c r="C13" s="98"/>
      <c r="D13" s="99"/>
      <c r="E13" s="102" t="s">
        <v>129</v>
      </c>
      <c r="F13" s="449"/>
      <c r="G13" s="443"/>
      <c r="H13" s="443"/>
      <c r="I13" s="100"/>
      <c r="J13" s="11"/>
      <c r="R13" s="131">
        <f t="shared" si="2"/>
        <v>0</v>
      </c>
      <c r="S13" s="131" t="str">
        <f t="shared" si="3"/>
        <v/>
      </c>
      <c r="T13" s="131">
        <f t="shared" si="1"/>
        <v>1</v>
      </c>
      <c r="U13" s="131">
        <f>IF(E13="",1,IF(AND(E13="〇〇(合意形成対象者名に書き換え)",COUNTA($F13:$H13)=0),1,IF(AND(E13&lt;&gt;"〇〇(合意形成対象者名に書き換え)",COUNTA($F13:$H13)=3),1,0)))</f>
        <v>1</v>
      </c>
      <c r="V13" s="131" t="str" cm="1">
        <f t="array" ref="V13">_xlfn.IFS(T13=4,"A",T13=3,"B",T13=2,"C",T13=1,"D")</f>
        <v>D</v>
      </c>
      <c r="W13" s="257"/>
    </row>
    <row r="14" spans="1:23" s="101" customFormat="1">
      <c r="A14" s="11"/>
      <c r="B14" s="97"/>
      <c r="C14" s="98"/>
      <c r="D14" s="99"/>
      <c r="E14" s="102" t="s">
        <v>129</v>
      </c>
      <c r="F14" s="449"/>
      <c r="G14" s="443"/>
      <c r="H14" s="443"/>
      <c r="I14" s="100"/>
      <c r="J14" s="11"/>
      <c r="M14" s="11"/>
      <c r="N14" s="11"/>
      <c r="O14" s="11"/>
      <c r="P14" s="11"/>
      <c r="Q14" s="11"/>
      <c r="R14" s="131">
        <f t="shared" si="2"/>
        <v>0</v>
      </c>
      <c r="S14" s="131" t="str">
        <f t="shared" si="3"/>
        <v/>
      </c>
      <c r="T14" s="131">
        <f t="shared" si="1"/>
        <v>1</v>
      </c>
      <c r="U14" s="131">
        <f>IF(E14="",1,IF(AND(E14="〇〇(合意形成対象者名に書き換え)",COUNTA($F14:$H14)=0),1,IF(AND(E14&lt;&gt;"〇〇(合意形成対象者名に書き換え)",COUNTA($F14:$H14)=3),1,0)))</f>
        <v>1</v>
      </c>
      <c r="V14" s="131" t="str" cm="1">
        <f t="array" ref="V14">_xlfn.IFS(T14=4,"A",T14=3,"B",T14=2,"C",T14=1,"D")</f>
        <v>D</v>
      </c>
      <c r="W14" s="131"/>
    </row>
    <row r="15" spans="1:23" customFormat="1" ht="7.5" customHeight="1">
      <c r="B15" s="65"/>
      <c r="C15" s="4"/>
      <c r="D15" s="4"/>
      <c r="E15" s="4"/>
      <c r="F15" s="4"/>
      <c r="G15" s="4"/>
      <c r="H15" s="4"/>
      <c r="I15" s="9"/>
      <c r="J15" s="2"/>
      <c r="K15" s="2"/>
      <c r="L15" s="2"/>
      <c r="R15" s="131">
        <f t="shared" si="2"/>
        <v>0</v>
      </c>
      <c r="S15" s="131" t="str">
        <f t="shared" si="3"/>
        <v/>
      </c>
      <c r="T15" s="131">
        <f t="shared" si="1"/>
        <v>1</v>
      </c>
      <c r="U15" s="131">
        <f t="shared" ref="U15:U16" si="4">IF(E15="",1,IF(AND(E15="〇〇(合意形成対象者名に書き換え)",COUNTA($F15:$H15)=0),1,IF(AND(E15&lt;&gt;"〇〇(合意形成対象者名に書き換え)",COUNTA($F15:$H15)=3),1,0)))</f>
        <v>1</v>
      </c>
      <c r="V15" s="131" t="str" cm="1">
        <f t="array" ref="V15">_xlfn.IFS(T15=4,"A",T15=3,"B",T15=2,"C",T15=1,"D")</f>
        <v>D</v>
      </c>
      <c r="W15" s="177"/>
    </row>
    <row r="16" spans="1:23" customFormat="1" ht="6" customHeight="1">
      <c r="J16" s="2"/>
      <c r="K16" s="2"/>
      <c r="L16" s="2"/>
      <c r="R16" s="131">
        <f t="shared" si="2"/>
        <v>0</v>
      </c>
      <c r="S16" s="131" t="str">
        <f t="shared" si="3"/>
        <v/>
      </c>
      <c r="T16" s="131">
        <f t="shared" si="1"/>
        <v>1</v>
      </c>
      <c r="U16" s="131">
        <f t="shared" si="4"/>
        <v>1</v>
      </c>
      <c r="V16" s="131" t="str" cm="1">
        <f t="array" ref="V16">_xlfn.IFS(T16=4,"A",T16=3,"B",T16=2,"C",T16=1,"D")</f>
        <v>D</v>
      </c>
      <c r="W16" s="177"/>
    </row>
    <row r="17" spans="1:23" customFormat="1" ht="103.5" customHeight="1">
      <c r="C17" s="78"/>
      <c r="D17" s="79"/>
      <c r="E17" s="71" t="s">
        <v>238</v>
      </c>
      <c r="F17" s="1057"/>
      <c r="G17" s="1057"/>
      <c r="H17" s="1057"/>
      <c r="I17" s="80" t="s">
        <v>132</v>
      </c>
      <c r="J17" s="80"/>
    </row>
    <row r="18" spans="1:23" customFormat="1" ht="146.25" customHeight="1">
      <c r="C18" s="75"/>
      <c r="D18" s="68"/>
      <c r="E18" s="71" t="s">
        <v>237</v>
      </c>
      <c r="F18" s="1057"/>
      <c r="G18" s="1057"/>
      <c r="H18" s="1057"/>
      <c r="J18" s="2"/>
      <c r="K18" s="2"/>
      <c r="L18" s="2"/>
    </row>
    <row r="19" spans="1:23" customFormat="1" ht="13.5" customHeight="1" thickBot="1">
      <c r="A19" s="81"/>
      <c r="B19" s="81"/>
      <c r="C19" s="81"/>
      <c r="D19" s="81"/>
      <c r="E19" s="81"/>
      <c r="F19" s="81"/>
      <c r="G19" s="81"/>
      <c r="H19" s="81"/>
      <c r="I19" s="81"/>
      <c r="J19" s="82"/>
      <c r="K19" s="2"/>
      <c r="L19" s="2"/>
    </row>
    <row r="20" spans="1:23" customFormat="1" ht="13.5" customHeight="1">
      <c r="J20" s="2"/>
      <c r="K20" s="2"/>
      <c r="L20" s="2"/>
    </row>
    <row r="21" spans="1:23" customFormat="1" ht="15" customHeight="1">
      <c r="B21" s="10"/>
      <c r="C21" s="5"/>
      <c r="D21" s="5"/>
      <c r="E21" s="5"/>
      <c r="F21" s="5"/>
      <c r="G21" s="5"/>
      <c r="H21" s="5"/>
      <c r="I21" s="6"/>
      <c r="R21" s="11" t="str">
        <f>D22</f>
        <v>(選択してください)</v>
      </c>
    </row>
    <row r="22" spans="1:23" customFormat="1">
      <c r="B22" s="7"/>
      <c r="C22" s="77" t="str">
        <f ca="1">IFERROR(OFFSET('4.2民生電力需要量'!$C$8,MATCH(D22,'4.2民生電力需要量'!$E$9:$E$49,0),0),"")</f>
        <v/>
      </c>
      <c r="D22" s="96" t="s">
        <v>130</v>
      </c>
      <c r="E22" s="72" t="s">
        <v>131</v>
      </c>
      <c r="F22" s="1063" t="str">
        <f ca="1">IFERROR(OFFSET('4.2民生電力需要量'!$G$1,MATCH($D22,'4.2民生電力需要量'!$E:$E,0)-1,0),"")</f>
        <v/>
      </c>
      <c r="G22" s="1063"/>
      <c r="H22" s="1063"/>
      <c r="I22" s="8"/>
      <c r="R22" s="257" t="str">
        <f ca="1">IFERROR(OFFSET('4.2民生電力需要量'!$G$1,MATCH($D22,'4.2民生電力需要量'!$E:$E,0)-1,0),"")</f>
        <v/>
      </c>
      <c r="S22" s="177"/>
      <c r="T22" s="177"/>
      <c r="U22" s="177"/>
      <c r="V22" s="177"/>
      <c r="W22" s="177">
        <f ca="1">(F22=R22)*1</f>
        <v>1</v>
      </c>
    </row>
    <row r="23" spans="1:23" customFormat="1">
      <c r="B23" s="7"/>
      <c r="C23" s="74"/>
      <c r="D23" s="66"/>
      <c r="E23" s="72" t="s">
        <v>221</v>
      </c>
      <c r="F23" s="1062" t="str">
        <f ca="1">IFERROR(OFFSET('4.2民生電力需要量'!$I$1,MATCH($D22,'4.2民生電力需要量'!$E:$E,0)-1,0),"")</f>
        <v/>
      </c>
      <c r="G23" s="1062"/>
      <c r="H23" s="1062"/>
      <c r="I23" s="8"/>
      <c r="R23" s="177" t="str">
        <f ca="1">IFERROR(OFFSET('4.2民生電力需要量'!$I$1,MATCH($D22,'4.2民生電力需要量'!$E:$E,0)-1,0),"")</f>
        <v/>
      </c>
      <c r="S23" s="177"/>
      <c r="T23" s="177"/>
      <c r="U23" s="177"/>
      <c r="V23" s="177"/>
      <c r="W23" s="177">
        <f t="shared" ref="W23:W24" ca="1" si="5">(F23=R23)*1</f>
        <v>1</v>
      </c>
    </row>
    <row r="24" spans="1:23" customFormat="1">
      <c r="B24" s="7"/>
      <c r="C24" s="74"/>
      <c r="D24" s="66"/>
      <c r="E24" s="72" t="s">
        <v>176</v>
      </c>
      <c r="F24" s="1070" t="str">
        <f>_xlfn.IFNA(R24,"")</f>
        <v/>
      </c>
      <c r="G24" s="1071"/>
      <c r="H24" s="1072"/>
      <c r="I24" s="8"/>
      <c r="R24" s="131" t="str">
        <f>IF(OR(COUNTIF($E26:$E31,"&lt;&gt;〇〇(合意形成対象者名に書き換え)")=3,COUNTIF($E26:$E31,"")&gt;3),"",IF(PRODUCT($U26:$U31)=1,V26,""))</f>
        <v/>
      </c>
      <c r="S24" s="177"/>
      <c r="T24" s="177"/>
      <c r="U24" s="177"/>
      <c r="V24" s="177"/>
      <c r="W24" s="177">
        <f t="shared" si="5"/>
        <v>1</v>
      </c>
    </row>
    <row r="25" spans="1:23" ht="63.75" customHeight="1">
      <c r="B25" s="97"/>
      <c r="C25" s="98"/>
      <c r="D25" s="99"/>
      <c r="E25" s="374"/>
      <c r="F25" s="315" t="s">
        <v>283</v>
      </c>
      <c r="G25" s="315" t="s">
        <v>284</v>
      </c>
      <c r="H25" s="315" t="s">
        <v>281</v>
      </c>
      <c r="I25" s="100"/>
      <c r="J25" s="11"/>
      <c r="R25" s="128" t="s">
        <v>272</v>
      </c>
      <c r="S25" s="128" t="s">
        <v>432</v>
      </c>
      <c r="T25" s="131" t="s">
        <v>408</v>
      </c>
      <c r="U25" s="131" t="s">
        <v>436</v>
      </c>
      <c r="V25" s="128" t="s">
        <v>431</v>
      </c>
      <c r="W25" s="257"/>
    </row>
    <row r="26" spans="1:23" hidden="1">
      <c r="B26" s="97"/>
      <c r="C26" s="98"/>
      <c r="D26" s="99"/>
      <c r="E26" s="444"/>
      <c r="F26" s="445"/>
      <c r="G26" s="441"/>
      <c r="H26" s="441"/>
      <c r="I26" s="100"/>
      <c r="J26" s="11"/>
      <c r="R26" s="131">
        <f>IF(AND(F26="実施済",G26="実施済",H26="完了"),3,0)</f>
        <v>0</v>
      </c>
      <c r="S26" s="131" t="str">
        <f>IF(OR(E26="〇〇(合意形成対象者名に書き換え)",E26=""),"",R26)</f>
        <v/>
      </c>
      <c r="T26" s="131">
        <f t="shared" ref="T26:T31" si="6">MIN($S$26:$S$31)+1</f>
        <v>1</v>
      </c>
      <c r="U26" s="131">
        <f>IF(E26="",1,IF(AND(E26="〇〇(合意形成対象者名に書き換え)",COUNTA($F26:$H26)=0),1,IF(AND(E26&lt;&gt;"〇〇(合意形成対象者名に書き換え)",COUNTA($F26:$H26)=3),1,0)))</f>
        <v>1</v>
      </c>
      <c r="V26" s="131" t="str" cm="1">
        <f t="array" ref="V26">_xlfn.IFS(T26=4,"A",T26=3,"B",T26=2,"C",T26=1,"D")</f>
        <v>D</v>
      </c>
      <c r="W26" s="257"/>
    </row>
    <row r="27" spans="1:23">
      <c r="B27" s="97"/>
      <c r="C27" s="98"/>
      <c r="D27" s="99"/>
      <c r="E27" s="102" t="s">
        <v>129</v>
      </c>
      <c r="F27" s="449"/>
      <c r="G27" s="443"/>
      <c r="H27" s="443"/>
      <c r="I27" s="100"/>
      <c r="J27" s="11"/>
      <c r="R27" s="131">
        <f t="shared" ref="R27:R31" si="7">IF(AND(F27="実施済",G27="実施済",H27="完了"),3,0)</f>
        <v>0</v>
      </c>
      <c r="S27" s="131" t="str">
        <f t="shared" ref="S27:S31" si="8">IF(OR(E27="〇〇(合意形成対象者名に書き換え)",E27=""),"",R27)</f>
        <v/>
      </c>
      <c r="T27" s="131">
        <f t="shared" si="6"/>
        <v>1</v>
      </c>
      <c r="U27" s="131">
        <f>IF(E27="",1,IF(AND(E27="〇〇(合意形成対象者名に書き換え)",COUNTA($F27:$H27)=0),1,IF(AND(E27&lt;&gt;"〇〇(合意形成対象者名に書き換え)",COUNTA($F27:$H27)=3),1,0)))</f>
        <v>1</v>
      </c>
      <c r="V27" s="131" t="str" cm="1">
        <f t="array" ref="V27">_xlfn.IFS(T27=4,"A",T27=3,"B",T27=2,"C",T27=1,"D")</f>
        <v>D</v>
      </c>
      <c r="W27" s="257"/>
    </row>
    <row r="28" spans="1:23">
      <c r="B28" s="97"/>
      <c r="C28" s="98"/>
      <c r="D28" s="99"/>
      <c r="E28" s="102" t="s">
        <v>129</v>
      </c>
      <c r="F28" s="449"/>
      <c r="G28" s="443"/>
      <c r="H28" s="443"/>
      <c r="I28" s="100"/>
      <c r="J28" s="11"/>
      <c r="R28" s="131">
        <f t="shared" si="7"/>
        <v>0</v>
      </c>
      <c r="S28" s="131" t="str">
        <f t="shared" si="8"/>
        <v/>
      </c>
      <c r="T28" s="131">
        <f t="shared" si="6"/>
        <v>1</v>
      </c>
      <c r="U28" s="131">
        <f>IF(E28="",1,IF(AND(E28="〇〇(合意形成対象者名に書き換え)",COUNTA($F28:$H28)=0),1,IF(AND(E28&lt;&gt;"〇〇(合意形成対象者名に書き換え)",COUNTA($F28:$H28)=3),1,0)))</f>
        <v>1</v>
      </c>
      <c r="V28" s="131" t="str" cm="1">
        <f t="array" ref="V28">_xlfn.IFS(T28=4,"A",T28=3,"B",T28=2,"C",T28=1,"D")</f>
        <v>D</v>
      </c>
      <c r="W28" s="257"/>
    </row>
    <row r="29" spans="1:23" s="101" customFormat="1">
      <c r="A29" s="11"/>
      <c r="B29" s="97"/>
      <c r="C29" s="98"/>
      <c r="D29" s="99"/>
      <c r="E29" s="102" t="s">
        <v>129</v>
      </c>
      <c r="F29" s="449"/>
      <c r="G29" s="443"/>
      <c r="H29" s="443"/>
      <c r="I29" s="100"/>
      <c r="J29" s="11"/>
      <c r="M29" s="11"/>
      <c r="N29" s="11"/>
      <c r="O29" s="11"/>
      <c r="P29" s="11"/>
      <c r="Q29" s="11"/>
      <c r="R29" s="131">
        <f t="shared" si="7"/>
        <v>0</v>
      </c>
      <c r="S29" s="131" t="str">
        <f t="shared" si="8"/>
        <v/>
      </c>
      <c r="T29" s="131">
        <f t="shared" si="6"/>
        <v>1</v>
      </c>
      <c r="U29" s="131">
        <f>IF(E29="",1,IF(AND(E29="〇〇(合意形成対象者名に書き換え)",COUNTA($F29:$H29)=0),1,IF(AND(E29&lt;&gt;"〇〇(合意形成対象者名に書き換え)",COUNTA($F29:$H29)=3),1,0)))</f>
        <v>1</v>
      </c>
      <c r="V29" s="131" t="str" cm="1">
        <f t="array" ref="V29">_xlfn.IFS(T29=4,"A",T29=3,"B",T29=2,"C",T29=1,"D")</f>
        <v>D</v>
      </c>
      <c r="W29" s="131"/>
    </row>
    <row r="30" spans="1:23" customFormat="1" ht="7.5" customHeight="1">
      <c r="B30" s="65"/>
      <c r="C30" s="4"/>
      <c r="D30" s="4"/>
      <c r="E30" s="4"/>
      <c r="F30" s="4"/>
      <c r="G30" s="4"/>
      <c r="H30" s="4"/>
      <c r="I30" s="9"/>
      <c r="J30" s="2"/>
      <c r="K30" s="2"/>
      <c r="L30" s="2"/>
      <c r="R30" s="131">
        <f t="shared" si="7"/>
        <v>0</v>
      </c>
      <c r="S30" s="131" t="str">
        <f t="shared" si="8"/>
        <v/>
      </c>
      <c r="T30" s="131">
        <f t="shared" si="6"/>
        <v>1</v>
      </c>
      <c r="U30" s="131">
        <f t="shared" ref="U30:U31" si="9">IF(E30="",1,IF(AND(E30="〇〇(合意形成対象者名に書き換え)",COUNTA($F30:$H30)=0),1,IF(AND(E30&lt;&gt;"〇〇(合意形成対象者名に書き換え)",COUNTA($F30:$H30)=3),1,0)))</f>
        <v>1</v>
      </c>
      <c r="V30" s="131" t="str" cm="1">
        <f t="array" ref="V30">_xlfn.IFS(T30=4,"A",T30=3,"B",T30=2,"C",T30=1,"D")</f>
        <v>D</v>
      </c>
      <c r="W30" s="177"/>
    </row>
    <row r="31" spans="1:23" customFormat="1" ht="6" customHeight="1">
      <c r="J31" s="2"/>
      <c r="K31" s="2"/>
      <c r="L31" s="2"/>
      <c r="R31" s="131">
        <f t="shared" si="7"/>
        <v>0</v>
      </c>
      <c r="S31" s="131" t="str">
        <f t="shared" si="8"/>
        <v/>
      </c>
      <c r="T31" s="131">
        <f t="shared" si="6"/>
        <v>1</v>
      </c>
      <c r="U31" s="131">
        <f t="shared" si="9"/>
        <v>1</v>
      </c>
      <c r="V31" s="131" t="str" cm="1">
        <f t="array" ref="V31">_xlfn.IFS(T31=4,"A",T31=3,"B",T31=2,"C",T31=1,"D")</f>
        <v>D</v>
      </c>
      <c r="W31" s="177"/>
    </row>
    <row r="32" spans="1:23" customFormat="1" ht="103.5" customHeight="1">
      <c r="C32" s="78"/>
      <c r="D32" s="79"/>
      <c r="E32" s="71" t="s">
        <v>238</v>
      </c>
      <c r="F32" s="1057"/>
      <c r="G32" s="1057"/>
      <c r="H32" s="1057"/>
      <c r="I32" s="80" t="s">
        <v>132</v>
      </c>
      <c r="J32" s="80"/>
    </row>
    <row r="33" spans="1:23" customFormat="1" ht="146.25" customHeight="1">
      <c r="C33" s="75"/>
      <c r="D33" s="68"/>
      <c r="E33" s="71" t="s">
        <v>237</v>
      </c>
      <c r="F33" s="1057"/>
      <c r="G33" s="1057"/>
      <c r="H33" s="1057"/>
      <c r="J33" s="2"/>
      <c r="K33" s="2"/>
      <c r="L33" s="2"/>
    </row>
    <row r="34" spans="1:23" customFormat="1" ht="13.5" customHeight="1" thickBot="1">
      <c r="A34" s="81"/>
      <c r="B34" s="81"/>
      <c r="C34" s="81"/>
      <c r="D34" s="81"/>
      <c r="E34" s="81"/>
      <c r="F34" s="81"/>
      <c r="G34" s="81"/>
      <c r="H34" s="81"/>
      <c r="I34" s="81"/>
      <c r="J34" s="82"/>
      <c r="K34" s="2"/>
      <c r="L34" s="2"/>
    </row>
    <row r="35" spans="1:23" customFormat="1" ht="13.5" customHeight="1">
      <c r="J35" s="2"/>
      <c r="K35" s="2"/>
      <c r="L35" s="2"/>
    </row>
    <row r="36" spans="1:23" customFormat="1" ht="15" customHeight="1">
      <c r="B36" s="10"/>
      <c r="C36" s="5"/>
      <c r="D36" s="5"/>
      <c r="E36" s="5"/>
      <c r="F36" s="5"/>
      <c r="G36" s="5"/>
      <c r="H36" s="5"/>
      <c r="I36" s="6"/>
      <c r="R36" s="11" t="str">
        <f>D37</f>
        <v>(選択してください)</v>
      </c>
    </row>
    <row r="37" spans="1:23" customFormat="1">
      <c r="B37" s="7"/>
      <c r="C37" s="77" t="str">
        <f ca="1">IFERROR(OFFSET('4.2民生電力需要量'!$C$8,MATCH(D37,'4.2民生電力需要量'!$E$9:$E$49,0),0),"")</f>
        <v/>
      </c>
      <c r="D37" s="96" t="s">
        <v>130</v>
      </c>
      <c r="E37" s="72" t="s">
        <v>131</v>
      </c>
      <c r="F37" s="1063" t="str">
        <f ca="1">IFERROR(OFFSET('4.2民生電力需要量'!$G$1,MATCH($D37,'4.2民生電力需要量'!$E:$E,0)-1,0),"")</f>
        <v/>
      </c>
      <c r="G37" s="1063"/>
      <c r="H37" s="1063"/>
      <c r="I37" s="8"/>
      <c r="R37" s="257" t="str">
        <f ca="1">IFERROR(OFFSET('4.2民生電力需要量'!$G$1,MATCH($D37,'4.2民生電力需要量'!$E:$E,0)-1,0),"")</f>
        <v/>
      </c>
      <c r="S37" s="177"/>
      <c r="T37" s="177"/>
      <c r="U37" s="177"/>
      <c r="V37" s="177"/>
      <c r="W37" s="177">
        <f ca="1">(F37=R37)*1</f>
        <v>1</v>
      </c>
    </row>
    <row r="38" spans="1:23" customFormat="1">
      <c r="B38" s="7"/>
      <c r="C38" s="74"/>
      <c r="D38" s="66"/>
      <c r="E38" s="72" t="s">
        <v>221</v>
      </c>
      <c r="F38" s="1062" t="str">
        <f ca="1">IFERROR(OFFSET('4.2民生電力需要量'!$I$1,MATCH($D37,'4.2民生電力需要量'!$E:$E,0)-1,0),"")</f>
        <v/>
      </c>
      <c r="G38" s="1062"/>
      <c r="H38" s="1062"/>
      <c r="I38" s="8"/>
      <c r="R38" s="177" t="str">
        <f ca="1">IFERROR(OFFSET('4.2民生電力需要量'!$I$1,MATCH($D37,'4.2民生電力需要量'!$E:$E,0)-1,0),"")</f>
        <v/>
      </c>
      <c r="S38" s="177"/>
      <c r="T38" s="177"/>
      <c r="U38" s="177"/>
      <c r="V38" s="177"/>
      <c r="W38" s="177">
        <f t="shared" ref="W38:W39" ca="1" si="10">(F38=R38)*1</f>
        <v>1</v>
      </c>
    </row>
    <row r="39" spans="1:23" customFormat="1">
      <c r="B39" s="7"/>
      <c r="C39" s="74"/>
      <c r="D39" s="66"/>
      <c r="E39" s="72" t="s">
        <v>176</v>
      </c>
      <c r="F39" s="1070" t="str">
        <f>_xlfn.IFNA(R39,"")</f>
        <v/>
      </c>
      <c r="G39" s="1071"/>
      <c r="H39" s="1072"/>
      <c r="I39" s="8"/>
      <c r="R39" s="131" t="str">
        <f>IF(OR(COUNTIF($E41:$E46,"&lt;&gt;〇〇(合意形成対象者名に書き換え)")=3,COUNTIF($E41:$E46,"")&gt;3),"",IF(PRODUCT($U41:$U46)=1,V41,""))</f>
        <v/>
      </c>
      <c r="S39" s="177"/>
      <c r="T39" s="177"/>
      <c r="U39" s="177"/>
      <c r="V39" s="177"/>
      <c r="W39" s="177">
        <f t="shared" si="10"/>
        <v>1</v>
      </c>
    </row>
    <row r="40" spans="1:23" ht="63.75" customHeight="1">
      <c r="B40" s="97"/>
      <c r="C40" s="98"/>
      <c r="D40" s="99"/>
      <c r="E40" s="374"/>
      <c r="F40" s="315" t="s">
        <v>283</v>
      </c>
      <c r="G40" s="315" t="s">
        <v>284</v>
      </c>
      <c r="H40" s="315" t="s">
        <v>281</v>
      </c>
      <c r="I40" s="100"/>
      <c r="J40" s="11"/>
      <c r="R40" s="128" t="s">
        <v>272</v>
      </c>
      <c r="S40" s="128" t="s">
        <v>432</v>
      </c>
      <c r="T40" s="131" t="s">
        <v>408</v>
      </c>
      <c r="U40" s="131" t="s">
        <v>436</v>
      </c>
      <c r="V40" s="128" t="s">
        <v>431</v>
      </c>
      <c r="W40" s="257"/>
    </row>
    <row r="41" spans="1:23" hidden="1">
      <c r="B41" s="97"/>
      <c r="C41" s="98"/>
      <c r="D41" s="99"/>
      <c r="E41" s="444"/>
      <c r="F41" s="445"/>
      <c r="G41" s="441"/>
      <c r="H41" s="441"/>
      <c r="I41" s="100"/>
      <c r="J41" s="11"/>
      <c r="R41" s="131">
        <f>IF(AND(F41="実施済",G41="実施済",H41="完了"),3,0)</f>
        <v>0</v>
      </c>
      <c r="S41" s="131" t="str">
        <f>IF(OR(E41="〇〇(合意形成対象者名に書き換え)",E41=""),"",R41)</f>
        <v/>
      </c>
      <c r="T41" s="131">
        <f t="shared" ref="T41:T46" si="11">MIN($S$41:$S$46)+1</f>
        <v>1</v>
      </c>
      <c r="U41" s="131">
        <f>IF(E41="",1,IF(AND(E41="〇〇(合意形成対象者名に書き換え)",COUNTA($F41:$H41)=0),1,IF(AND(E41&lt;&gt;"〇〇(合意形成対象者名に書き換え)",COUNTA($F41:$H41)=3),1,0)))</f>
        <v>1</v>
      </c>
      <c r="V41" s="131" t="str" cm="1">
        <f t="array" ref="V41">_xlfn.IFS(T41=4,"A",T41=3,"B",T41=2,"C",T41=1,"D")</f>
        <v>D</v>
      </c>
      <c r="W41" s="257"/>
    </row>
    <row r="42" spans="1:23">
      <c r="B42" s="97"/>
      <c r="C42" s="98"/>
      <c r="D42" s="99"/>
      <c r="E42" s="102" t="s">
        <v>129</v>
      </c>
      <c r="F42" s="449"/>
      <c r="G42" s="443"/>
      <c r="H42" s="443"/>
      <c r="I42" s="100"/>
      <c r="J42" s="11"/>
      <c r="R42" s="131">
        <f t="shared" ref="R42:R46" si="12">IF(AND(F42="実施済",G42="実施済",H42="完了"),3,0)</f>
        <v>0</v>
      </c>
      <c r="S42" s="131" t="str">
        <f t="shared" ref="S42:S46" si="13">IF(OR(E42="〇〇(合意形成対象者名に書き換え)",E42=""),"",R42)</f>
        <v/>
      </c>
      <c r="T42" s="131">
        <f t="shared" si="11"/>
        <v>1</v>
      </c>
      <c r="U42" s="131">
        <f>IF(E42="",1,IF(AND(E42="〇〇(合意形成対象者名に書き換え)",COUNTA($F42:$H42)=0),1,IF(AND(E42&lt;&gt;"〇〇(合意形成対象者名に書き換え)",COUNTA($F42:$H42)=3),1,0)))</f>
        <v>1</v>
      </c>
      <c r="V42" s="131" t="str" cm="1">
        <f t="array" ref="V42">_xlfn.IFS(T42=4,"A",T42=3,"B",T42=2,"C",T42=1,"D")</f>
        <v>D</v>
      </c>
      <c r="W42" s="257"/>
    </row>
    <row r="43" spans="1:23">
      <c r="B43" s="97"/>
      <c r="C43" s="98"/>
      <c r="D43" s="99"/>
      <c r="E43" s="102" t="s">
        <v>129</v>
      </c>
      <c r="F43" s="449"/>
      <c r="G43" s="443"/>
      <c r="H43" s="443"/>
      <c r="I43" s="100"/>
      <c r="J43" s="11"/>
      <c r="R43" s="131">
        <f t="shared" si="12"/>
        <v>0</v>
      </c>
      <c r="S43" s="131" t="str">
        <f t="shared" si="13"/>
        <v/>
      </c>
      <c r="T43" s="131">
        <f t="shared" si="11"/>
        <v>1</v>
      </c>
      <c r="U43" s="131">
        <f>IF(E43="",1,IF(AND(E43="〇〇(合意形成対象者名に書き換え)",COUNTA($F43:$H43)=0),1,IF(AND(E43&lt;&gt;"〇〇(合意形成対象者名に書き換え)",COUNTA($F43:$H43)=3),1,0)))</f>
        <v>1</v>
      </c>
      <c r="V43" s="131" t="str" cm="1">
        <f t="array" ref="V43">_xlfn.IFS(T43=4,"A",T43=3,"B",T43=2,"C",T43=1,"D")</f>
        <v>D</v>
      </c>
      <c r="W43" s="257"/>
    </row>
    <row r="44" spans="1:23" s="101" customFormat="1">
      <c r="A44" s="11"/>
      <c r="B44" s="97"/>
      <c r="C44" s="98"/>
      <c r="D44" s="99"/>
      <c r="E44" s="102" t="s">
        <v>129</v>
      </c>
      <c r="F44" s="449"/>
      <c r="G44" s="443"/>
      <c r="H44" s="443"/>
      <c r="I44" s="100"/>
      <c r="J44" s="11"/>
      <c r="M44" s="11"/>
      <c r="N44" s="11"/>
      <c r="O44" s="11"/>
      <c r="P44" s="11"/>
      <c r="Q44" s="11"/>
      <c r="R44" s="131">
        <f t="shared" si="12"/>
        <v>0</v>
      </c>
      <c r="S44" s="131" t="str">
        <f t="shared" si="13"/>
        <v/>
      </c>
      <c r="T44" s="131">
        <f t="shared" si="11"/>
        <v>1</v>
      </c>
      <c r="U44" s="131">
        <f>IF(E44="",1,IF(AND(E44="〇〇(合意形成対象者名に書き換え)",COUNTA($F44:$H44)=0),1,IF(AND(E44&lt;&gt;"〇〇(合意形成対象者名に書き換え)",COUNTA($F44:$H44)=3),1,0)))</f>
        <v>1</v>
      </c>
      <c r="V44" s="131" t="str" cm="1">
        <f t="array" ref="V44">_xlfn.IFS(T44=4,"A",T44=3,"B",T44=2,"C",T44=1,"D")</f>
        <v>D</v>
      </c>
      <c r="W44" s="131"/>
    </row>
    <row r="45" spans="1:23" customFormat="1" ht="7.5" customHeight="1">
      <c r="B45" s="65"/>
      <c r="C45" s="4"/>
      <c r="D45" s="4"/>
      <c r="E45" s="4"/>
      <c r="F45" s="4"/>
      <c r="G45" s="4"/>
      <c r="H45" s="4"/>
      <c r="I45" s="9"/>
      <c r="J45" s="2"/>
      <c r="K45" s="2"/>
      <c r="L45" s="2"/>
      <c r="R45" s="131">
        <f t="shared" si="12"/>
        <v>0</v>
      </c>
      <c r="S45" s="131" t="str">
        <f t="shared" si="13"/>
        <v/>
      </c>
      <c r="T45" s="131">
        <f t="shared" si="11"/>
        <v>1</v>
      </c>
      <c r="U45" s="131">
        <f t="shared" ref="U45:U46" si="14">IF(E45="",1,IF(AND(E45="〇〇(合意形成対象者名に書き換え)",COUNTA($F45:$H45)=0),1,IF(AND(E45&lt;&gt;"〇〇(合意形成対象者名に書き換え)",COUNTA($F45:$H45)=3),1,0)))</f>
        <v>1</v>
      </c>
      <c r="V45" s="131" t="str" cm="1">
        <f t="array" ref="V45">_xlfn.IFS(T45=4,"A",T45=3,"B",T45=2,"C",T45=1,"D")</f>
        <v>D</v>
      </c>
      <c r="W45" s="177"/>
    </row>
    <row r="46" spans="1:23" customFormat="1" ht="6" customHeight="1">
      <c r="J46" s="2"/>
      <c r="K46" s="2"/>
      <c r="L46" s="2"/>
      <c r="R46" s="131">
        <f t="shared" si="12"/>
        <v>0</v>
      </c>
      <c r="S46" s="131" t="str">
        <f t="shared" si="13"/>
        <v/>
      </c>
      <c r="T46" s="131">
        <f t="shared" si="11"/>
        <v>1</v>
      </c>
      <c r="U46" s="131">
        <f t="shared" si="14"/>
        <v>1</v>
      </c>
      <c r="V46" s="131" t="str" cm="1">
        <f t="array" ref="V46">_xlfn.IFS(T46=4,"A",T46=3,"B",T46=2,"C",T46=1,"D")</f>
        <v>D</v>
      </c>
      <c r="W46" s="177"/>
    </row>
    <row r="47" spans="1:23" customFormat="1" ht="103.5" customHeight="1">
      <c r="C47" s="78"/>
      <c r="D47" s="79"/>
      <c r="E47" s="71" t="s">
        <v>238</v>
      </c>
      <c r="F47" s="1057"/>
      <c r="G47" s="1057"/>
      <c r="H47" s="1057"/>
      <c r="I47" s="80" t="s">
        <v>132</v>
      </c>
      <c r="J47" s="80"/>
    </row>
    <row r="48" spans="1:23" customFormat="1" ht="146.25" customHeight="1">
      <c r="C48" s="75"/>
      <c r="D48" s="68"/>
      <c r="E48" s="71" t="s">
        <v>237</v>
      </c>
      <c r="F48" s="1057"/>
      <c r="G48" s="1057"/>
      <c r="H48" s="1057"/>
      <c r="J48" s="2"/>
      <c r="K48" s="2"/>
      <c r="L48" s="2"/>
    </row>
    <row r="49" spans="1:23" customFormat="1" ht="13.5" customHeight="1" thickBot="1">
      <c r="A49" s="81"/>
      <c r="B49" s="81"/>
      <c r="C49" s="81"/>
      <c r="D49" s="81"/>
      <c r="E49" s="81"/>
      <c r="F49" s="81"/>
      <c r="G49" s="81"/>
      <c r="H49" s="81"/>
      <c r="I49" s="81"/>
      <c r="J49" s="82"/>
      <c r="K49" s="2"/>
      <c r="L49" s="2"/>
    </row>
    <row r="50" spans="1:23" customFormat="1" ht="13.5" customHeight="1">
      <c r="J50" s="2"/>
      <c r="K50" s="2"/>
      <c r="L50" s="2"/>
    </row>
    <row r="51" spans="1:23" customFormat="1" ht="15" customHeight="1">
      <c r="B51" s="10"/>
      <c r="C51" s="5"/>
      <c r="D51" s="5"/>
      <c r="E51" s="5"/>
      <c r="F51" s="5"/>
      <c r="G51" s="5"/>
      <c r="H51" s="5"/>
      <c r="I51" s="6"/>
      <c r="R51" s="11" t="str">
        <f>D52</f>
        <v>(選択してください)</v>
      </c>
    </row>
    <row r="52" spans="1:23" customFormat="1">
      <c r="B52" s="7"/>
      <c r="C52" s="77" t="str">
        <f ca="1">IFERROR(OFFSET('4.2民生電力需要量'!$C$8,MATCH(D52,'4.2民生電力需要量'!$E$9:$E$49,0),0),"")</f>
        <v/>
      </c>
      <c r="D52" s="96" t="s">
        <v>130</v>
      </c>
      <c r="E52" s="72" t="s">
        <v>131</v>
      </c>
      <c r="F52" s="1063" t="str">
        <f ca="1">IFERROR(OFFSET('4.2民生電力需要量'!$G$1,MATCH($D52,'4.2民生電力需要量'!$E:$E,0)-1,0),"")</f>
        <v/>
      </c>
      <c r="G52" s="1063"/>
      <c r="H52" s="1063"/>
      <c r="I52" s="8"/>
      <c r="R52" s="257" t="str">
        <f ca="1">IFERROR(OFFSET('4.2民生電力需要量'!$G$1,MATCH($D52,'4.2民生電力需要量'!$E:$E,0)-1,0),"")</f>
        <v/>
      </c>
      <c r="S52" s="177"/>
      <c r="T52" s="177"/>
      <c r="U52" s="177"/>
      <c r="V52" s="177"/>
      <c r="W52" s="177">
        <f ca="1">(F52=R52)*1</f>
        <v>1</v>
      </c>
    </row>
    <row r="53" spans="1:23" customFormat="1">
      <c r="B53" s="7"/>
      <c r="C53" s="74"/>
      <c r="D53" s="66"/>
      <c r="E53" s="72" t="s">
        <v>221</v>
      </c>
      <c r="F53" s="1062" t="str">
        <f ca="1">IFERROR(OFFSET('4.2民生電力需要量'!$I$1,MATCH($D52,'4.2民生電力需要量'!$E:$E,0)-1,0),"")</f>
        <v/>
      </c>
      <c r="G53" s="1062"/>
      <c r="H53" s="1062"/>
      <c r="I53" s="8"/>
      <c r="R53" s="177" t="str">
        <f ca="1">IFERROR(OFFSET('4.2民生電力需要量'!$I$1,MATCH($D52,'4.2民生電力需要量'!$E:$E,0)-1,0),"")</f>
        <v/>
      </c>
      <c r="S53" s="177"/>
      <c r="T53" s="177"/>
      <c r="U53" s="177"/>
      <c r="V53" s="177"/>
      <c r="W53" s="177">
        <f t="shared" ref="W53:W54" ca="1" si="15">(F53=R53)*1</f>
        <v>1</v>
      </c>
    </row>
    <row r="54" spans="1:23" customFormat="1">
      <c r="B54" s="7"/>
      <c r="C54" s="74"/>
      <c r="D54" s="66"/>
      <c r="E54" s="72" t="s">
        <v>176</v>
      </c>
      <c r="F54" s="1070" t="str">
        <f>_xlfn.IFNA(R54,"")</f>
        <v/>
      </c>
      <c r="G54" s="1071"/>
      <c r="H54" s="1072"/>
      <c r="I54" s="8"/>
      <c r="R54" s="131" t="str">
        <f>IF(OR(COUNTIF($E56:$E61,"&lt;&gt;〇〇(合意形成対象者名に書き換え)")=3,COUNTIF($E56:$E61,"")&gt;3),"",IF(PRODUCT($U56:$U61)=1,V56,""))</f>
        <v/>
      </c>
      <c r="S54" s="177"/>
      <c r="T54" s="177"/>
      <c r="U54" s="177"/>
      <c r="V54" s="177"/>
      <c r="W54" s="177">
        <f t="shared" si="15"/>
        <v>1</v>
      </c>
    </row>
    <row r="55" spans="1:23" ht="63.75" customHeight="1">
      <c r="B55" s="97"/>
      <c r="C55" s="98"/>
      <c r="D55" s="99"/>
      <c r="E55" s="374"/>
      <c r="F55" s="315" t="s">
        <v>283</v>
      </c>
      <c r="G55" s="315" t="s">
        <v>284</v>
      </c>
      <c r="H55" s="315" t="s">
        <v>281</v>
      </c>
      <c r="I55" s="100"/>
      <c r="J55" s="11"/>
      <c r="R55" s="128" t="s">
        <v>272</v>
      </c>
      <c r="S55" s="128" t="s">
        <v>432</v>
      </c>
      <c r="T55" s="131" t="s">
        <v>408</v>
      </c>
      <c r="U55" s="131" t="s">
        <v>436</v>
      </c>
      <c r="V55" s="128" t="s">
        <v>431</v>
      </c>
      <c r="W55" s="257"/>
    </row>
    <row r="56" spans="1:23" hidden="1">
      <c r="B56" s="97"/>
      <c r="C56" s="98"/>
      <c r="D56" s="99"/>
      <c r="E56" s="444"/>
      <c r="F56" s="445"/>
      <c r="G56" s="441"/>
      <c r="H56" s="441"/>
      <c r="I56" s="100"/>
      <c r="J56" s="11"/>
      <c r="R56" s="131">
        <f>IF(AND(F56="実施済",G56="実施済",H56="完了"),3,0)</f>
        <v>0</v>
      </c>
      <c r="S56" s="131" t="str">
        <f>IF(OR(E56="〇〇(合意形成対象者名に書き換え)",E56=""),"",R56)</f>
        <v/>
      </c>
      <c r="T56" s="131">
        <f t="shared" ref="T56:T61" si="16">MIN($S$56:$S$61)+1</f>
        <v>1</v>
      </c>
      <c r="U56" s="131">
        <f>IF(E56="",1,IF(AND(E56="〇〇(合意形成対象者名に書き換え)",COUNTA($F56:$H56)=0),1,IF(AND(E56&lt;&gt;"〇〇(合意形成対象者名に書き換え)",COUNTA($F56:$H56)=3),1,0)))</f>
        <v>1</v>
      </c>
      <c r="V56" s="131" t="str" cm="1">
        <f t="array" ref="V56">_xlfn.IFS(T56=4,"A",T56=3,"B",T56=2,"C",T56=1,"D")</f>
        <v>D</v>
      </c>
      <c r="W56" s="257"/>
    </row>
    <row r="57" spans="1:23">
      <c r="B57" s="97"/>
      <c r="C57" s="98"/>
      <c r="D57" s="99"/>
      <c r="E57" s="102" t="s">
        <v>129</v>
      </c>
      <c r="F57" s="449"/>
      <c r="G57" s="443"/>
      <c r="H57" s="443"/>
      <c r="I57" s="100"/>
      <c r="J57" s="11"/>
      <c r="R57" s="131">
        <f t="shared" ref="R57:R61" si="17">IF(AND(F57="実施済",G57="実施済",H57="完了"),3,0)</f>
        <v>0</v>
      </c>
      <c r="S57" s="131" t="str">
        <f t="shared" ref="S57:S61" si="18">IF(OR(E57="〇〇(合意形成対象者名に書き換え)",E57=""),"",R57)</f>
        <v/>
      </c>
      <c r="T57" s="131">
        <f t="shared" si="16"/>
        <v>1</v>
      </c>
      <c r="U57" s="131">
        <f>IF(E57="",1,IF(AND(E57="〇〇(合意形成対象者名に書き換え)",COUNTA($F57:$H57)=0),1,IF(AND(E57&lt;&gt;"〇〇(合意形成対象者名に書き換え)",COUNTA($F57:$H57)=3),1,0)))</f>
        <v>1</v>
      </c>
      <c r="V57" s="131" t="str" cm="1">
        <f t="array" ref="V57">_xlfn.IFS(T57=4,"A",T57=3,"B",T57=2,"C",T57=1,"D")</f>
        <v>D</v>
      </c>
      <c r="W57" s="257"/>
    </row>
    <row r="58" spans="1:23">
      <c r="B58" s="97"/>
      <c r="C58" s="98"/>
      <c r="D58" s="99"/>
      <c r="E58" s="102" t="s">
        <v>129</v>
      </c>
      <c r="F58" s="449"/>
      <c r="G58" s="443"/>
      <c r="H58" s="443"/>
      <c r="I58" s="100"/>
      <c r="J58" s="11"/>
      <c r="R58" s="131">
        <f t="shared" si="17"/>
        <v>0</v>
      </c>
      <c r="S58" s="131" t="str">
        <f t="shared" si="18"/>
        <v/>
      </c>
      <c r="T58" s="131">
        <f t="shared" si="16"/>
        <v>1</v>
      </c>
      <c r="U58" s="131">
        <f>IF(E58="",1,IF(AND(E58="〇〇(合意形成対象者名に書き換え)",COUNTA($F58:$H58)=0),1,IF(AND(E58&lt;&gt;"〇〇(合意形成対象者名に書き換え)",COUNTA($F58:$H58)=3),1,0)))</f>
        <v>1</v>
      </c>
      <c r="V58" s="131" t="str" cm="1">
        <f t="array" ref="V58">_xlfn.IFS(T58=4,"A",T58=3,"B",T58=2,"C",T58=1,"D")</f>
        <v>D</v>
      </c>
      <c r="W58" s="257"/>
    </row>
    <row r="59" spans="1:23" s="101" customFormat="1">
      <c r="A59" s="11"/>
      <c r="B59" s="97"/>
      <c r="C59" s="98"/>
      <c r="D59" s="99"/>
      <c r="E59" s="102" t="s">
        <v>129</v>
      </c>
      <c r="F59" s="449"/>
      <c r="G59" s="443"/>
      <c r="H59" s="443"/>
      <c r="I59" s="100"/>
      <c r="J59" s="11"/>
      <c r="M59" s="11"/>
      <c r="N59" s="11"/>
      <c r="O59" s="11"/>
      <c r="P59" s="11"/>
      <c r="Q59" s="11"/>
      <c r="R59" s="131">
        <f t="shared" si="17"/>
        <v>0</v>
      </c>
      <c r="S59" s="131" t="str">
        <f t="shared" si="18"/>
        <v/>
      </c>
      <c r="T59" s="131">
        <f t="shared" si="16"/>
        <v>1</v>
      </c>
      <c r="U59" s="131">
        <f>IF(E59="",1,IF(AND(E59="〇〇(合意形成対象者名に書き換え)",COUNTA($F59:$H59)=0),1,IF(AND(E59&lt;&gt;"〇〇(合意形成対象者名に書き換え)",COUNTA($F59:$H59)=3),1,0)))</f>
        <v>1</v>
      </c>
      <c r="V59" s="131" t="str" cm="1">
        <f t="array" ref="V59">_xlfn.IFS(T59=4,"A",T59=3,"B",T59=2,"C",T59=1,"D")</f>
        <v>D</v>
      </c>
      <c r="W59" s="131"/>
    </row>
    <row r="60" spans="1:23" customFormat="1" ht="7.5" customHeight="1">
      <c r="B60" s="65"/>
      <c r="C60" s="4"/>
      <c r="D60" s="4"/>
      <c r="E60" s="4"/>
      <c r="F60" s="4"/>
      <c r="G60" s="4"/>
      <c r="H60" s="4"/>
      <c r="I60" s="9"/>
      <c r="J60" s="2"/>
      <c r="K60" s="2"/>
      <c r="L60" s="2"/>
      <c r="R60" s="131">
        <f t="shared" si="17"/>
        <v>0</v>
      </c>
      <c r="S60" s="131" t="str">
        <f t="shared" si="18"/>
        <v/>
      </c>
      <c r="T60" s="131">
        <f t="shared" si="16"/>
        <v>1</v>
      </c>
      <c r="U60" s="131">
        <f t="shared" ref="U60:U61" si="19">IF(E60="",1,IF(AND(E60="〇〇(合意形成対象者名に書き換え)",COUNTA($F60:$H60)=0),1,IF(AND(E60&lt;&gt;"〇〇(合意形成対象者名に書き換え)",COUNTA($F60:$H60)=3),1,0)))</f>
        <v>1</v>
      </c>
      <c r="V60" s="131" t="str" cm="1">
        <f t="array" ref="V60">_xlfn.IFS(T60=4,"A",T60=3,"B",T60=2,"C",T60=1,"D")</f>
        <v>D</v>
      </c>
      <c r="W60" s="177"/>
    </row>
    <row r="61" spans="1:23" customFormat="1" ht="6" customHeight="1">
      <c r="J61" s="2"/>
      <c r="K61" s="2"/>
      <c r="L61" s="2"/>
      <c r="R61" s="131">
        <f t="shared" si="17"/>
        <v>0</v>
      </c>
      <c r="S61" s="131" t="str">
        <f t="shared" si="18"/>
        <v/>
      </c>
      <c r="T61" s="131">
        <f t="shared" si="16"/>
        <v>1</v>
      </c>
      <c r="U61" s="131">
        <f t="shared" si="19"/>
        <v>1</v>
      </c>
      <c r="V61" s="131" t="str" cm="1">
        <f t="array" ref="V61">_xlfn.IFS(T61=4,"A",T61=3,"B",T61=2,"C",T61=1,"D")</f>
        <v>D</v>
      </c>
      <c r="W61" s="177"/>
    </row>
    <row r="62" spans="1:23" customFormat="1" ht="103.5" customHeight="1">
      <c r="C62" s="78"/>
      <c r="D62" s="79"/>
      <c r="E62" s="71" t="s">
        <v>238</v>
      </c>
      <c r="F62" s="1057"/>
      <c r="G62" s="1057"/>
      <c r="H62" s="1057"/>
      <c r="I62" s="80" t="s">
        <v>132</v>
      </c>
      <c r="J62" s="80"/>
    </row>
    <row r="63" spans="1:23" customFormat="1" ht="146.25" customHeight="1">
      <c r="C63" s="75"/>
      <c r="D63" s="68"/>
      <c r="E63" s="71" t="s">
        <v>237</v>
      </c>
      <c r="F63" s="1057"/>
      <c r="G63" s="1057"/>
      <c r="H63" s="1057"/>
      <c r="J63" s="2"/>
      <c r="K63" s="2"/>
      <c r="L63" s="2"/>
    </row>
    <row r="64" spans="1:23" customFormat="1" ht="13.5" customHeight="1" thickBot="1">
      <c r="A64" s="81"/>
      <c r="B64" s="81"/>
      <c r="C64" s="81"/>
      <c r="D64" s="81"/>
      <c r="E64" s="81"/>
      <c r="F64" s="81"/>
      <c r="G64" s="81"/>
      <c r="H64" s="81"/>
      <c r="I64" s="81"/>
      <c r="J64" s="82"/>
      <c r="K64" s="2"/>
      <c r="L64" s="2"/>
    </row>
    <row r="65" spans="1:23" customFormat="1" ht="13.5" customHeight="1">
      <c r="J65" s="2"/>
      <c r="K65" s="2"/>
      <c r="L65" s="2"/>
    </row>
    <row r="66" spans="1:23" customFormat="1" ht="15" customHeight="1">
      <c r="B66" s="10"/>
      <c r="C66" s="5"/>
      <c r="D66" s="5"/>
      <c r="E66" s="5"/>
      <c r="F66" s="5"/>
      <c r="G66" s="5"/>
      <c r="H66" s="5"/>
      <c r="I66" s="6"/>
      <c r="R66" s="11" t="str">
        <f>D67</f>
        <v>(選択してください)</v>
      </c>
    </row>
    <row r="67" spans="1:23" customFormat="1">
      <c r="B67" s="7"/>
      <c r="C67" s="77" t="str">
        <f ca="1">IFERROR(OFFSET('4.2民生電力需要量'!$C$8,MATCH(D67,'4.2民生電力需要量'!$E$9:$E$49,0),0),"")</f>
        <v/>
      </c>
      <c r="D67" s="96" t="s">
        <v>130</v>
      </c>
      <c r="E67" s="72" t="s">
        <v>131</v>
      </c>
      <c r="F67" s="1063" t="str">
        <f ca="1">IFERROR(OFFSET('4.2民生電力需要量'!$G$1,MATCH($D67,'4.2民生電力需要量'!$E:$E,0)-1,0),"")</f>
        <v/>
      </c>
      <c r="G67" s="1063"/>
      <c r="H67" s="1063"/>
      <c r="I67" s="8"/>
      <c r="R67" s="257" t="str">
        <f ca="1">IFERROR(OFFSET('4.2民生電力需要量'!$G$1,MATCH($D67,'4.2民生電力需要量'!$E:$E,0)-1,0),"")</f>
        <v/>
      </c>
      <c r="S67" s="177"/>
      <c r="T67" s="177"/>
      <c r="U67" s="177"/>
      <c r="V67" s="177"/>
      <c r="W67" s="177">
        <f ca="1">(F67=R67)*1</f>
        <v>1</v>
      </c>
    </row>
    <row r="68" spans="1:23" customFormat="1">
      <c r="B68" s="7"/>
      <c r="C68" s="74"/>
      <c r="D68" s="66"/>
      <c r="E68" s="72" t="s">
        <v>221</v>
      </c>
      <c r="F68" s="1062" t="str">
        <f ca="1">IFERROR(OFFSET('4.2民生電力需要量'!$I$1,MATCH($D67,'4.2民生電力需要量'!$E:$E,0)-1,0),"")</f>
        <v/>
      </c>
      <c r="G68" s="1062"/>
      <c r="H68" s="1062"/>
      <c r="I68" s="8"/>
      <c r="R68" s="177" t="str">
        <f ca="1">IFERROR(OFFSET('4.2民生電力需要量'!$I$1,MATCH($D67,'4.2民生電力需要量'!$E:$E,0)-1,0),"")</f>
        <v/>
      </c>
      <c r="S68" s="177"/>
      <c r="T68" s="177"/>
      <c r="U68" s="177"/>
      <c r="V68" s="177"/>
      <c r="W68" s="177">
        <f t="shared" ref="W68:W69" ca="1" si="20">(F68=R68)*1</f>
        <v>1</v>
      </c>
    </row>
    <row r="69" spans="1:23" customFormat="1">
      <c r="B69" s="7"/>
      <c r="C69" s="74"/>
      <c r="D69" s="66"/>
      <c r="E69" s="72" t="s">
        <v>176</v>
      </c>
      <c r="F69" s="1070" t="str">
        <f>_xlfn.IFNA(R69,"")</f>
        <v/>
      </c>
      <c r="G69" s="1071"/>
      <c r="H69" s="1072"/>
      <c r="I69" s="8"/>
      <c r="R69" s="131" t="str">
        <f>IF(OR(COUNTIF($E71:$E76,"&lt;&gt;〇〇(合意形成対象者名に書き換え)")=3,COUNTIF($E71:$E76,"")&gt;3),"",IF(PRODUCT($U71:$U76)=1,V71,""))</f>
        <v/>
      </c>
      <c r="S69" s="177"/>
      <c r="T69" s="177"/>
      <c r="U69" s="177"/>
      <c r="V69" s="177"/>
      <c r="W69" s="177">
        <f t="shared" si="20"/>
        <v>1</v>
      </c>
    </row>
    <row r="70" spans="1:23" ht="63.75" customHeight="1">
      <c r="B70" s="97"/>
      <c r="C70" s="98"/>
      <c r="D70" s="99"/>
      <c r="E70" s="374"/>
      <c r="F70" s="315" t="s">
        <v>283</v>
      </c>
      <c r="G70" s="315" t="s">
        <v>284</v>
      </c>
      <c r="H70" s="315" t="s">
        <v>281</v>
      </c>
      <c r="I70" s="100"/>
      <c r="J70" s="11"/>
      <c r="R70" s="128" t="s">
        <v>272</v>
      </c>
      <c r="S70" s="128" t="s">
        <v>432</v>
      </c>
      <c r="T70" s="131" t="s">
        <v>408</v>
      </c>
      <c r="U70" s="131" t="s">
        <v>436</v>
      </c>
      <c r="V70" s="128" t="s">
        <v>431</v>
      </c>
      <c r="W70" s="257"/>
    </row>
    <row r="71" spans="1:23" hidden="1">
      <c r="B71" s="97"/>
      <c r="C71" s="98"/>
      <c r="D71" s="99"/>
      <c r="E71" s="444"/>
      <c r="F71" s="445"/>
      <c r="G71" s="441"/>
      <c r="H71" s="441"/>
      <c r="I71" s="100"/>
      <c r="J71" s="11"/>
      <c r="R71" s="131">
        <f>IF(AND(F71="実施済",G71="実施済",H71="完了"),3,0)</f>
        <v>0</v>
      </c>
      <c r="S71" s="131" t="str">
        <f>IF(OR(E71="〇〇(合意形成対象者名に書き換え)",E71=""),"",R71)</f>
        <v/>
      </c>
      <c r="T71" s="131">
        <f t="shared" ref="T71:T76" si="21">MIN($S$71:$S$76)+1</f>
        <v>1</v>
      </c>
      <c r="U71" s="131">
        <f>IF(E71="",1,IF(AND(E71="〇〇(合意形成対象者名に書き換え)",COUNTA($F71:$H71)=0),1,IF(AND(E71&lt;&gt;"〇〇(合意形成対象者名に書き換え)",COUNTA($F71:$H71)=3),1,0)))</f>
        <v>1</v>
      </c>
      <c r="V71" s="131" t="str" cm="1">
        <f t="array" ref="V71">_xlfn.IFS(T71=4,"A",T71=3,"B",T71=2,"C",T71=1,"D")</f>
        <v>D</v>
      </c>
      <c r="W71" s="257"/>
    </row>
    <row r="72" spans="1:23">
      <c r="B72" s="97"/>
      <c r="C72" s="98"/>
      <c r="D72" s="99"/>
      <c r="E72" s="102" t="s">
        <v>129</v>
      </c>
      <c r="F72" s="449"/>
      <c r="G72" s="443"/>
      <c r="H72" s="443"/>
      <c r="I72" s="100"/>
      <c r="J72" s="11"/>
      <c r="R72" s="131">
        <f t="shared" ref="R72:R76" si="22">IF(AND(F72="実施済",G72="実施済",H72="完了"),3,0)</f>
        <v>0</v>
      </c>
      <c r="S72" s="131" t="str">
        <f t="shared" ref="S72:S76" si="23">IF(OR(E72="〇〇(合意形成対象者名に書き換え)",E72=""),"",R72)</f>
        <v/>
      </c>
      <c r="T72" s="131">
        <f t="shared" si="21"/>
        <v>1</v>
      </c>
      <c r="U72" s="131">
        <f>IF(E72="",1,IF(AND(E72="〇〇(合意形成対象者名に書き換え)",COUNTA($F72:$H72)=0),1,IF(AND(E72&lt;&gt;"〇〇(合意形成対象者名に書き換え)",COUNTA($F72:$H72)=3),1,0)))</f>
        <v>1</v>
      </c>
      <c r="V72" s="131" t="str" cm="1">
        <f t="array" ref="V72">_xlfn.IFS(T72=4,"A",T72=3,"B",T72=2,"C",T72=1,"D")</f>
        <v>D</v>
      </c>
      <c r="W72" s="257"/>
    </row>
    <row r="73" spans="1:23">
      <c r="B73" s="97"/>
      <c r="C73" s="98"/>
      <c r="D73" s="99"/>
      <c r="E73" s="102" t="s">
        <v>129</v>
      </c>
      <c r="F73" s="449"/>
      <c r="G73" s="443"/>
      <c r="H73" s="443"/>
      <c r="I73" s="100"/>
      <c r="J73" s="11"/>
      <c r="R73" s="131">
        <f t="shared" si="22"/>
        <v>0</v>
      </c>
      <c r="S73" s="131" t="str">
        <f t="shared" si="23"/>
        <v/>
      </c>
      <c r="T73" s="131">
        <f t="shared" si="21"/>
        <v>1</v>
      </c>
      <c r="U73" s="131">
        <f>IF(E73="",1,IF(AND(E73="〇〇(合意形成対象者名に書き換え)",COUNTA($F73:$H73)=0),1,IF(AND(E73&lt;&gt;"〇〇(合意形成対象者名に書き換え)",COUNTA($F73:$H73)=3),1,0)))</f>
        <v>1</v>
      </c>
      <c r="V73" s="131" t="str" cm="1">
        <f t="array" ref="V73">_xlfn.IFS(T73=4,"A",T73=3,"B",T73=2,"C",T73=1,"D")</f>
        <v>D</v>
      </c>
      <c r="W73" s="257"/>
    </row>
    <row r="74" spans="1:23" s="101" customFormat="1">
      <c r="A74" s="11"/>
      <c r="B74" s="97"/>
      <c r="C74" s="98"/>
      <c r="D74" s="99"/>
      <c r="E74" s="102" t="s">
        <v>129</v>
      </c>
      <c r="F74" s="449"/>
      <c r="G74" s="443"/>
      <c r="H74" s="443"/>
      <c r="I74" s="100"/>
      <c r="J74" s="11"/>
      <c r="M74" s="11"/>
      <c r="N74" s="11"/>
      <c r="O74" s="11"/>
      <c r="P74" s="11"/>
      <c r="Q74" s="11"/>
      <c r="R74" s="131">
        <f t="shared" si="22"/>
        <v>0</v>
      </c>
      <c r="S74" s="131" t="str">
        <f t="shared" si="23"/>
        <v/>
      </c>
      <c r="T74" s="131">
        <f t="shared" si="21"/>
        <v>1</v>
      </c>
      <c r="U74" s="131">
        <f>IF(E74="",1,IF(AND(E74="〇〇(合意形成対象者名に書き換え)",COUNTA($F74:$H74)=0),1,IF(AND(E74&lt;&gt;"〇〇(合意形成対象者名に書き換え)",COUNTA($F74:$H74)=3),1,0)))</f>
        <v>1</v>
      </c>
      <c r="V74" s="131" t="str" cm="1">
        <f t="array" ref="V74">_xlfn.IFS(T74=4,"A",T74=3,"B",T74=2,"C",T74=1,"D")</f>
        <v>D</v>
      </c>
      <c r="W74" s="131"/>
    </row>
    <row r="75" spans="1:23" customFormat="1" ht="7.5" customHeight="1">
      <c r="B75" s="65"/>
      <c r="C75" s="4"/>
      <c r="D75" s="4"/>
      <c r="E75" s="4"/>
      <c r="F75" s="4"/>
      <c r="G75" s="4"/>
      <c r="H75" s="4"/>
      <c r="I75" s="9"/>
      <c r="J75" s="2"/>
      <c r="K75" s="2"/>
      <c r="L75" s="2"/>
      <c r="R75" s="131">
        <f t="shared" si="22"/>
        <v>0</v>
      </c>
      <c r="S75" s="131" t="str">
        <f t="shared" si="23"/>
        <v/>
      </c>
      <c r="T75" s="131">
        <f t="shared" si="21"/>
        <v>1</v>
      </c>
      <c r="U75" s="131">
        <f t="shared" ref="U75:U76" si="24">IF(E75="",1,IF(AND(E75="〇〇(合意形成対象者名に書き換え)",COUNTA($F75:$H75)=0),1,IF(AND(E75&lt;&gt;"〇〇(合意形成対象者名に書き換え)",COUNTA($F75:$H75)=3),1,0)))</f>
        <v>1</v>
      </c>
      <c r="V75" s="131" t="str" cm="1">
        <f t="array" ref="V75">_xlfn.IFS(T75=4,"A",T75=3,"B",T75=2,"C",T75=1,"D")</f>
        <v>D</v>
      </c>
      <c r="W75" s="177"/>
    </row>
    <row r="76" spans="1:23" customFormat="1" ht="6" customHeight="1">
      <c r="J76" s="2"/>
      <c r="K76" s="2"/>
      <c r="L76" s="2"/>
      <c r="R76" s="131">
        <f t="shared" si="22"/>
        <v>0</v>
      </c>
      <c r="S76" s="131" t="str">
        <f t="shared" si="23"/>
        <v/>
      </c>
      <c r="T76" s="131">
        <f t="shared" si="21"/>
        <v>1</v>
      </c>
      <c r="U76" s="131">
        <f t="shared" si="24"/>
        <v>1</v>
      </c>
      <c r="V76" s="131" t="str" cm="1">
        <f t="array" ref="V76">_xlfn.IFS(T76=4,"A",T76=3,"B",T76=2,"C",T76=1,"D")</f>
        <v>D</v>
      </c>
      <c r="W76" s="177"/>
    </row>
    <row r="77" spans="1:23" customFormat="1" ht="103.5" customHeight="1">
      <c r="C77" s="78"/>
      <c r="D77" s="79"/>
      <c r="E77" s="71" t="s">
        <v>238</v>
      </c>
      <c r="F77" s="1057"/>
      <c r="G77" s="1057"/>
      <c r="H77" s="1057"/>
      <c r="I77" s="80" t="s">
        <v>132</v>
      </c>
      <c r="J77" s="80"/>
    </row>
    <row r="78" spans="1:23" customFormat="1" ht="146.25" customHeight="1">
      <c r="C78" s="75"/>
      <c r="D78" s="68"/>
      <c r="E78" s="71" t="s">
        <v>237</v>
      </c>
      <c r="F78" s="1057"/>
      <c r="G78" s="1057"/>
      <c r="H78" s="1057"/>
      <c r="J78" s="2"/>
      <c r="K78" s="2"/>
      <c r="L78" s="2"/>
    </row>
    <row r="79" spans="1:23" customFormat="1" ht="13.5" customHeight="1" thickBot="1">
      <c r="A79" s="81"/>
      <c r="B79" s="81"/>
      <c r="C79" s="81"/>
      <c r="D79" s="81"/>
      <c r="E79" s="81"/>
      <c r="F79" s="81"/>
      <c r="G79" s="81"/>
      <c r="H79" s="81"/>
      <c r="I79" s="81"/>
      <c r="J79" s="82"/>
      <c r="K79" s="2"/>
      <c r="L79" s="2"/>
    </row>
    <row r="80" spans="1:23" customFormat="1" ht="13.5" customHeight="1">
      <c r="J80" s="2"/>
      <c r="K80" s="2"/>
      <c r="L80" s="2"/>
    </row>
    <row r="81" spans="1:23" customFormat="1" ht="15" customHeight="1">
      <c r="B81" s="10"/>
      <c r="C81" s="5"/>
      <c r="D81" s="5"/>
      <c r="E81" s="5"/>
      <c r="F81" s="5"/>
      <c r="G81" s="5"/>
      <c r="H81" s="5"/>
      <c r="I81" s="6"/>
      <c r="R81" s="11" t="str">
        <f>D82</f>
        <v>(選択してください)</v>
      </c>
    </row>
    <row r="82" spans="1:23" customFormat="1">
      <c r="B82" s="7"/>
      <c r="C82" s="77" t="str">
        <f ca="1">IFERROR(OFFSET('4.2民生電力需要量'!$C$8,MATCH(D82,'4.2民生電力需要量'!$E$9:$E$49,0),0),"")</f>
        <v/>
      </c>
      <c r="D82" s="96" t="s">
        <v>130</v>
      </c>
      <c r="E82" s="72" t="s">
        <v>131</v>
      </c>
      <c r="F82" s="1063" t="str">
        <f ca="1">IFERROR(OFFSET('4.2民生電力需要量'!$G$1,MATCH($D82,'4.2民生電力需要量'!$E:$E,0)-1,0),"")</f>
        <v/>
      </c>
      <c r="G82" s="1063"/>
      <c r="H82" s="1063"/>
      <c r="I82" s="8"/>
      <c r="R82" s="257" t="str">
        <f ca="1">IFERROR(OFFSET('4.2民生電力需要量'!$G$1,MATCH($D82,'4.2民生電力需要量'!$E:$E,0)-1,0),"")</f>
        <v/>
      </c>
      <c r="S82" s="177"/>
      <c r="T82" s="177"/>
      <c r="U82" s="177"/>
      <c r="V82" s="177"/>
      <c r="W82" s="177">
        <f ca="1">(F82=R82)*1</f>
        <v>1</v>
      </c>
    </row>
    <row r="83" spans="1:23" customFormat="1">
      <c r="B83" s="7"/>
      <c r="C83" s="74"/>
      <c r="D83" s="66"/>
      <c r="E83" s="72" t="s">
        <v>221</v>
      </c>
      <c r="F83" s="1062" t="str">
        <f ca="1">IFERROR(OFFSET('4.2民生電力需要量'!$I$1,MATCH($D82,'4.2民生電力需要量'!$E:$E,0)-1,0),"")</f>
        <v/>
      </c>
      <c r="G83" s="1062"/>
      <c r="H83" s="1062"/>
      <c r="I83" s="8"/>
      <c r="R83" s="177" t="str">
        <f ca="1">IFERROR(OFFSET('4.2民生電力需要量'!$I$1,MATCH($D82,'4.2民生電力需要量'!$E:$E,0)-1,0),"")</f>
        <v/>
      </c>
      <c r="S83" s="177"/>
      <c r="T83" s="177"/>
      <c r="U83" s="177"/>
      <c r="V83" s="177"/>
      <c r="W83" s="177">
        <f t="shared" ref="W83:W84" ca="1" si="25">(F83=R83)*1</f>
        <v>1</v>
      </c>
    </row>
    <row r="84" spans="1:23" customFormat="1">
      <c r="B84" s="7"/>
      <c r="C84" s="74"/>
      <c r="D84" s="66"/>
      <c r="E84" s="72" t="s">
        <v>176</v>
      </c>
      <c r="F84" s="1070" t="str">
        <f>_xlfn.IFNA(R84,"")</f>
        <v/>
      </c>
      <c r="G84" s="1071"/>
      <c r="H84" s="1072"/>
      <c r="I84" s="8"/>
      <c r="R84" s="131" t="str">
        <f>IF(OR(COUNTIF($E86:$E91,"&lt;&gt;〇〇(合意形成対象者名に書き換え)")=3,COUNTIF($E86:$E91,"")&gt;3),"",IF(PRODUCT($U86:$U91)=1,V86,""))</f>
        <v/>
      </c>
      <c r="S84" s="177"/>
      <c r="T84" s="177"/>
      <c r="U84" s="177"/>
      <c r="V84" s="177"/>
      <c r="W84" s="177">
        <f t="shared" si="25"/>
        <v>1</v>
      </c>
    </row>
    <row r="85" spans="1:23" ht="63.75" customHeight="1">
      <c r="B85" s="97"/>
      <c r="C85" s="98"/>
      <c r="D85" s="99"/>
      <c r="E85" s="374"/>
      <c r="F85" s="315" t="s">
        <v>283</v>
      </c>
      <c r="G85" s="315" t="s">
        <v>284</v>
      </c>
      <c r="H85" s="315" t="s">
        <v>281</v>
      </c>
      <c r="I85" s="100"/>
      <c r="J85" s="11"/>
      <c r="R85" s="128" t="s">
        <v>272</v>
      </c>
      <c r="S85" s="128" t="s">
        <v>432</v>
      </c>
      <c r="T85" s="131" t="s">
        <v>408</v>
      </c>
      <c r="U85" s="131" t="s">
        <v>436</v>
      </c>
      <c r="V85" s="128" t="s">
        <v>431</v>
      </c>
      <c r="W85" s="257"/>
    </row>
    <row r="86" spans="1:23" hidden="1">
      <c r="B86" s="97"/>
      <c r="C86" s="98"/>
      <c r="D86" s="99"/>
      <c r="E86" s="444"/>
      <c r="F86" s="445"/>
      <c r="G86" s="441"/>
      <c r="H86" s="441"/>
      <c r="I86" s="100"/>
      <c r="J86" s="11"/>
      <c r="R86" s="131">
        <f>IF(AND(F86="実施済",G86="実施済",H86="完了"),3,0)</f>
        <v>0</v>
      </c>
      <c r="S86" s="131" t="str">
        <f>IF(OR(E86="〇〇(合意形成対象者名に書き換え)",E86=""),"",R86)</f>
        <v/>
      </c>
      <c r="T86" s="131">
        <f t="shared" ref="T86:T91" si="26">MIN($S$86:$S$91)+1</f>
        <v>1</v>
      </c>
      <c r="U86" s="131">
        <f>IF(E86="",1,IF(AND(E86="〇〇(合意形成対象者名に書き換え)",COUNTA($F86:$H86)=0),1,IF(AND(E86&lt;&gt;"〇〇(合意形成対象者名に書き換え)",COUNTA($F86:$H86)=3),1,0)))</f>
        <v>1</v>
      </c>
      <c r="V86" s="131" t="str" cm="1">
        <f t="array" ref="V86">_xlfn.IFS(T86=4,"A",T86=3,"B",T86=2,"C",T86=1,"D")</f>
        <v>D</v>
      </c>
      <c r="W86" s="257"/>
    </row>
    <row r="87" spans="1:23">
      <c r="B87" s="97"/>
      <c r="C87" s="98"/>
      <c r="D87" s="99"/>
      <c r="E87" s="102" t="s">
        <v>129</v>
      </c>
      <c r="F87" s="449"/>
      <c r="G87" s="443"/>
      <c r="H87" s="443"/>
      <c r="I87" s="100"/>
      <c r="J87" s="11"/>
      <c r="R87" s="131">
        <f t="shared" ref="R87:R91" si="27">IF(AND(F87="実施済",G87="実施済",H87="完了"),3,0)</f>
        <v>0</v>
      </c>
      <c r="S87" s="131" t="str">
        <f t="shared" ref="S87:S91" si="28">IF(OR(E87="〇〇(合意形成対象者名に書き換え)",E87=""),"",R87)</f>
        <v/>
      </c>
      <c r="T87" s="131">
        <f t="shared" si="26"/>
        <v>1</v>
      </c>
      <c r="U87" s="131">
        <f>IF(E87="",1,IF(AND(E87="〇〇(合意形成対象者名に書き換え)",COUNTA($F87:$H87)=0),1,IF(AND(E87&lt;&gt;"〇〇(合意形成対象者名に書き換え)",COUNTA($F87:$H87)=3),1,0)))</f>
        <v>1</v>
      </c>
      <c r="V87" s="131" t="str" cm="1">
        <f t="array" ref="V87">_xlfn.IFS(T87=4,"A",T87=3,"B",T87=2,"C",T87=1,"D")</f>
        <v>D</v>
      </c>
      <c r="W87" s="257"/>
    </row>
    <row r="88" spans="1:23">
      <c r="B88" s="97"/>
      <c r="C88" s="98"/>
      <c r="D88" s="99"/>
      <c r="E88" s="102" t="s">
        <v>129</v>
      </c>
      <c r="F88" s="449"/>
      <c r="G88" s="443"/>
      <c r="H88" s="443"/>
      <c r="I88" s="100"/>
      <c r="J88" s="11"/>
      <c r="R88" s="131">
        <f t="shared" si="27"/>
        <v>0</v>
      </c>
      <c r="S88" s="131" t="str">
        <f t="shared" si="28"/>
        <v/>
      </c>
      <c r="T88" s="131">
        <f t="shared" si="26"/>
        <v>1</v>
      </c>
      <c r="U88" s="131">
        <f>IF(E88="",1,IF(AND(E88="〇〇(合意形成対象者名に書き換え)",COUNTA($F88:$H88)=0),1,IF(AND(E88&lt;&gt;"〇〇(合意形成対象者名に書き換え)",COUNTA($F88:$H88)=3),1,0)))</f>
        <v>1</v>
      </c>
      <c r="V88" s="131" t="str" cm="1">
        <f t="array" ref="V88">_xlfn.IFS(T88=4,"A",T88=3,"B",T88=2,"C",T88=1,"D")</f>
        <v>D</v>
      </c>
      <c r="W88" s="257"/>
    </row>
    <row r="89" spans="1:23" s="101" customFormat="1">
      <c r="A89" s="11"/>
      <c r="B89" s="97"/>
      <c r="C89" s="98"/>
      <c r="D89" s="99"/>
      <c r="E89" s="102" t="s">
        <v>129</v>
      </c>
      <c r="F89" s="449"/>
      <c r="G89" s="443"/>
      <c r="H89" s="443"/>
      <c r="I89" s="100"/>
      <c r="J89" s="11"/>
      <c r="M89" s="11"/>
      <c r="N89" s="11"/>
      <c r="O89" s="11"/>
      <c r="P89" s="11"/>
      <c r="Q89" s="11"/>
      <c r="R89" s="131">
        <f t="shared" si="27"/>
        <v>0</v>
      </c>
      <c r="S89" s="131" t="str">
        <f t="shared" si="28"/>
        <v/>
      </c>
      <c r="T89" s="131">
        <f t="shared" si="26"/>
        <v>1</v>
      </c>
      <c r="U89" s="131">
        <f>IF(E89="",1,IF(AND(E89="〇〇(合意形成対象者名に書き換え)",COUNTA($F89:$H89)=0),1,IF(AND(E89&lt;&gt;"〇〇(合意形成対象者名に書き換え)",COUNTA($F89:$H89)=3),1,0)))</f>
        <v>1</v>
      </c>
      <c r="V89" s="131" t="str" cm="1">
        <f t="array" ref="V89">_xlfn.IFS(T89=4,"A",T89=3,"B",T89=2,"C",T89=1,"D")</f>
        <v>D</v>
      </c>
      <c r="W89" s="131"/>
    </row>
    <row r="90" spans="1:23" customFormat="1" ht="7.5" customHeight="1">
      <c r="B90" s="65"/>
      <c r="C90" s="4"/>
      <c r="D90" s="4"/>
      <c r="E90" s="4"/>
      <c r="F90" s="4"/>
      <c r="G90" s="4"/>
      <c r="H90" s="4"/>
      <c r="I90" s="9"/>
      <c r="J90" s="2"/>
      <c r="K90" s="2"/>
      <c r="L90" s="2"/>
      <c r="R90" s="131">
        <f t="shared" si="27"/>
        <v>0</v>
      </c>
      <c r="S90" s="131" t="str">
        <f t="shared" si="28"/>
        <v/>
      </c>
      <c r="T90" s="131">
        <f t="shared" si="26"/>
        <v>1</v>
      </c>
      <c r="U90" s="131">
        <f t="shared" ref="U90:U91" si="29">IF(E90="",1,IF(AND(E90="〇〇(合意形成対象者名に書き換え)",COUNTA($F90:$H90)=0),1,IF(AND(E90&lt;&gt;"〇〇(合意形成対象者名に書き換え)",COUNTA($F90:$H90)=3),1,0)))</f>
        <v>1</v>
      </c>
      <c r="V90" s="131" t="str" cm="1">
        <f t="array" ref="V90">_xlfn.IFS(T90=4,"A",T90=3,"B",T90=2,"C",T90=1,"D")</f>
        <v>D</v>
      </c>
      <c r="W90" s="177"/>
    </row>
    <row r="91" spans="1:23" customFormat="1" ht="6" customHeight="1">
      <c r="J91" s="2"/>
      <c r="K91" s="2"/>
      <c r="L91" s="2"/>
      <c r="R91" s="131">
        <f t="shared" si="27"/>
        <v>0</v>
      </c>
      <c r="S91" s="131" t="str">
        <f t="shared" si="28"/>
        <v/>
      </c>
      <c r="T91" s="131">
        <f t="shared" si="26"/>
        <v>1</v>
      </c>
      <c r="U91" s="131">
        <f t="shared" si="29"/>
        <v>1</v>
      </c>
      <c r="V91" s="131" t="str" cm="1">
        <f t="array" ref="V91">_xlfn.IFS(T91=4,"A",T91=3,"B",T91=2,"C",T91=1,"D")</f>
        <v>D</v>
      </c>
      <c r="W91" s="177"/>
    </row>
    <row r="92" spans="1:23" customFormat="1" ht="103.5" customHeight="1">
      <c r="C92" s="78"/>
      <c r="D92" s="79"/>
      <c r="E92" s="71" t="s">
        <v>238</v>
      </c>
      <c r="F92" s="1057"/>
      <c r="G92" s="1057"/>
      <c r="H92" s="1057"/>
      <c r="I92" s="80" t="s">
        <v>132</v>
      </c>
      <c r="J92" s="80"/>
    </row>
    <row r="93" spans="1:23" customFormat="1" ht="146.25" customHeight="1">
      <c r="C93" s="75"/>
      <c r="D93" s="68"/>
      <c r="E93" s="71" t="s">
        <v>237</v>
      </c>
      <c r="F93" s="1057"/>
      <c r="G93" s="1057"/>
      <c r="H93" s="1057"/>
      <c r="J93" s="2"/>
      <c r="K93" s="2"/>
      <c r="L93" s="2"/>
    </row>
    <row r="94" spans="1:23" customFormat="1" ht="13.5" customHeight="1" thickBot="1">
      <c r="A94" s="81"/>
      <c r="B94" s="81"/>
      <c r="C94" s="81"/>
      <c r="D94" s="81"/>
      <c r="E94" s="81"/>
      <c r="F94" s="81"/>
      <c r="G94" s="81"/>
      <c r="H94" s="81"/>
      <c r="I94" s="81"/>
      <c r="J94" s="82"/>
      <c r="K94" s="2"/>
      <c r="L94" s="2"/>
    </row>
    <row r="95" spans="1:23" customFormat="1" ht="13.5" customHeight="1">
      <c r="J95" s="2"/>
      <c r="K95" s="2"/>
      <c r="L95" s="2"/>
    </row>
    <row r="96" spans="1:23" customFormat="1" ht="15" customHeight="1">
      <c r="B96" s="10"/>
      <c r="C96" s="5"/>
      <c r="D96" s="5"/>
      <c r="E96" s="5"/>
      <c r="F96" s="5"/>
      <c r="G96" s="5"/>
      <c r="H96" s="5"/>
      <c r="I96" s="6"/>
      <c r="R96" s="11" t="str">
        <f>D97</f>
        <v>(選択してください)</v>
      </c>
    </row>
    <row r="97" spans="1:23" customFormat="1">
      <c r="B97" s="7"/>
      <c r="C97" s="77" t="str">
        <f ca="1">IFERROR(OFFSET('4.2民生電力需要量'!$C$8,MATCH(D97,'4.2民生電力需要量'!$E$9:$E$49,0),0),"")</f>
        <v/>
      </c>
      <c r="D97" s="96" t="s">
        <v>130</v>
      </c>
      <c r="E97" s="72" t="s">
        <v>131</v>
      </c>
      <c r="F97" s="1063" t="str">
        <f ca="1">IFERROR(OFFSET('4.2民生電力需要量'!$G$1,MATCH($D97,'4.2民生電力需要量'!$E:$E,0)-1,0),"")</f>
        <v/>
      </c>
      <c r="G97" s="1063"/>
      <c r="H97" s="1063"/>
      <c r="I97" s="8"/>
      <c r="R97" s="257" t="str">
        <f ca="1">IFERROR(OFFSET('4.2民生電力需要量'!$G$1,MATCH($D97,'4.2民生電力需要量'!$E:$E,0)-1,0),"")</f>
        <v/>
      </c>
      <c r="S97" s="177"/>
      <c r="T97" s="177"/>
      <c r="U97" s="177"/>
      <c r="V97" s="177"/>
      <c r="W97" s="177">
        <f ca="1">(F97=R97)*1</f>
        <v>1</v>
      </c>
    </row>
    <row r="98" spans="1:23" customFormat="1">
      <c r="B98" s="7"/>
      <c r="C98" s="74"/>
      <c r="D98" s="66"/>
      <c r="E98" s="72" t="s">
        <v>221</v>
      </c>
      <c r="F98" s="1062" t="str">
        <f ca="1">IFERROR(OFFSET('4.2民生電力需要量'!$I$1,MATCH($D97,'4.2民生電力需要量'!$E:$E,0)-1,0),"")</f>
        <v/>
      </c>
      <c r="G98" s="1062"/>
      <c r="H98" s="1062"/>
      <c r="I98" s="8"/>
      <c r="R98" s="177" t="str">
        <f ca="1">IFERROR(OFFSET('4.2民生電力需要量'!$I$1,MATCH($D97,'4.2民生電力需要量'!$E:$E,0)-1,0),"")</f>
        <v/>
      </c>
      <c r="S98" s="177"/>
      <c r="T98" s="177"/>
      <c r="U98" s="177"/>
      <c r="V98" s="177"/>
      <c r="W98" s="177">
        <f t="shared" ref="W98:W99" ca="1" si="30">(F98=R98)*1</f>
        <v>1</v>
      </c>
    </row>
    <row r="99" spans="1:23" customFormat="1">
      <c r="B99" s="7"/>
      <c r="C99" s="74"/>
      <c r="D99" s="66"/>
      <c r="E99" s="72" t="s">
        <v>176</v>
      </c>
      <c r="F99" s="1070" t="str">
        <f>_xlfn.IFNA(R99,"")</f>
        <v/>
      </c>
      <c r="G99" s="1071"/>
      <c r="H99" s="1072"/>
      <c r="I99" s="8"/>
      <c r="R99" s="131" t="str">
        <f>IF(OR(COUNTIF($E101:$E106,"&lt;&gt;〇〇(合意形成対象者名に書き換え)")=3,COUNTIF($E101:$E106,"")&gt;3),"",IF(PRODUCT($U101:$U106)=1,V101,""))</f>
        <v/>
      </c>
      <c r="S99" s="177"/>
      <c r="T99" s="177"/>
      <c r="U99" s="177"/>
      <c r="V99" s="177"/>
      <c r="W99" s="177">
        <f t="shared" si="30"/>
        <v>1</v>
      </c>
    </row>
    <row r="100" spans="1:23" ht="63.75" customHeight="1">
      <c r="B100" s="97"/>
      <c r="C100" s="98"/>
      <c r="D100" s="99"/>
      <c r="E100" s="374"/>
      <c r="F100" s="315" t="s">
        <v>283</v>
      </c>
      <c r="G100" s="315" t="s">
        <v>284</v>
      </c>
      <c r="H100" s="315" t="s">
        <v>281</v>
      </c>
      <c r="I100" s="100"/>
      <c r="J100" s="11"/>
      <c r="R100" s="128" t="s">
        <v>272</v>
      </c>
      <c r="S100" s="128" t="s">
        <v>432</v>
      </c>
      <c r="T100" s="131" t="s">
        <v>408</v>
      </c>
      <c r="U100" s="131" t="s">
        <v>436</v>
      </c>
      <c r="V100" s="128" t="s">
        <v>431</v>
      </c>
      <c r="W100" s="257"/>
    </row>
    <row r="101" spans="1:23" hidden="1">
      <c r="B101" s="97"/>
      <c r="C101" s="98"/>
      <c r="D101" s="99"/>
      <c r="E101" s="444"/>
      <c r="F101" s="445"/>
      <c r="G101" s="441"/>
      <c r="H101" s="441"/>
      <c r="I101" s="100"/>
      <c r="J101" s="11"/>
      <c r="R101" s="131">
        <f>IF(AND(F101="実施済",G101="実施済",H101="完了"),3,0)</f>
        <v>0</v>
      </c>
      <c r="S101" s="131" t="str">
        <f>IF(OR(E101="〇〇(合意形成対象者名に書き換え)",E101=""),"",R101)</f>
        <v/>
      </c>
      <c r="T101" s="131">
        <f t="shared" ref="T101:T106" si="31">MIN($S$101:$S$106)+1</f>
        <v>1</v>
      </c>
      <c r="U101" s="131">
        <f>IF(E101="",1,IF(AND(E101="〇〇(合意形成対象者名に書き換え)",COUNTA($F101:$H101)=0),1,IF(AND(E101&lt;&gt;"〇〇(合意形成対象者名に書き換え)",COUNTA($F101:$H101)=3),1,0)))</f>
        <v>1</v>
      </c>
      <c r="V101" s="131" t="str" cm="1">
        <f t="array" ref="V101">_xlfn.IFS(T101=4,"A",T101=3,"B",T101=2,"C",T101=1,"D")</f>
        <v>D</v>
      </c>
      <c r="W101" s="257"/>
    </row>
    <row r="102" spans="1:23">
      <c r="B102" s="97"/>
      <c r="C102" s="98"/>
      <c r="D102" s="99"/>
      <c r="E102" s="102" t="s">
        <v>129</v>
      </c>
      <c r="F102" s="449"/>
      <c r="G102" s="443"/>
      <c r="H102" s="443"/>
      <c r="I102" s="100"/>
      <c r="J102" s="11"/>
      <c r="R102" s="131">
        <f t="shared" ref="R102:R106" si="32">IF(AND(F102="実施済",G102="実施済",H102="完了"),3,0)</f>
        <v>0</v>
      </c>
      <c r="S102" s="131" t="str">
        <f t="shared" ref="S102:S106" si="33">IF(OR(E102="〇〇(合意形成対象者名に書き換え)",E102=""),"",R102)</f>
        <v/>
      </c>
      <c r="T102" s="131">
        <f t="shared" si="31"/>
        <v>1</v>
      </c>
      <c r="U102" s="131">
        <f>IF(E102="",1,IF(AND(E102="〇〇(合意形成対象者名に書き換え)",COUNTA($F102:$H102)=0),1,IF(AND(E102&lt;&gt;"〇〇(合意形成対象者名に書き換え)",COUNTA($F102:$H102)=3),1,0)))</f>
        <v>1</v>
      </c>
      <c r="V102" s="131" t="str" cm="1">
        <f t="array" ref="V102">_xlfn.IFS(T102=4,"A",T102=3,"B",T102=2,"C",T102=1,"D")</f>
        <v>D</v>
      </c>
      <c r="W102" s="257"/>
    </row>
    <row r="103" spans="1:23">
      <c r="B103" s="97"/>
      <c r="C103" s="98"/>
      <c r="D103" s="99"/>
      <c r="E103" s="102" t="s">
        <v>129</v>
      </c>
      <c r="F103" s="449"/>
      <c r="G103" s="443"/>
      <c r="H103" s="443"/>
      <c r="I103" s="100"/>
      <c r="J103" s="11"/>
      <c r="R103" s="131">
        <f t="shared" si="32"/>
        <v>0</v>
      </c>
      <c r="S103" s="131" t="str">
        <f t="shared" si="33"/>
        <v/>
      </c>
      <c r="T103" s="131">
        <f t="shared" si="31"/>
        <v>1</v>
      </c>
      <c r="U103" s="131">
        <f>IF(E103="",1,IF(AND(E103="〇〇(合意形成対象者名に書き換え)",COUNTA($F103:$H103)=0),1,IF(AND(E103&lt;&gt;"〇〇(合意形成対象者名に書き換え)",COUNTA($F103:$H103)=3),1,0)))</f>
        <v>1</v>
      </c>
      <c r="V103" s="131" t="str" cm="1">
        <f t="array" ref="V103">_xlfn.IFS(T103=4,"A",T103=3,"B",T103=2,"C",T103=1,"D")</f>
        <v>D</v>
      </c>
      <c r="W103" s="257"/>
    </row>
    <row r="104" spans="1:23" s="101" customFormat="1">
      <c r="A104" s="11"/>
      <c r="B104" s="97"/>
      <c r="C104" s="98"/>
      <c r="D104" s="99"/>
      <c r="E104" s="102" t="s">
        <v>129</v>
      </c>
      <c r="F104" s="449"/>
      <c r="G104" s="443"/>
      <c r="H104" s="443"/>
      <c r="I104" s="100"/>
      <c r="J104" s="11"/>
      <c r="M104" s="11"/>
      <c r="N104" s="11"/>
      <c r="O104" s="11"/>
      <c r="P104" s="11"/>
      <c r="Q104" s="11"/>
      <c r="R104" s="131">
        <f t="shared" si="32"/>
        <v>0</v>
      </c>
      <c r="S104" s="131" t="str">
        <f t="shared" si="33"/>
        <v/>
      </c>
      <c r="T104" s="131">
        <f t="shared" si="31"/>
        <v>1</v>
      </c>
      <c r="U104" s="131">
        <f>IF(E104="",1,IF(AND(E104="〇〇(合意形成対象者名に書き換え)",COUNTA($F104:$H104)=0),1,IF(AND(E104&lt;&gt;"〇〇(合意形成対象者名に書き換え)",COUNTA($F104:$H104)=3),1,0)))</f>
        <v>1</v>
      </c>
      <c r="V104" s="131" t="str" cm="1">
        <f t="array" ref="V104">_xlfn.IFS(T104=4,"A",T104=3,"B",T104=2,"C",T104=1,"D")</f>
        <v>D</v>
      </c>
      <c r="W104" s="131"/>
    </row>
    <row r="105" spans="1:23" customFormat="1" ht="7.5" customHeight="1">
      <c r="B105" s="65"/>
      <c r="C105" s="4"/>
      <c r="D105" s="4"/>
      <c r="E105" s="4"/>
      <c r="F105" s="4"/>
      <c r="G105" s="4"/>
      <c r="H105" s="4"/>
      <c r="I105" s="9"/>
      <c r="J105" s="2"/>
      <c r="K105" s="2"/>
      <c r="L105" s="2"/>
      <c r="R105" s="131">
        <f t="shared" si="32"/>
        <v>0</v>
      </c>
      <c r="S105" s="131" t="str">
        <f t="shared" si="33"/>
        <v/>
      </c>
      <c r="T105" s="131">
        <f t="shared" si="31"/>
        <v>1</v>
      </c>
      <c r="U105" s="131">
        <f t="shared" ref="U105:U106" si="34">IF(E105="",1,IF(AND(E105="〇〇(合意形成対象者名に書き換え)",COUNTA($F105:$H105)=0),1,IF(AND(E105&lt;&gt;"〇〇(合意形成対象者名に書き換え)",COUNTA($F105:$H105)=3),1,0)))</f>
        <v>1</v>
      </c>
      <c r="V105" s="131" t="str" cm="1">
        <f t="array" ref="V105">_xlfn.IFS(T105=4,"A",T105=3,"B",T105=2,"C",T105=1,"D")</f>
        <v>D</v>
      </c>
      <c r="W105" s="177"/>
    </row>
    <row r="106" spans="1:23" customFormat="1" ht="6" customHeight="1">
      <c r="J106" s="2"/>
      <c r="K106" s="2"/>
      <c r="L106" s="2"/>
      <c r="R106" s="131">
        <f t="shared" si="32"/>
        <v>0</v>
      </c>
      <c r="S106" s="131" t="str">
        <f t="shared" si="33"/>
        <v/>
      </c>
      <c r="T106" s="131">
        <f t="shared" si="31"/>
        <v>1</v>
      </c>
      <c r="U106" s="131">
        <f t="shared" si="34"/>
        <v>1</v>
      </c>
      <c r="V106" s="131" t="str" cm="1">
        <f t="array" ref="V106">_xlfn.IFS(T106=4,"A",T106=3,"B",T106=2,"C",T106=1,"D")</f>
        <v>D</v>
      </c>
      <c r="W106" s="177"/>
    </row>
    <row r="107" spans="1:23" customFormat="1" ht="103.5" customHeight="1">
      <c r="C107" s="78"/>
      <c r="D107" s="79"/>
      <c r="E107" s="71" t="s">
        <v>238</v>
      </c>
      <c r="F107" s="1057"/>
      <c r="G107" s="1057"/>
      <c r="H107" s="1057"/>
      <c r="I107" s="80" t="s">
        <v>132</v>
      </c>
      <c r="J107" s="80"/>
    </row>
    <row r="108" spans="1:23" customFormat="1" ht="146.25" customHeight="1">
      <c r="C108" s="75"/>
      <c r="D108" s="68"/>
      <c r="E108" s="71" t="s">
        <v>237</v>
      </c>
      <c r="F108" s="1057"/>
      <c r="G108" s="1057"/>
      <c r="H108" s="1057"/>
      <c r="J108" s="2"/>
      <c r="K108" s="2"/>
      <c r="L108" s="2"/>
    </row>
    <row r="109" spans="1:23" customFormat="1" ht="13.5" customHeight="1" thickBot="1">
      <c r="A109" s="81"/>
      <c r="B109" s="81"/>
      <c r="C109" s="81"/>
      <c r="D109" s="81"/>
      <c r="E109" s="81"/>
      <c r="F109" s="81"/>
      <c r="G109" s="81"/>
      <c r="H109" s="81"/>
      <c r="I109" s="81"/>
      <c r="J109" s="82"/>
      <c r="K109" s="2"/>
      <c r="L109" s="2"/>
    </row>
    <row r="110" spans="1:23" customFormat="1" ht="13.5" customHeight="1">
      <c r="J110" s="2"/>
      <c r="K110" s="2"/>
      <c r="L110" s="2"/>
    </row>
    <row r="111" spans="1:23" customFormat="1" ht="15" customHeight="1">
      <c r="B111" s="10"/>
      <c r="C111" s="5"/>
      <c r="D111" s="5"/>
      <c r="E111" s="5"/>
      <c r="F111" s="5"/>
      <c r="G111" s="5"/>
      <c r="H111" s="5"/>
      <c r="I111" s="6"/>
      <c r="R111" s="11" t="str">
        <f>D112</f>
        <v>(選択してください)</v>
      </c>
    </row>
    <row r="112" spans="1:23" customFormat="1">
      <c r="B112" s="7"/>
      <c r="C112" s="77" t="str">
        <f ca="1">IFERROR(OFFSET('4.2民生電力需要量'!$C$8,MATCH(D112,'4.2民生電力需要量'!$E$9:$E$49,0),0),"")</f>
        <v/>
      </c>
      <c r="D112" s="96" t="s">
        <v>130</v>
      </c>
      <c r="E112" s="72" t="s">
        <v>131</v>
      </c>
      <c r="F112" s="1063" t="str">
        <f ca="1">IFERROR(OFFSET('4.2民生電力需要量'!$G$1,MATCH($D112,'4.2民生電力需要量'!$E:$E,0)-1,0),"")</f>
        <v/>
      </c>
      <c r="G112" s="1063"/>
      <c r="H112" s="1063"/>
      <c r="I112" s="8"/>
      <c r="R112" s="257" t="str">
        <f ca="1">IFERROR(OFFSET('4.2民生電力需要量'!$G$1,MATCH($D112,'4.2民生電力需要量'!$E:$E,0)-1,0),"")</f>
        <v/>
      </c>
      <c r="S112" s="177"/>
      <c r="T112" s="177"/>
      <c r="U112" s="177"/>
      <c r="V112" s="177"/>
      <c r="W112" s="177">
        <f ca="1">(F112=R112)*1</f>
        <v>1</v>
      </c>
    </row>
    <row r="113" spans="1:23" customFormat="1">
      <c r="B113" s="7"/>
      <c r="C113" s="74"/>
      <c r="D113" s="66"/>
      <c r="E113" s="72" t="s">
        <v>221</v>
      </c>
      <c r="F113" s="1062" t="str">
        <f ca="1">IFERROR(OFFSET('4.2民生電力需要量'!$I$1,MATCH($D112,'4.2民生電力需要量'!$E:$E,0)-1,0),"")</f>
        <v/>
      </c>
      <c r="G113" s="1062"/>
      <c r="H113" s="1062"/>
      <c r="I113" s="8"/>
      <c r="R113" s="177" t="str">
        <f ca="1">IFERROR(OFFSET('4.2民生電力需要量'!$I$1,MATCH($D112,'4.2民生電力需要量'!$E:$E,0)-1,0),"")</f>
        <v/>
      </c>
      <c r="S113" s="177"/>
      <c r="T113" s="177"/>
      <c r="U113" s="177"/>
      <c r="V113" s="177"/>
      <c r="W113" s="177">
        <f t="shared" ref="W113:W114" ca="1" si="35">(F113=R113)*1</f>
        <v>1</v>
      </c>
    </row>
    <row r="114" spans="1:23" customFormat="1">
      <c r="B114" s="7"/>
      <c r="C114" s="74"/>
      <c r="D114" s="66"/>
      <c r="E114" s="72" t="s">
        <v>176</v>
      </c>
      <c r="F114" s="1070" t="str">
        <f>_xlfn.IFNA(R114,"")</f>
        <v/>
      </c>
      <c r="G114" s="1071"/>
      <c r="H114" s="1072"/>
      <c r="I114" s="8"/>
      <c r="R114" s="131" t="str">
        <f>IF(OR(COUNTIF($E116:$E121,"&lt;&gt;〇〇(合意形成対象者名に書き換え)")=3,COUNTIF($E116:$E121,"")&gt;3),"",IF(PRODUCT($U116:$U121)=1,V116,""))</f>
        <v/>
      </c>
      <c r="S114" s="177"/>
      <c r="T114" s="177"/>
      <c r="U114" s="177"/>
      <c r="V114" s="177"/>
      <c r="W114" s="177">
        <f t="shared" si="35"/>
        <v>1</v>
      </c>
    </row>
    <row r="115" spans="1:23" ht="63.75" customHeight="1">
      <c r="B115" s="97"/>
      <c r="C115" s="98"/>
      <c r="D115" s="99"/>
      <c r="E115" s="374"/>
      <c r="F115" s="315" t="s">
        <v>283</v>
      </c>
      <c r="G115" s="315" t="s">
        <v>284</v>
      </c>
      <c r="H115" s="315" t="s">
        <v>281</v>
      </c>
      <c r="I115" s="100"/>
      <c r="J115" s="11"/>
      <c r="R115" s="128" t="s">
        <v>272</v>
      </c>
      <c r="S115" s="128" t="s">
        <v>432</v>
      </c>
      <c r="T115" s="131" t="s">
        <v>408</v>
      </c>
      <c r="U115" s="131" t="s">
        <v>436</v>
      </c>
      <c r="V115" s="128" t="s">
        <v>431</v>
      </c>
      <c r="W115" s="257"/>
    </row>
    <row r="116" spans="1:23" hidden="1">
      <c r="B116" s="97"/>
      <c r="C116" s="98"/>
      <c r="D116" s="99"/>
      <c r="E116" s="444"/>
      <c r="F116" s="445"/>
      <c r="G116" s="441"/>
      <c r="H116" s="441"/>
      <c r="I116" s="100"/>
      <c r="J116" s="11"/>
      <c r="R116" s="131">
        <f>IF(AND(F116="実施済",G116="実施済",H116="完了"),3,0)</f>
        <v>0</v>
      </c>
      <c r="S116" s="131" t="str">
        <f>IF(OR(E116="〇〇(合意形成対象者名に書き換え)",E116=""),"",R116)</f>
        <v/>
      </c>
      <c r="T116" s="131">
        <f t="shared" ref="T116:T121" si="36">MIN($S$116:$S$121)+1</f>
        <v>1</v>
      </c>
      <c r="U116" s="131">
        <f>IF(E116="",1,IF(AND(E116="〇〇(合意形成対象者名に書き換え)",COUNTA($F116:$H116)=0),1,IF(AND(E116&lt;&gt;"〇〇(合意形成対象者名に書き換え)",COUNTA($F116:$H116)=3),1,0)))</f>
        <v>1</v>
      </c>
      <c r="V116" s="131" t="str" cm="1">
        <f t="array" ref="V116">_xlfn.IFS(T116=4,"A",T116=3,"B",T116=2,"C",T116=1,"D")</f>
        <v>D</v>
      </c>
      <c r="W116" s="257"/>
    </row>
    <row r="117" spans="1:23">
      <c r="B117" s="97"/>
      <c r="C117" s="98"/>
      <c r="D117" s="99"/>
      <c r="E117" s="102" t="s">
        <v>129</v>
      </c>
      <c r="F117" s="449"/>
      <c r="G117" s="443"/>
      <c r="H117" s="443"/>
      <c r="I117" s="100"/>
      <c r="J117" s="11"/>
      <c r="R117" s="131">
        <f t="shared" ref="R117:R121" si="37">IF(AND(F117="実施済",G117="実施済",H117="完了"),3,0)</f>
        <v>0</v>
      </c>
      <c r="S117" s="131" t="str">
        <f t="shared" ref="S117:S121" si="38">IF(OR(E117="〇〇(合意形成対象者名に書き換え)",E117=""),"",R117)</f>
        <v/>
      </c>
      <c r="T117" s="131">
        <f t="shared" si="36"/>
        <v>1</v>
      </c>
      <c r="U117" s="131">
        <f>IF(E117="",1,IF(AND(E117="〇〇(合意形成対象者名に書き換え)",COUNTA($F117:$H117)=0),1,IF(AND(E117&lt;&gt;"〇〇(合意形成対象者名に書き換え)",COUNTA($F117:$H117)=3),1,0)))</f>
        <v>1</v>
      </c>
      <c r="V117" s="131" t="str" cm="1">
        <f t="array" ref="V117">_xlfn.IFS(T117=4,"A",T117=3,"B",T117=2,"C",T117=1,"D")</f>
        <v>D</v>
      </c>
      <c r="W117" s="257"/>
    </row>
    <row r="118" spans="1:23">
      <c r="B118" s="97"/>
      <c r="C118" s="98"/>
      <c r="D118" s="99"/>
      <c r="E118" s="102" t="s">
        <v>129</v>
      </c>
      <c r="F118" s="449"/>
      <c r="G118" s="443"/>
      <c r="H118" s="443"/>
      <c r="I118" s="100"/>
      <c r="J118" s="11"/>
      <c r="R118" s="131">
        <f t="shared" si="37"/>
        <v>0</v>
      </c>
      <c r="S118" s="131" t="str">
        <f t="shared" si="38"/>
        <v/>
      </c>
      <c r="T118" s="131">
        <f t="shared" si="36"/>
        <v>1</v>
      </c>
      <c r="U118" s="131">
        <f>IF(E118="",1,IF(AND(E118="〇〇(合意形成対象者名に書き換え)",COUNTA($F118:$H118)=0),1,IF(AND(E118&lt;&gt;"〇〇(合意形成対象者名に書き換え)",COUNTA($F118:$H118)=3),1,0)))</f>
        <v>1</v>
      </c>
      <c r="V118" s="131" t="str" cm="1">
        <f t="array" ref="V118">_xlfn.IFS(T118=4,"A",T118=3,"B",T118=2,"C",T118=1,"D")</f>
        <v>D</v>
      </c>
      <c r="W118" s="257"/>
    </row>
    <row r="119" spans="1:23" s="101" customFormat="1">
      <c r="A119" s="11"/>
      <c r="B119" s="97"/>
      <c r="C119" s="98"/>
      <c r="D119" s="99"/>
      <c r="E119" s="102" t="s">
        <v>129</v>
      </c>
      <c r="F119" s="449"/>
      <c r="G119" s="443"/>
      <c r="H119" s="443"/>
      <c r="I119" s="100"/>
      <c r="J119" s="11"/>
      <c r="M119" s="11"/>
      <c r="N119" s="11"/>
      <c r="O119" s="11"/>
      <c r="P119" s="11"/>
      <c r="Q119" s="11"/>
      <c r="R119" s="131">
        <f t="shared" si="37"/>
        <v>0</v>
      </c>
      <c r="S119" s="131" t="str">
        <f t="shared" si="38"/>
        <v/>
      </c>
      <c r="T119" s="131">
        <f t="shared" si="36"/>
        <v>1</v>
      </c>
      <c r="U119" s="131">
        <f>IF(E119="",1,IF(AND(E119="〇〇(合意形成対象者名に書き換え)",COUNTA($F119:$H119)=0),1,IF(AND(E119&lt;&gt;"〇〇(合意形成対象者名に書き換え)",COUNTA($F119:$H119)=3),1,0)))</f>
        <v>1</v>
      </c>
      <c r="V119" s="131" t="str" cm="1">
        <f t="array" ref="V119">_xlfn.IFS(T119=4,"A",T119=3,"B",T119=2,"C",T119=1,"D")</f>
        <v>D</v>
      </c>
      <c r="W119" s="131"/>
    </row>
    <row r="120" spans="1:23" customFormat="1" ht="7.5" customHeight="1">
      <c r="B120" s="65"/>
      <c r="C120" s="4"/>
      <c r="D120" s="4"/>
      <c r="E120" s="4"/>
      <c r="F120" s="4"/>
      <c r="G120" s="4"/>
      <c r="H120" s="4"/>
      <c r="I120" s="9"/>
      <c r="J120" s="2"/>
      <c r="K120" s="2"/>
      <c r="L120" s="2"/>
      <c r="R120" s="131">
        <f t="shared" si="37"/>
        <v>0</v>
      </c>
      <c r="S120" s="131" t="str">
        <f t="shared" si="38"/>
        <v/>
      </c>
      <c r="T120" s="131">
        <f t="shared" si="36"/>
        <v>1</v>
      </c>
      <c r="U120" s="131">
        <f t="shared" ref="U120:U121" si="39">IF(E120="",1,IF(AND(E120="〇〇(合意形成対象者名に書き換え)",COUNTA($F120:$H120)=0),1,IF(AND(E120&lt;&gt;"〇〇(合意形成対象者名に書き換え)",COUNTA($F120:$H120)=3),1,0)))</f>
        <v>1</v>
      </c>
      <c r="V120" s="131" t="str" cm="1">
        <f t="array" ref="V120">_xlfn.IFS(T120=4,"A",T120=3,"B",T120=2,"C",T120=1,"D")</f>
        <v>D</v>
      </c>
      <c r="W120" s="177"/>
    </row>
    <row r="121" spans="1:23" customFormat="1" ht="6" customHeight="1">
      <c r="J121" s="2"/>
      <c r="K121" s="2"/>
      <c r="L121" s="2"/>
      <c r="R121" s="131">
        <f t="shared" si="37"/>
        <v>0</v>
      </c>
      <c r="S121" s="131" t="str">
        <f t="shared" si="38"/>
        <v/>
      </c>
      <c r="T121" s="131">
        <f t="shared" si="36"/>
        <v>1</v>
      </c>
      <c r="U121" s="131">
        <f t="shared" si="39"/>
        <v>1</v>
      </c>
      <c r="V121" s="131" t="str" cm="1">
        <f t="array" ref="V121">_xlfn.IFS(T121=4,"A",T121=3,"B",T121=2,"C",T121=1,"D")</f>
        <v>D</v>
      </c>
      <c r="W121" s="177"/>
    </row>
    <row r="122" spans="1:23" customFormat="1" ht="103.5" customHeight="1">
      <c r="C122" s="78"/>
      <c r="D122" s="79"/>
      <c r="E122" s="71" t="s">
        <v>238</v>
      </c>
      <c r="F122" s="1057"/>
      <c r="G122" s="1057"/>
      <c r="H122" s="1057"/>
      <c r="I122" s="80" t="s">
        <v>132</v>
      </c>
      <c r="J122" s="80"/>
    </row>
    <row r="123" spans="1:23" customFormat="1" ht="146.25" customHeight="1">
      <c r="C123" s="75"/>
      <c r="D123" s="68"/>
      <c r="E123" s="71" t="s">
        <v>237</v>
      </c>
      <c r="F123" s="1057"/>
      <c r="G123" s="1057"/>
      <c r="H123" s="1057"/>
      <c r="J123" s="2"/>
      <c r="K123" s="2"/>
      <c r="L123" s="2"/>
    </row>
    <row r="124" spans="1:23" customFormat="1" ht="13.5" customHeight="1" thickBot="1">
      <c r="A124" s="81"/>
      <c r="B124" s="81"/>
      <c r="C124" s="81"/>
      <c r="D124" s="81"/>
      <c r="E124" s="81"/>
      <c r="F124" s="81"/>
      <c r="G124" s="81"/>
      <c r="H124" s="81"/>
      <c r="I124" s="81"/>
      <c r="J124" s="82"/>
      <c r="K124" s="2"/>
      <c r="L124" s="2"/>
    </row>
    <row r="125" spans="1:23" customFormat="1" ht="13.5" customHeight="1">
      <c r="J125" s="2"/>
      <c r="K125" s="2"/>
      <c r="L125" s="2"/>
    </row>
    <row r="126" spans="1:23" customFormat="1" ht="15" customHeight="1">
      <c r="B126" s="10"/>
      <c r="C126" s="5"/>
      <c r="D126" s="5"/>
      <c r="E126" s="5"/>
      <c r="F126" s="5"/>
      <c r="G126" s="5"/>
      <c r="H126" s="5"/>
      <c r="I126" s="6"/>
      <c r="R126" s="11" t="str">
        <f>D127</f>
        <v>(選択してください)</v>
      </c>
    </row>
    <row r="127" spans="1:23" customFormat="1">
      <c r="B127" s="7"/>
      <c r="C127" s="77" t="str">
        <f ca="1">IFERROR(OFFSET('4.2民生電力需要量'!$C$8,MATCH(D127,'4.2民生電力需要量'!$E$9:$E$49,0),0),"")</f>
        <v/>
      </c>
      <c r="D127" s="96" t="s">
        <v>130</v>
      </c>
      <c r="E127" s="72" t="s">
        <v>131</v>
      </c>
      <c r="F127" s="1063" t="str">
        <f ca="1">IFERROR(OFFSET('4.2民生電力需要量'!$G$1,MATCH($D127,'4.2民生電力需要量'!$E:$E,0)-1,0),"")</f>
        <v/>
      </c>
      <c r="G127" s="1063"/>
      <c r="H127" s="1063"/>
      <c r="I127" s="8"/>
      <c r="R127" s="257" t="str">
        <f ca="1">IFERROR(OFFSET('4.2民生電力需要量'!$G$1,MATCH($D127,'4.2民生電力需要量'!$E:$E,0)-1,0),"")</f>
        <v/>
      </c>
      <c r="S127" s="177"/>
      <c r="T127" s="177"/>
      <c r="U127" s="177"/>
      <c r="V127" s="177"/>
      <c r="W127" s="177">
        <f ca="1">(F127=R127)*1</f>
        <v>1</v>
      </c>
    </row>
    <row r="128" spans="1:23" customFormat="1">
      <c r="B128" s="7"/>
      <c r="C128" s="74"/>
      <c r="D128" s="66"/>
      <c r="E128" s="72" t="s">
        <v>221</v>
      </c>
      <c r="F128" s="1062" t="str">
        <f ca="1">IFERROR(OFFSET('4.2民生電力需要量'!$I$1,MATCH($D127,'4.2民生電力需要量'!$E:$E,0)-1,0),"")</f>
        <v/>
      </c>
      <c r="G128" s="1062"/>
      <c r="H128" s="1062"/>
      <c r="I128" s="8"/>
      <c r="R128" s="177" t="str">
        <f ca="1">IFERROR(OFFSET('4.2民生電力需要量'!$I$1,MATCH($D127,'4.2民生電力需要量'!$E:$E,0)-1,0),"")</f>
        <v/>
      </c>
      <c r="S128" s="177"/>
      <c r="T128" s="177"/>
      <c r="U128" s="177"/>
      <c r="V128" s="177"/>
      <c r="W128" s="177">
        <f t="shared" ref="W128:W129" ca="1" si="40">(F128=R128)*1</f>
        <v>1</v>
      </c>
    </row>
    <row r="129" spans="1:23" customFormat="1">
      <c r="B129" s="7"/>
      <c r="C129" s="74"/>
      <c r="D129" s="66"/>
      <c r="E129" s="72" t="s">
        <v>176</v>
      </c>
      <c r="F129" s="1070" t="str">
        <f>_xlfn.IFNA(R129,"")</f>
        <v/>
      </c>
      <c r="G129" s="1071"/>
      <c r="H129" s="1072"/>
      <c r="I129" s="8"/>
      <c r="R129" s="131" t="str">
        <f>IF(OR(COUNTIF($E131:$E136,"&lt;&gt;〇〇(合意形成対象者名に書き換え)")=3,COUNTIF($E131:$E136,"")&gt;3),"",IF(PRODUCT($U131:$U136)=1,V131,""))</f>
        <v/>
      </c>
      <c r="S129" s="177"/>
      <c r="T129" s="177"/>
      <c r="U129" s="177"/>
      <c r="V129" s="177"/>
      <c r="W129" s="177">
        <f t="shared" si="40"/>
        <v>1</v>
      </c>
    </row>
    <row r="130" spans="1:23" ht="63.75" customHeight="1">
      <c r="B130" s="97"/>
      <c r="C130" s="98"/>
      <c r="D130" s="99"/>
      <c r="E130" s="374"/>
      <c r="F130" s="315" t="s">
        <v>283</v>
      </c>
      <c r="G130" s="315" t="s">
        <v>284</v>
      </c>
      <c r="H130" s="315" t="s">
        <v>281</v>
      </c>
      <c r="I130" s="100"/>
      <c r="J130" s="11"/>
      <c r="R130" s="128" t="s">
        <v>272</v>
      </c>
      <c r="S130" s="128" t="s">
        <v>432</v>
      </c>
      <c r="T130" s="131" t="s">
        <v>408</v>
      </c>
      <c r="U130" s="131" t="s">
        <v>436</v>
      </c>
      <c r="V130" s="128" t="s">
        <v>431</v>
      </c>
      <c r="W130" s="257"/>
    </row>
    <row r="131" spans="1:23" hidden="1">
      <c r="B131" s="97"/>
      <c r="C131" s="98"/>
      <c r="D131" s="99"/>
      <c r="E131" s="444"/>
      <c r="F131" s="445"/>
      <c r="G131" s="441"/>
      <c r="H131" s="441"/>
      <c r="I131" s="100"/>
      <c r="J131" s="11"/>
      <c r="R131" s="131">
        <f>IF(AND(F131="実施済",G131="実施済",H131="完了"),3,0)</f>
        <v>0</v>
      </c>
      <c r="S131" s="131" t="str">
        <f>IF(OR(E131="〇〇(合意形成対象者名に書き換え)",E131=""),"",R131)</f>
        <v/>
      </c>
      <c r="T131" s="131">
        <f t="shared" ref="T131:T136" si="41">MIN($S$131:$S$136)+1</f>
        <v>1</v>
      </c>
      <c r="U131" s="131">
        <f>IF(E131="",1,IF(AND(E131="〇〇(合意形成対象者名に書き換え)",COUNTA($F131:$H131)=0),1,IF(AND(E131&lt;&gt;"〇〇(合意形成対象者名に書き換え)",COUNTA($F131:$H131)=3),1,0)))</f>
        <v>1</v>
      </c>
      <c r="V131" s="131" t="str" cm="1">
        <f t="array" ref="V131">_xlfn.IFS(T131=4,"A",T131=3,"B",T131=2,"C",T131=1,"D")</f>
        <v>D</v>
      </c>
      <c r="W131" s="257"/>
    </row>
    <row r="132" spans="1:23">
      <c r="B132" s="97"/>
      <c r="C132" s="98"/>
      <c r="D132" s="99"/>
      <c r="E132" s="102" t="s">
        <v>129</v>
      </c>
      <c r="F132" s="449"/>
      <c r="G132" s="443"/>
      <c r="H132" s="443"/>
      <c r="I132" s="100"/>
      <c r="J132" s="11"/>
      <c r="R132" s="131">
        <f t="shared" ref="R132:R136" si="42">IF(AND(F132="実施済",G132="実施済",H132="完了"),3,0)</f>
        <v>0</v>
      </c>
      <c r="S132" s="131" t="str">
        <f t="shared" ref="S132:S136" si="43">IF(OR(E132="〇〇(合意形成対象者名に書き換え)",E132=""),"",R132)</f>
        <v/>
      </c>
      <c r="T132" s="131">
        <f t="shared" si="41"/>
        <v>1</v>
      </c>
      <c r="U132" s="131">
        <f>IF(E132="",1,IF(AND(E132="〇〇(合意形成対象者名に書き換え)",COUNTA($F132:$H132)=0),1,IF(AND(E132&lt;&gt;"〇〇(合意形成対象者名に書き換え)",COUNTA($F132:$H132)=3),1,0)))</f>
        <v>1</v>
      </c>
      <c r="V132" s="131" t="str" cm="1">
        <f t="array" ref="V132">_xlfn.IFS(T132=4,"A",T132=3,"B",T132=2,"C",T132=1,"D")</f>
        <v>D</v>
      </c>
      <c r="W132" s="257"/>
    </row>
    <row r="133" spans="1:23">
      <c r="B133" s="97"/>
      <c r="C133" s="98"/>
      <c r="D133" s="99"/>
      <c r="E133" s="102" t="s">
        <v>129</v>
      </c>
      <c r="F133" s="449"/>
      <c r="G133" s="443"/>
      <c r="H133" s="443"/>
      <c r="I133" s="100"/>
      <c r="J133" s="11"/>
      <c r="R133" s="131">
        <f t="shared" si="42"/>
        <v>0</v>
      </c>
      <c r="S133" s="131" t="str">
        <f t="shared" si="43"/>
        <v/>
      </c>
      <c r="T133" s="131">
        <f t="shared" si="41"/>
        <v>1</v>
      </c>
      <c r="U133" s="131">
        <f>IF(E133="",1,IF(AND(E133="〇〇(合意形成対象者名に書き換え)",COUNTA($F133:$H133)=0),1,IF(AND(E133&lt;&gt;"〇〇(合意形成対象者名に書き換え)",COUNTA($F133:$H133)=3),1,0)))</f>
        <v>1</v>
      </c>
      <c r="V133" s="131" t="str" cm="1">
        <f t="array" ref="V133">_xlfn.IFS(T133=4,"A",T133=3,"B",T133=2,"C",T133=1,"D")</f>
        <v>D</v>
      </c>
      <c r="W133" s="257"/>
    </row>
    <row r="134" spans="1:23" s="101" customFormat="1">
      <c r="A134" s="11"/>
      <c r="B134" s="97"/>
      <c r="C134" s="98"/>
      <c r="D134" s="99"/>
      <c r="E134" s="102" t="s">
        <v>129</v>
      </c>
      <c r="F134" s="449"/>
      <c r="G134" s="443"/>
      <c r="H134" s="443"/>
      <c r="I134" s="100"/>
      <c r="J134" s="11"/>
      <c r="M134" s="11"/>
      <c r="N134" s="11"/>
      <c r="O134" s="11"/>
      <c r="P134" s="11"/>
      <c r="Q134" s="11"/>
      <c r="R134" s="131">
        <f t="shared" si="42"/>
        <v>0</v>
      </c>
      <c r="S134" s="131" t="str">
        <f t="shared" si="43"/>
        <v/>
      </c>
      <c r="T134" s="131">
        <f t="shared" si="41"/>
        <v>1</v>
      </c>
      <c r="U134" s="131">
        <f>IF(E134="",1,IF(AND(E134="〇〇(合意形成対象者名に書き換え)",COUNTA($F134:$H134)=0),1,IF(AND(E134&lt;&gt;"〇〇(合意形成対象者名に書き換え)",COUNTA($F134:$H134)=3),1,0)))</f>
        <v>1</v>
      </c>
      <c r="V134" s="131" t="str" cm="1">
        <f t="array" ref="V134">_xlfn.IFS(T134=4,"A",T134=3,"B",T134=2,"C",T134=1,"D")</f>
        <v>D</v>
      </c>
      <c r="W134" s="131"/>
    </row>
    <row r="135" spans="1:23" customFormat="1" ht="7.5" customHeight="1">
      <c r="B135" s="65"/>
      <c r="C135" s="4"/>
      <c r="D135" s="4"/>
      <c r="E135" s="4"/>
      <c r="F135" s="4"/>
      <c r="G135" s="4"/>
      <c r="H135" s="4"/>
      <c r="I135" s="9"/>
      <c r="J135" s="2"/>
      <c r="K135" s="2"/>
      <c r="L135" s="2"/>
      <c r="R135" s="131">
        <f t="shared" si="42"/>
        <v>0</v>
      </c>
      <c r="S135" s="131" t="str">
        <f t="shared" si="43"/>
        <v/>
      </c>
      <c r="T135" s="131">
        <f t="shared" si="41"/>
        <v>1</v>
      </c>
      <c r="U135" s="131">
        <f t="shared" ref="U135:U136" si="44">IF(E135="",1,IF(AND(E135="〇〇(合意形成対象者名に書き換え)",COUNTA($F135:$H135)=0),1,IF(AND(E135&lt;&gt;"〇〇(合意形成対象者名に書き換え)",COUNTA($F135:$H135)=3),1,0)))</f>
        <v>1</v>
      </c>
      <c r="V135" s="131" t="str" cm="1">
        <f t="array" ref="V135">_xlfn.IFS(T135=4,"A",T135=3,"B",T135=2,"C",T135=1,"D")</f>
        <v>D</v>
      </c>
      <c r="W135" s="177"/>
    </row>
    <row r="136" spans="1:23" customFormat="1" ht="6" customHeight="1">
      <c r="J136" s="2"/>
      <c r="K136" s="2"/>
      <c r="L136" s="2"/>
      <c r="R136" s="131">
        <f t="shared" si="42"/>
        <v>0</v>
      </c>
      <c r="S136" s="131" t="str">
        <f t="shared" si="43"/>
        <v/>
      </c>
      <c r="T136" s="131">
        <f t="shared" si="41"/>
        <v>1</v>
      </c>
      <c r="U136" s="131">
        <f t="shared" si="44"/>
        <v>1</v>
      </c>
      <c r="V136" s="131" t="str" cm="1">
        <f t="array" ref="V136">_xlfn.IFS(T136=4,"A",T136=3,"B",T136=2,"C",T136=1,"D")</f>
        <v>D</v>
      </c>
      <c r="W136" s="177"/>
    </row>
    <row r="137" spans="1:23" customFormat="1" ht="103.5" customHeight="1">
      <c r="C137" s="78"/>
      <c r="D137" s="79"/>
      <c r="E137" s="71" t="s">
        <v>238</v>
      </c>
      <c r="F137" s="1057"/>
      <c r="G137" s="1057"/>
      <c r="H137" s="1057"/>
      <c r="I137" s="80" t="s">
        <v>132</v>
      </c>
      <c r="J137" s="80"/>
    </row>
    <row r="138" spans="1:23" customFormat="1" ht="146.25" customHeight="1">
      <c r="C138" s="75"/>
      <c r="D138" s="68"/>
      <c r="E138" s="71" t="s">
        <v>237</v>
      </c>
      <c r="F138" s="1057"/>
      <c r="G138" s="1057"/>
      <c r="H138" s="1057"/>
      <c r="J138" s="2"/>
      <c r="K138" s="2"/>
      <c r="L138" s="2"/>
    </row>
    <row r="139" spans="1:23" customFormat="1" ht="13.5" customHeight="1" thickBot="1">
      <c r="A139" s="81"/>
      <c r="B139" s="81"/>
      <c r="C139" s="81"/>
      <c r="D139" s="81"/>
      <c r="E139" s="81"/>
      <c r="F139" s="81"/>
      <c r="G139" s="81"/>
      <c r="H139" s="81"/>
      <c r="I139" s="81"/>
      <c r="J139" s="82"/>
      <c r="K139" s="2"/>
      <c r="L139" s="2"/>
    </row>
    <row r="140" spans="1:23" customFormat="1" ht="13.5" customHeight="1">
      <c r="J140" s="2"/>
      <c r="K140" s="2"/>
      <c r="L140" s="2"/>
    </row>
    <row r="141" spans="1:23" customFormat="1" ht="15" customHeight="1">
      <c r="B141" s="10"/>
      <c r="C141" s="5"/>
      <c r="D141" s="5"/>
      <c r="E141" s="5"/>
      <c r="F141" s="5"/>
      <c r="G141" s="5"/>
      <c r="H141" s="5"/>
      <c r="I141" s="6"/>
      <c r="R141" s="11" t="str">
        <f>D142</f>
        <v>(選択してください)</v>
      </c>
    </row>
    <row r="142" spans="1:23" customFormat="1">
      <c r="B142" s="7"/>
      <c r="C142" s="77" t="str">
        <f ca="1">IFERROR(OFFSET('4.2民生電力需要量'!$C$8,MATCH(D142,'4.2民生電力需要量'!$E$9:$E$49,0),0),"")</f>
        <v/>
      </c>
      <c r="D142" s="96" t="s">
        <v>130</v>
      </c>
      <c r="E142" s="72" t="s">
        <v>131</v>
      </c>
      <c r="F142" s="1063" t="str">
        <f ca="1">IFERROR(OFFSET('4.2民生電力需要量'!$G$1,MATCH($D142,'4.2民生電力需要量'!$E:$E,0)-1,0),"")</f>
        <v/>
      </c>
      <c r="G142" s="1063"/>
      <c r="H142" s="1063"/>
      <c r="I142" s="8"/>
      <c r="R142" s="257" t="str">
        <f ca="1">IFERROR(OFFSET('4.2民生電力需要量'!$G$1,MATCH($D142,'4.2民生電力需要量'!$E:$E,0)-1,0),"")</f>
        <v/>
      </c>
      <c r="S142" s="177"/>
      <c r="T142" s="177"/>
      <c r="U142" s="177"/>
      <c r="V142" s="177"/>
      <c r="W142" s="177">
        <f ca="1">(F142=R142)*1</f>
        <v>1</v>
      </c>
    </row>
    <row r="143" spans="1:23" customFormat="1">
      <c r="B143" s="7"/>
      <c r="C143" s="74"/>
      <c r="D143" s="66"/>
      <c r="E143" s="72" t="s">
        <v>221</v>
      </c>
      <c r="F143" s="1062" t="str">
        <f ca="1">IFERROR(OFFSET('4.2民生電力需要量'!$I$1,MATCH($D142,'4.2民生電力需要量'!$E:$E,0)-1,0),"")</f>
        <v/>
      </c>
      <c r="G143" s="1062"/>
      <c r="H143" s="1062"/>
      <c r="I143" s="8"/>
      <c r="R143" s="177" t="str">
        <f ca="1">IFERROR(OFFSET('4.2民生電力需要量'!$I$1,MATCH($D142,'4.2民生電力需要量'!$E:$E,0)-1,0),"")</f>
        <v/>
      </c>
      <c r="S143" s="177"/>
      <c r="T143" s="177"/>
      <c r="U143" s="177"/>
      <c r="V143" s="177"/>
      <c r="W143" s="177">
        <f t="shared" ref="W143:W144" ca="1" si="45">(F143=R143)*1</f>
        <v>1</v>
      </c>
    </row>
    <row r="144" spans="1:23" customFormat="1">
      <c r="B144" s="7"/>
      <c r="C144" s="74"/>
      <c r="D144" s="66"/>
      <c r="E144" s="72" t="s">
        <v>176</v>
      </c>
      <c r="F144" s="1070" t="str">
        <f>_xlfn.IFNA(R144,"")</f>
        <v/>
      </c>
      <c r="G144" s="1071"/>
      <c r="H144" s="1072"/>
      <c r="I144" s="8"/>
      <c r="R144" s="131" t="str">
        <f>IF(OR(COUNTIF($E146:$E151,"&lt;&gt;〇〇(合意形成対象者名に書き換え)")=3,COUNTIF($E146:$E151,"")&gt;3),"",IF(PRODUCT($U146:$U151)=1,V146,""))</f>
        <v/>
      </c>
      <c r="S144" s="177"/>
      <c r="T144" s="177"/>
      <c r="U144" s="177"/>
      <c r="V144" s="177"/>
      <c r="W144" s="177">
        <f t="shared" si="45"/>
        <v>1</v>
      </c>
    </row>
    <row r="145" spans="1:23" ht="63.75" customHeight="1">
      <c r="B145" s="97"/>
      <c r="C145" s="98"/>
      <c r="D145" s="99"/>
      <c r="E145" s="374"/>
      <c r="F145" s="315" t="s">
        <v>283</v>
      </c>
      <c r="G145" s="315" t="s">
        <v>284</v>
      </c>
      <c r="H145" s="315" t="s">
        <v>281</v>
      </c>
      <c r="I145" s="100"/>
      <c r="J145" s="11"/>
      <c r="R145" s="128" t="s">
        <v>272</v>
      </c>
      <c r="S145" s="128" t="s">
        <v>432</v>
      </c>
      <c r="T145" s="131" t="s">
        <v>408</v>
      </c>
      <c r="U145" s="131" t="s">
        <v>436</v>
      </c>
      <c r="V145" s="128" t="s">
        <v>431</v>
      </c>
      <c r="W145" s="257"/>
    </row>
    <row r="146" spans="1:23" hidden="1">
      <c r="B146" s="97"/>
      <c r="C146" s="98"/>
      <c r="D146" s="99"/>
      <c r="E146" s="444"/>
      <c r="F146" s="445"/>
      <c r="G146" s="441"/>
      <c r="H146" s="441"/>
      <c r="I146" s="100"/>
      <c r="J146" s="11"/>
      <c r="R146" s="131">
        <f>IF(AND(F146="実施済",G146="実施済",H146="完了"),3,0)</f>
        <v>0</v>
      </c>
      <c r="S146" s="131" t="str">
        <f>IF(OR(E146="〇〇(合意形成対象者名に書き換え)",E146=""),"",R146)</f>
        <v/>
      </c>
      <c r="T146" s="131">
        <f t="shared" ref="T146:T151" si="46">MIN($S$146:$S$151)+1</f>
        <v>1</v>
      </c>
      <c r="U146" s="131">
        <f>IF(E146="",1,IF(AND(E146="〇〇(合意形成対象者名に書き換え)",COUNTA($F146:$H146)=0),1,IF(AND(E146&lt;&gt;"〇〇(合意形成対象者名に書き換え)",COUNTA($F146:$H146)=3),1,0)))</f>
        <v>1</v>
      </c>
      <c r="V146" s="131" t="str" cm="1">
        <f t="array" ref="V146">_xlfn.IFS(T146=4,"A",T146=3,"B",T146=2,"C",T146=1,"D")</f>
        <v>D</v>
      </c>
      <c r="W146" s="257"/>
    </row>
    <row r="147" spans="1:23">
      <c r="B147" s="97"/>
      <c r="C147" s="98"/>
      <c r="D147" s="99"/>
      <c r="E147" s="102" t="s">
        <v>129</v>
      </c>
      <c r="F147" s="449"/>
      <c r="G147" s="443"/>
      <c r="H147" s="443"/>
      <c r="I147" s="100"/>
      <c r="J147" s="11"/>
      <c r="R147" s="131">
        <f t="shared" ref="R147:R151" si="47">IF(AND(F147="実施済",G147="実施済",H147="完了"),3,0)</f>
        <v>0</v>
      </c>
      <c r="S147" s="131" t="str">
        <f t="shared" ref="S147:S151" si="48">IF(OR(E147="〇〇(合意形成対象者名に書き換え)",E147=""),"",R147)</f>
        <v/>
      </c>
      <c r="T147" s="131">
        <f t="shared" si="46"/>
        <v>1</v>
      </c>
      <c r="U147" s="131">
        <f>IF(E147="",1,IF(AND(E147="〇〇(合意形成対象者名に書き換え)",COUNTA($F147:$H147)=0),1,IF(AND(E147&lt;&gt;"〇〇(合意形成対象者名に書き換え)",COUNTA($F147:$H147)=3),1,0)))</f>
        <v>1</v>
      </c>
      <c r="V147" s="131" t="str" cm="1">
        <f t="array" ref="V147">_xlfn.IFS(T147=4,"A",T147=3,"B",T147=2,"C",T147=1,"D")</f>
        <v>D</v>
      </c>
      <c r="W147" s="257"/>
    </row>
    <row r="148" spans="1:23">
      <c r="B148" s="97"/>
      <c r="C148" s="98"/>
      <c r="D148" s="99"/>
      <c r="E148" s="102" t="s">
        <v>129</v>
      </c>
      <c r="F148" s="449"/>
      <c r="G148" s="443"/>
      <c r="H148" s="443"/>
      <c r="I148" s="100"/>
      <c r="J148" s="11"/>
      <c r="R148" s="131">
        <f t="shared" si="47"/>
        <v>0</v>
      </c>
      <c r="S148" s="131" t="str">
        <f t="shared" si="48"/>
        <v/>
      </c>
      <c r="T148" s="131">
        <f t="shared" si="46"/>
        <v>1</v>
      </c>
      <c r="U148" s="131">
        <f>IF(E148="",1,IF(AND(E148="〇〇(合意形成対象者名に書き換え)",COUNTA($F148:$H148)=0),1,IF(AND(E148&lt;&gt;"〇〇(合意形成対象者名に書き換え)",COUNTA($F148:$H148)=3),1,0)))</f>
        <v>1</v>
      </c>
      <c r="V148" s="131" t="str" cm="1">
        <f t="array" ref="V148">_xlfn.IFS(T148=4,"A",T148=3,"B",T148=2,"C",T148=1,"D")</f>
        <v>D</v>
      </c>
      <c r="W148" s="257"/>
    </row>
    <row r="149" spans="1:23" s="101" customFormat="1">
      <c r="A149" s="11"/>
      <c r="B149" s="97"/>
      <c r="C149" s="98"/>
      <c r="D149" s="99"/>
      <c r="E149" s="102" t="s">
        <v>129</v>
      </c>
      <c r="F149" s="449"/>
      <c r="G149" s="443"/>
      <c r="H149" s="443"/>
      <c r="I149" s="100"/>
      <c r="J149" s="11"/>
      <c r="M149" s="11"/>
      <c r="N149" s="11"/>
      <c r="O149" s="11"/>
      <c r="P149" s="11"/>
      <c r="Q149" s="11"/>
      <c r="R149" s="131">
        <f t="shared" si="47"/>
        <v>0</v>
      </c>
      <c r="S149" s="131" t="str">
        <f t="shared" si="48"/>
        <v/>
      </c>
      <c r="T149" s="131">
        <f t="shared" si="46"/>
        <v>1</v>
      </c>
      <c r="U149" s="131">
        <f>IF(E149="",1,IF(AND(E149="〇〇(合意形成対象者名に書き換え)",COUNTA($F149:$H149)=0),1,IF(AND(E149&lt;&gt;"〇〇(合意形成対象者名に書き換え)",COUNTA($F149:$H149)=3),1,0)))</f>
        <v>1</v>
      </c>
      <c r="V149" s="131" t="str" cm="1">
        <f t="array" ref="V149">_xlfn.IFS(T149=4,"A",T149=3,"B",T149=2,"C",T149=1,"D")</f>
        <v>D</v>
      </c>
      <c r="W149" s="131"/>
    </row>
    <row r="150" spans="1:23" customFormat="1" ht="7.5" customHeight="1">
      <c r="B150" s="65"/>
      <c r="C150" s="4"/>
      <c r="D150" s="4"/>
      <c r="E150" s="4"/>
      <c r="F150" s="4"/>
      <c r="G150" s="4"/>
      <c r="H150" s="4"/>
      <c r="I150" s="9"/>
      <c r="J150" s="2"/>
      <c r="K150" s="2"/>
      <c r="L150" s="2"/>
      <c r="R150" s="131">
        <f t="shared" si="47"/>
        <v>0</v>
      </c>
      <c r="S150" s="131" t="str">
        <f t="shared" si="48"/>
        <v/>
      </c>
      <c r="T150" s="131">
        <f t="shared" si="46"/>
        <v>1</v>
      </c>
      <c r="U150" s="131">
        <f t="shared" ref="U150:U151" si="49">IF(E150="",1,IF(AND(E150="〇〇(合意形成対象者名に書き換え)",COUNTA($F150:$H150)=0),1,IF(AND(E150&lt;&gt;"〇〇(合意形成対象者名に書き換え)",COUNTA($F150:$H150)=3),1,0)))</f>
        <v>1</v>
      </c>
      <c r="V150" s="131" t="str" cm="1">
        <f t="array" ref="V150">_xlfn.IFS(T150=4,"A",T150=3,"B",T150=2,"C",T150=1,"D")</f>
        <v>D</v>
      </c>
      <c r="W150" s="177"/>
    </row>
    <row r="151" spans="1:23" customFormat="1" ht="6" customHeight="1">
      <c r="J151" s="2"/>
      <c r="K151" s="2"/>
      <c r="L151" s="2"/>
      <c r="R151" s="131">
        <f t="shared" si="47"/>
        <v>0</v>
      </c>
      <c r="S151" s="131" t="str">
        <f t="shared" si="48"/>
        <v/>
      </c>
      <c r="T151" s="131">
        <f t="shared" si="46"/>
        <v>1</v>
      </c>
      <c r="U151" s="131">
        <f t="shared" si="49"/>
        <v>1</v>
      </c>
      <c r="V151" s="131" t="str" cm="1">
        <f t="array" ref="V151">_xlfn.IFS(T151=4,"A",T151=3,"B",T151=2,"C",T151=1,"D")</f>
        <v>D</v>
      </c>
      <c r="W151" s="177"/>
    </row>
    <row r="152" spans="1:23" customFormat="1" ht="103.5" customHeight="1">
      <c r="C152" s="78"/>
      <c r="D152" s="79"/>
      <c r="E152" s="71" t="s">
        <v>238</v>
      </c>
      <c r="F152" s="1057"/>
      <c r="G152" s="1057"/>
      <c r="H152" s="1057"/>
      <c r="I152" s="80" t="s">
        <v>132</v>
      </c>
      <c r="J152" s="80"/>
    </row>
    <row r="153" spans="1:23" customFormat="1" ht="146.25" customHeight="1">
      <c r="C153" s="75"/>
      <c r="D153" s="68"/>
      <c r="E153" s="71" t="s">
        <v>237</v>
      </c>
      <c r="F153" s="1057"/>
      <c r="G153" s="1057"/>
      <c r="H153" s="1057"/>
      <c r="J153" s="2"/>
      <c r="K153" s="2"/>
      <c r="L153" s="2"/>
    </row>
    <row r="154" spans="1:23" customFormat="1" ht="13.5" customHeight="1" thickBot="1">
      <c r="A154" s="81"/>
      <c r="B154" s="81"/>
      <c r="C154" s="81"/>
      <c r="D154" s="81"/>
      <c r="E154" s="81"/>
      <c r="F154" s="81"/>
      <c r="G154" s="81"/>
      <c r="H154" s="81"/>
      <c r="I154" s="81"/>
      <c r="J154" s="82"/>
      <c r="K154" s="2"/>
      <c r="L154" s="2"/>
    </row>
    <row r="155" spans="1:23" customFormat="1" ht="13.5" customHeight="1">
      <c r="J155" s="2"/>
      <c r="K155" s="2"/>
      <c r="L155" s="2"/>
    </row>
    <row r="156" spans="1:23" customFormat="1" ht="15" customHeight="1">
      <c r="B156" s="10"/>
      <c r="C156" s="5"/>
      <c r="D156" s="5"/>
      <c r="E156" s="5"/>
      <c r="F156" s="5"/>
      <c r="G156" s="5"/>
      <c r="H156" s="5"/>
      <c r="I156" s="6"/>
      <c r="R156" s="11" t="str">
        <f>D157</f>
        <v>(選択してください)</v>
      </c>
    </row>
    <row r="157" spans="1:23" customFormat="1">
      <c r="B157" s="7"/>
      <c r="C157" s="77" t="str">
        <f ca="1">IFERROR(OFFSET('4.2民生電力需要量'!$C$8,MATCH(D157,'4.2民生電力需要量'!$E$9:$E$49,0),0),"")</f>
        <v/>
      </c>
      <c r="D157" s="96" t="s">
        <v>130</v>
      </c>
      <c r="E157" s="72" t="s">
        <v>131</v>
      </c>
      <c r="F157" s="1063" t="str">
        <f ca="1">IFERROR(OFFSET('4.2民生電力需要量'!$G$1,MATCH($D157,'4.2民生電力需要量'!$E:$E,0)-1,0),"")</f>
        <v/>
      </c>
      <c r="G157" s="1063"/>
      <c r="H157" s="1063"/>
      <c r="I157" s="8"/>
      <c r="R157" s="257" t="str">
        <f ca="1">IFERROR(OFFSET('4.2民生電力需要量'!$G$1,MATCH($D157,'4.2民生電力需要量'!$E:$E,0)-1,0),"")</f>
        <v/>
      </c>
      <c r="S157" s="177"/>
      <c r="T157" s="177"/>
      <c r="U157" s="177"/>
      <c r="V157" s="177"/>
      <c r="W157" s="177">
        <f ca="1">(F157=R157)*1</f>
        <v>1</v>
      </c>
    </row>
    <row r="158" spans="1:23" customFormat="1">
      <c r="B158" s="7"/>
      <c r="C158" s="74"/>
      <c r="D158" s="66"/>
      <c r="E158" s="72" t="s">
        <v>221</v>
      </c>
      <c r="F158" s="1062" t="str">
        <f ca="1">IFERROR(OFFSET('4.2民生電力需要量'!$I$1,MATCH($D157,'4.2民生電力需要量'!$E:$E,0)-1,0),"")</f>
        <v/>
      </c>
      <c r="G158" s="1062"/>
      <c r="H158" s="1062"/>
      <c r="I158" s="8"/>
      <c r="R158" s="177" t="str">
        <f ca="1">IFERROR(OFFSET('4.2民生電力需要量'!$I$1,MATCH($D157,'4.2民生電力需要量'!$E:$E,0)-1,0),"")</f>
        <v/>
      </c>
      <c r="S158" s="177"/>
      <c r="T158" s="177"/>
      <c r="U158" s="177"/>
      <c r="V158" s="177"/>
      <c r="W158" s="177">
        <f t="shared" ref="W158:W159" ca="1" si="50">(F158=R158)*1</f>
        <v>1</v>
      </c>
    </row>
    <row r="159" spans="1:23" customFormat="1">
      <c r="B159" s="7"/>
      <c r="C159" s="74"/>
      <c r="D159" s="66"/>
      <c r="E159" s="72" t="s">
        <v>176</v>
      </c>
      <c r="F159" s="1070" t="str">
        <f>_xlfn.IFNA(R159,"")</f>
        <v/>
      </c>
      <c r="G159" s="1071"/>
      <c r="H159" s="1072"/>
      <c r="I159" s="8"/>
      <c r="R159" s="131" t="str">
        <f>IF(OR(COUNTIF($E161:$E166,"&lt;&gt;〇〇(合意形成対象者名に書き換え)")=3,COUNTIF($E161:$E166,"")&gt;3),"",IF(PRODUCT($U161:$U166)=1,V161,""))</f>
        <v/>
      </c>
      <c r="S159" s="177"/>
      <c r="T159" s="177"/>
      <c r="U159" s="177"/>
      <c r="V159" s="177"/>
      <c r="W159" s="177">
        <f t="shared" si="50"/>
        <v>1</v>
      </c>
    </row>
    <row r="160" spans="1:23" ht="63.75" customHeight="1">
      <c r="B160" s="97"/>
      <c r="C160" s="98"/>
      <c r="D160" s="99"/>
      <c r="E160" s="374"/>
      <c r="F160" s="315" t="s">
        <v>283</v>
      </c>
      <c r="G160" s="315" t="s">
        <v>284</v>
      </c>
      <c r="H160" s="315" t="s">
        <v>281</v>
      </c>
      <c r="I160" s="100"/>
      <c r="J160" s="11"/>
      <c r="R160" s="128" t="s">
        <v>272</v>
      </c>
      <c r="S160" s="128" t="s">
        <v>432</v>
      </c>
      <c r="T160" s="131" t="s">
        <v>408</v>
      </c>
      <c r="U160" s="131" t="s">
        <v>436</v>
      </c>
      <c r="V160" s="128" t="s">
        <v>431</v>
      </c>
      <c r="W160" s="257"/>
    </row>
    <row r="161" spans="1:23" hidden="1">
      <c r="B161" s="97"/>
      <c r="C161" s="98"/>
      <c r="D161" s="99"/>
      <c r="E161" s="444"/>
      <c r="F161" s="445"/>
      <c r="G161" s="441"/>
      <c r="H161" s="441"/>
      <c r="I161" s="100"/>
      <c r="J161" s="11"/>
      <c r="R161" s="131">
        <f>IF(AND(F161="実施済",G161="実施済",H161="完了"),3,0)</f>
        <v>0</v>
      </c>
      <c r="S161" s="131" t="str">
        <f>IF(OR(E161="〇〇(合意形成対象者名に書き換え)",E161=""),"",R161)</f>
        <v/>
      </c>
      <c r="T161" s="131">
        <f t="shared" ref="T161:T166" si="51">MIN($S$161:$S$166)+1</f>
        <v>1</v>
      </c>
      <c r="U161" s="131">
        <f>IF(E161="",1,IF(AND(E161="〇〇(合意形成対象者名に書き換え)",COUNTA($F161:$H161)=0),1,IF(AND(E161&lt;&gt;"〇〇(合意形成対象者名に書き換え)",COUNTA($F161:$H161)=3),1,0)))</f>
        <v>1</v>
      </c>
      <c r="V161" s="131" t="str" cm="1">
        <f t="array" ref="V161">_xlfn.IFS(T161=4,"A",T161=3,"B",T161=2,"C",T161=1,"D")</f>
        <v>D</v>
      </c>
      <c r="W161" s="257"/>
    </row>
    <row r="162" spans="1:23">
      <c r="B162" s="97"/>
      <c r="C162" s="98"/>
      <c r="D162" s="99"/>
      <c r="E162" s="102" t="s">
        <v>129</v>
      </c>
      <c r="F162" s="449"/>
      <c r="G162" s="443"/>
      <c r="H162" s="443"/>
      <c r="I162" s="100"/>
      <c r="J162" s="11"/>
      <c r="R162" s="131">
        <f t="shared" ref="R162:R166" si="52">IF(AND(F162="実施済",G162="実施済",H162="完了"),3,0)</f>
        <v>0</v>
      </c>
      <c r="S162" s="131" t="str">
        <f t="shared" ref="S162:S166" si="53">IF(OR(E162="〇〇(合意形成対象者名に書き換え)",E162=""),"",R162)</f>
        <v/>
      </c>
      <c r="T162" s="131">
        <f t="shared" si="51"/>
        <v>1</v>
      </c>
      <c r="U162" s="131">
        <f>IF(E162="",1,IF(AND(E162="〇〇(合意形成対象者名に書き換え)",COUNTA($F162:$H162)=0),1,IF(AND(E162&lt;&gt;"〇〇(合意形成対象者名に書き換え)",COUNTA($F162:$H162)=3),1,0)))</f>
        <v>1</v>
      </c>
      <c r="V162" s="131" t="str" cm="1">
        <f t="array" ref="V162">_xlfn.IFS(T162=4,"A",T162=3,"B",T162=2,"C",T162=1,"D")</f>
        <v>D</v>
      </c>
      <c r="W162" s="257"/>
    </row>
    <row r="163" spans="1:23">
      <c r="B163" s="97"/>
      <c r="C163" s="98"/>
      <c r="D163" s="99"/>
      <c r="E163" s="102" t="s">
        <v>129</v>
      </c>
      <c r="F163" s="449"/>
      <c r="G163" s="443"/>
      <c r="H163" s="443"/>
      <c r="I163" s="100"/>
      <c r="J163" s="11"/>
      <c r="R163" s="131">
        <f t="shared" si="52"/>
        <v>0</v>
      </c>
      <c r="S163" s="131" t="str">
        <f t="shared" si="53"/>
        <v/>
      </c>
      <c r="T163" s="131">
        <f t="shared" si="51"/>
        <v>1</v>
      </c>
      <c r="U163" s="131">
        <f>IF(E163="",1,IF(AND(E163="〇〇(合意形成対象者名に書き換え)",COUNTA($F163:$H163)=0),1,IF(AND(E163&lt;&gt;"〇〇(合意形成対象者名に書き換え)",COUNTA($F163:$H163)=3),1,0)))</f>
        <v>1</v>
      </c>
      <c r="V163" s="131" t="str" cm="1">
        <f t="array" ref="V163">_xlfn.IFS(T163=4,"A",T163=3,"B",T163=2,"C",T163=1,"D")</f>
        <v>D</v>
      </c>
      <c r="W163" s="257"/>
    </row>
    <row r="164" spans="1:23" s="101" customFormat="1">
      <c r="A164" s="11"/>
      <c r="B164" s="97"/>
      <c r="C164" s="98"/>
      <c r="D164" s="99"/>
      <c r="E164" s="102" t="s">
        <v>129</v>
      </c>
      <c r="F164" s="449"/>
      <c r="G164" s="443"/>
      <c r="H164" s="443"/>
      <c r="I164" s="100"/>
      <c r="J164" s="11"/>
      <c r="M164" s="11"/>
      <c r="N164" s="11"/>
      <c r="O164" s="11"/>
      <c r="P164" s="11"/>
      <c r="Q164" s="11"/>
      <c r="R164" s="131">
        <f t="shared" si="52"/>
        <v>0</v>
      </c>
      <c r="S164" s="131" t="str">
        <f t="shared" si="53"/>
        <v/>
      </c>
      <c r="T164" s="131">
        <f t="shared" si="51"/>
        <v>1</v>
      </c>
      <c r="U164" s="131">
        <f>IF(E164="",1,IF(AND(E164="〇〇(合意形成対象者名に書き換え)",COUNTA($F164:$H164)=0),1,IF(AND(E164&lt;&gt;"〇〇(合意形成対象者名に書き換え)",COUNTA($F164:$H164)=3),1,0)))</f>
        <v>1</v>
      </c>
      <c r="V164" s="131" t="str" cm="1">
        <f t="array" ref="V164">_xlfn.IFS(T164=4,"A",T164=3,"B",T164=2,"C",T164=1,"D")</f>
        <v>D</v>
      </c>
      <c r="W164" s="131"/>
    </row>
    <row r="165" spans="1:23" customFormat="1" ht="7.5" customHeight="1">
      <c r="B165" s="65"/>
      <c r="C165" s="4"/>
      <c r="D165" s="4"/>
      <c r="E165" s="4"/>
      <c r="F165" s="4"/>
      <c r="G165" s="4"/>
      <c r="H165" s="4"/>
      <c r="I165" s="9"/>
      <c r="J165" s="2"/>
      <c r="K165" s="2"/>
      <c r="L165" s="2"/>
      <c r="R165" s="131">
        <f t="shared" si="52"/>
        <v>0</v>
      </c>
      <c r="S165" s="131" t="str">
        <f t="shared" si="53"/>
        <v/>
      </c>
      <c r="T165" s="131">
        <f t="shared" si="51"/>
        <v>1</v>
      </c>
      <c r="U165" s="131">
        <f t="shared" ref="U165:U166" si="54">IF(E165="",1,IF(AND(E165="〇〇(合意形成対象者名に書き換え)",COUNTA($F165:$H165)=0),1,IF(AND(E165&lt;&gt;"〇〇(合意形成対象者名に書き換え)",COUNTA($F165:$H165)=3),1,0)))</f>
        <v>1</v>
      </c>
      <c r="V165" s="131" t="str" cm="1">
        <f t="array" ref="V165">_xlfn.IFS(T165=4,"A",T165=3,"B",T165=2,"C",T165=1,"D")</f>
        <v>D</v>
      </c>
      <c r="W165" s="177"/>
    </row>
    <row r="166" spans="1:23" customFormat="1" ht="6" customHeight="1">
      <c r="J166" s="2"/>
      <c r="K166" s="2"/>
      <c r="L166" s="2"/>
      <c r="R166" s="131">
        <f t="shared" si="52"/>
        <v>0</v>
      </c>
      <c r="S166" s="131" t="str">
        <f t="shared" si="53"/>
        <v/>
      </c>
      <c r="T166" s="131">
        <f t="shared" si="51"/>
        <v>1</v>
      </c>
      <c r="U166" s="131">
        <f t="shared" si="54"/>
        <v>1</v>
      </c>
      <c r="V166" s="131" t="str" cm="1">
        <f t="array" ref="V166">_xlfn.IFS(T166=4,"A",T166=3,"B",T166=2,"C",T166=1,"D")</f>
        <v>D</v>
      </c>
      <c r="W166" s="177"/>
    </row>
    <row r="167" spans="1:23" customFormat="1" ht="103.5" customHeight="1">
      <c r="C167" s="78"/>
      <c r="D167" s="79"/>
      <c r="E167" s="71" t="s">
        <v>238</v>
      </c>
      <c r="F167" s="1057"/>
      <c r="G167" s="1057"/>
      <c r="H167" s="1057"/>
      <c r="I167" s="80" t="s">
        <v>132</v>
      </c>
      <c r="J167" s="80"/>
    </row>
    <row r="168" spans="1:23" customFormat="1" ht="146.25" customHeight="1">
      <c r="C168" s="75"/>
      <c r="D168" s="68"/>
      <c r="E168" s="71" t="s">
        <v>237</v>
      </c>
      <c r="F168" s="1057"/>
      <c r="G168" s="1057"/>
      <c r="H168" s="1057"/>
      <c r="J168" s="2"/>
      <c r="K168" s="2"/>
      <c r="L168" s="2"/>
    </row>
    <row r="169" spans="1:23" customFormat="1" ht="13.5" customHeight="1" thickBot="1">
      <c r="A169" s="81"/>
      <c r="B169" s="81"/>
      <c r="C169" s="81"/>
      <c r="D169" s="81"/>
      <c r="E169" s="81"/>
      <c r="F169" s="81"/>
      <c r="G169" s="81"/>
      <c r="H169" s="81"/>
      <c r="I169" s="81"/>
      <c r="J169" s="82"/>
      <c r="K169" s="2"/>
      <c r="L169" s="2"/>
    </row>
    <row r="170" spans="1:23" customFormat="1" ht="13.5" customHeight="1">
      <c r="J170" s="2"/>
      <c r="K170" s="2"/>
      <c r="L170" s="2"/>
    </row>
    <row r="171" spans="1:23" customFormat="1" ht="15" customHeight="1">
      <c r="B171" s="10"/>
      <c r="C171" s="5"/>
      <c r="D171" s="5"/>
      <c r="E171" s="5"/>
      <c r="F171" s="5"/>
      <c r="G171" s="5"/>
      <c r="H171" s="5"/>
      <c r="I171" s="6"/>
      <c r="R171" s="11" t="str">
        <f>D172</f>
        <v>(選択してください)</v>
      </c>
    </row>
    <row r="172" spans="1:23" customFormat="1">
      <c r="B172" s="7"/>
      <c r="C172" s="77" t="str">
        <f ca="1">IFERROR(OFFSET('4.2民生電力需要量'!$C$8,MATCH(D172,'4.2民生電力需要量'!$E$9:$E$49,0),0),"")</f>
        <v/>
      </c>
      <c r="D172" s="96" t="s">
        <v>130</v>
      </c>
      <c r="E172" s="72" t="s">
        <v>131</v>
      </c>
      <c r="F172" s="1063" t="str">
        <f ca="1">IFERROR(OFFSET('4.2民生電力需要量'!$G$1,MATCH($D172,'4.2民生電力需要量'!$E:$E,0)-1,0),"")</f>
        <v/>
      </c>
      <c r="G172" s="1063"/>
      <c r="H172" s="1063"/>
      <c r="I172" s="8"/>
      <c r="R172" s="257" t="str">
        <f ca="1">IFERROR(OFFSET('4.2民生電力需要量'!$G$1,MATCH($D172,'4.2民生電力需要量'!$E:$E,0)-1,0),"")</f>
        <v/>
      </c>
      <c r="S172" s="177"/>
      <c r="T172" s="177"/>
      <c r="U172" s="177"/>
      <c r="V172" s="177"/>
      <c r="W172" s="177">
        <f ca="1">(F172=R172)*1</f>
        <v>1</v>
      </c>
    </row>
    <row r="173" spans="1:23" customFormat="1">
      <c r="B173" s="7"/>
      <c r="C173" s="74"/>
      <c r="D173" s="66"/>
      <c r="E173" s="72" t="s">
        <v>221</v>
      </c>
      <c r="F173" s="1062" t="str">
        <f ca="1">IFERROR(OFFSET('4.2民生電力需要量'!$I$1,MATCH($D172,'4.2民生電力需要量'!$E:$E,0)-1,0),"")</f>
        <v/>
      </c>
      <c r="G173" s="1062"/>
      <c r="H173" s="1062"/>
      <c r="I173" s="8"/>
      <c r="R173" s="177" t="str">
        <f ca="1">IFERROR(OFFSET('4.2民生電力需要量'!$I$1,MATCH($D172,'4.2民生電力需要量'!$E:$E,0)-1,0),"")</f>
        <v/>
      </c>
      <c r="S173" s="177"/>
      <c r="T173" s="177"/>
      <c r="U173" s="177"/>
      <c r="V173" s="177"/>
      <c r="W173" s="177">
        <f t="shared" ref="W173:W174" ca="1" si="55">(F173=R173)*1</f>
        <v>1</v>
      </c>
    </row>
    <row r="174" spans="1:23" customFormat="1">
      <c r="B174" s="7"/>
      <c r="C174" s="74"/>
      <c r="D174" s="66"/>
      <c r="E174" s="72" t="s">
        <v>176</v>
      </c>
      <c r="F174" s="1070" t="str">
        <f>_xlfn.IFNA(R174,"")</f>
        <v/>
      </c>
      <c r="G174" s="1071"/>
      <c r="H174" s="1072"/>
      <c r="I174" s="8"/>
      <c r="R174" s="131" t="str">
        <f>IF(OR(COUNTIF($E176:$E181,"&lt;&gt;〇〇(合意形成対象者名に書き換え)")=3,COUNTIF($E176:$E181,"")&gt;3),"",IF(PRODUCT($U176:$U181)=1,V176,""))</f>
        <v/>
      </c>
      <c r="S174" s="177"/>
      <c r="T174" s="177"/>
      <c r="U174" s="177"/>
      <c r="V174" s="177"/>
      <c r="W174" s="177">
        <f t="shared" si="55"/>
        <v>1</v>
      </c>
    </row>
    <row r="175" spans="1:23" ht="63.75" customHeight="1">
      <c r="B175" s="97"/>
      <c r="C175" s="98"/>
      <c r="D175" s="99"/>
      <c r="E175" s="374"/>
      <c r="F175" s="315" t="s">
        <v>283</v>
      </c>
      <c r="G175" s="315" t="s">
        <v>284</v>
      </c>
      <c r="H175" s="315" t="s">
        <v>281</v>
      </c>
      <c r="I175" s="100"/>
      <c r="J175" s="11"/>
      <c r="R175" s="128" t="s">
        <v>272</v>
      </c>
      <c r="S175" s="128" t="s">
        <v>432</v>
      </c>
      <c r="T175" s="131" t="s">
        <v>408</v>
      </c>
      <c r="U175" s="131" t="s">
        <v>436</v>
      </c>
      <c r="V175" s="128" t="s">
        <v>431</v>
      </c>
      <c r="W175" s="257"/>
    </row>
    <row r="176" spans="1:23" hidden="1">
      <c r="B176" s="97"/>
      <c r="C176" s="98"/>
      <c r="D176" s="99"/>
      <c r="E176" s="444"/>
      <c r="F176" s="445"/>
      <c r="G176" s="441"/>
      <c r="H176" s="441"/>
      <c r="I176" s="100"/>
      <c r="J176" s="11"/>
      <c r="R176" s="131">
        <f>IF(AND(F176="実施済",G176="実施済",H176="完了"),3,0)</f>
        <v>0</v>
      </c>
      <c r="S176" s="131" t="str">
        <f>IF(OR(E176="〇〇(合意形成対象者名に書き換え)",E176=""),"",R176)</f>
        <v/>
      </c>
      <c r="T176" s="131">
        <f t="shared" ref="T176:T181" si="56">MIN($S$176:$S$181)+1</f>
        <v>1</v>
      </c>
      <c r="U176" s="131">
        <f>IF(E176="",1,IF(AND(E176="〇〇(合意形成対象者名に書き換え)",COUNTA($F176:$H176)=0),1,IF(AND(E176&lt;&gt;"〇〇(合意形成対象者名に書き換え)",COUNTA($F176:$H176)=3),1,0)))</f>
        <v>1</v>
      </c>
      <c r="V176" s="131" t="str" cm="1">
        <f t="array" ref="V176">_xlfn.IFS(T176=4,"A",T176=3,"B",T176=2,"C",T176=1,"D")</f>
        <v>D</v>
      </c>
      <c r="W176" s="257"/>
    </row>
    <row r="177" spans="1:23">
      <c r="B177" s="97"/>
      <c r="C177" s="98"/>
      <c r="D177" s="99"/>
      <c r="E177" s="102" t="s">
        <v>129</v>
      </c>
      <c r="F177" s="449"/>
      <c r="G177" s="443"/>
      <c r="H177" s="443"/>
      <c r="I177" s="100"/>
      <c r="J177" s="11"/>
      <c r="R177" s="131">
        <f t="shared" ref="R177:R181" si="57">IF(AND(F177="実施済",G177="実施済",H177="完了"),3,0)</f>
        <v>0</v>
      </c>
      <c r="S177" s="131" t="str">
        <f t="shared" ref="S177:S181" si="58">IF(OR(E177="〇〇(合意形成対象者名に書き換え)",E177=""),"",R177)</f>
        <v/>
      </c>
      <c r="T177" s="131">
        <f t="shared" si="56"/>
        <v>1</v>
      </c>
      <c r="U177" s="131">
        <f>IF(E177="",1,IF(AND(E177="〇〇(合意形成対象者名に書き換え)",COUNTA($F177:$H177)=0),1,IF(AND(E177&lt;&gt;"〇〇(合意形成対象者名に書き換え)",COUNTA($F177:$H177)=3),1,0)))</f>
        <v>1</v>
      </c>
      <c r="V177" s="131" t="str" cm="1">
        <f t="array" ref="V177">_xlfn.IFS(T177=4,"A",T177=3,"B",T177=2,"C",T177=1,"D")</f>
        <v>D</v>
      </c>
      <c r="W177" s="257"/>
    </row>
    <row r="178" spans="1:23">
      <c r="B178" s="97"/>
      <c r="C178" s="98"/>
      <c r="D178" s="99"/>
      <c r="E178" s="102" t="s">
        <v>129</v>
      </c>
      <c r="F178" s="449"/>
      <c r="G178" s="443"/>
      <c r="H178" s="443"/>
      <c r="I178" s="100"/>
      <c r="J178" s="11"/>
      <c r="R178" s="131">
        <f t="shared" si="57"/>
        <v>0</v>
      </c>
      <c r="S178" s="131" t="str">
        <f t="shared" si="58"/>
        <v/>
      </c>
      <c r="T178" s="131">
        <f t="shared" si="56"/>
        <v>1</v>
      </c>
      <c r="U178" s="131">
        <f>IF(E178="",1,IF(AND(E178="〇〇(合意形成対象者名に書き換え)",COUNTA($F178:$H178)=0),1,IF(AND(E178&lt;&gt;"〇〇(合意形成対象者名に書き換え)",COUNTA($F178:$H178)=3),1,0)))</f>
        <v>1</v>
      </c>
      <c r="V178" s="131" t="str" cm="1">
        <f t="array" ref="V178">_xlfn.IFS(T178=4,"A",T178=3,"B",T178=2,"C",T178=1,"D")</f>
        <v>D</v>
      </c>
      <c r="W178" s="257"/>
    </row>
    <row r="179" spans="1:23" s="101" customFormat="1">
      <c r="A179" s="11"/>
      <c r="B179" s="97"/>
      <c r="C179" s="98"/>
      <c r="D179" s="99"/>
      <c r="E179" s="102" t="s">
        <v>129</v>
      </c>
      <c r="F179" s="449"/>
      <c r="G179" s="443"/>
      <c r="H179" s="443"/>
      <c r="I179" s="100"/>
      <c r="J179" s="11"/>
      <c r="M179" s="11"/>
      <c r="N179" s="11"/>
      <c r="O179" s="11"/>
      <c r="P179" s="11"/>
      <c r="Q179" s="11"/>
      <c r="R179" s="131">
        <f t="shared" si="57"/>
        <v>0</v>
      </c>
      <c r="S179" s="131" t="str">
        <f t="shared" si="58"/>
        <v/>
      </c>
      <c r="T179" s="131">
        <f t="shared" si="56"/>
        <v>1</v>
      </c>
      <c r="U179" s="131">
        <f>IF(E179="",1,IF(AND(E179="〇〇(合意形成対象者名に書き換え)",COUNTA($F179:$H179)=0),1,IF(AND(E179&lt;&gt;"〇〇(合意形成対象者名に書き換え)",COUNTA($F179:$H179)=3),1,0)))</f>
        <v>1</v>
      </c>
      <c r="V179" s="131" t="str" cm="1">
        <f t="array" ref="V179">_xlfn.IFS(T179=4,"A",T179=3,"B",T179=2,"C",T179=1,"D")</f>
        <v>D</v>
      </c>
      <c r="W179" s="131"/>
    </row>
    <row r="180" spans="1:23" customFormat="1" ht="7.5" customHeight="1">
      <c r="B180" s="65"/>
      <c r="C180" s="4"/>
      <c r="D180" s="4"/>
      <c r="E180" s="4"/>
      <c r="F180" s="4"/>
      <c r="G180" s="4"/>
      <c r="H180" s="4"/>
      <c r="I180" s="9"/>
      <c r="J180" s="2"/>
      <c r="K180" s="2"/>
      <c r="L180" s="2"/>
      <c r="R180" s="131">
        <f t="shared" si="57"/>
        <v>0</v>
      </c>
      <c r="S180" s="131" t="str">
        <f t="shared" si="58"/>
        <v/>
      </c>
      <c r="T180" s="131">
        <f t="shared" si="56"/>
        <v>1</v>
      </c>
      <c r="U180" s="131">
        <f t="shared" ref="U180:U181" si="59">IF(E180="",1,IF(AND(E180="〇〇(合意形成対象者名に書き換え)",COUNTA($F180:$H180)=0),1,IF(AND(E180&lt;&gt;"〇〇(合意形成対象者名に書き換え)",COUNTA($F180:$H180)=3),1,0)))</f>
        <v>1</v>
      </c>
      <c r="V180" s="131" t="str" cm="1">
        <f t="array" ref="V180">_xlfn.IFS(T180=4,"A",T180=3,"B",T180=2,"C",T180=1,"D")</f>
        <v>D</v>
      </c>
      <c r="W180" s="177"/>
    </row>
    <row r="181" spans="1:23" customFormat="1" ht="6" customHeight="1">
      <c r="J181" s="2"/>
      <c r="K181" s="2"/>
      <c r="L181" s="2"/>
      <c r="R181" s="131">
        <f t="shared" si="57"/>
        <v>0</v>
      </c>
      <c r="S181" s="131" t="str">
        <f t="shared" si="58"/>
        <v/>
      </c>
      <c r="T181" s="131">
        <f t="shared" si="56"/>
        <v>1</v>
      </c>
      <c r="U181" s="131">
        <f t="shared" si="59"/>
        <v>1</v>
      </c>
      <c r="V181" s="131" t="str" cm="1">
        <f t="array" ref="V181">_xlfn.IFS(T181=4,"A",T181=3,"B",T181=2,"C",T181=1,"D")</f>
        <v>D</v>
      </c>
      <c r="W181" s="177"/>
    </row>
    <row r="182" spans="1:23" customFormat="1" ht="103.5" customHeight="1">
      <c r="C182" s="78"/>
      <c r="D182" s="79"/>
      <c r="E182" s="71" t="s">
        <v>238</v>
      </c>
      <c r="F182" s="1057"/>
      <c r="G182" s="1057"/>
      <c r="H182" s="1057"/>
      <c r="I182" s="80" t="s">
        <v>132</v>
      </c>
      <c r="J182" s="80"/>
    </row>
    <row r="183" spans="1:23" customFormat="1" ht="146.25" customHeight="1">
      <c r="C183" s="75"/>
      <c r="D183" s="68"/>
      <c r="E183" s="71" t="s">
        <v>237</v>
      </c>
      <c r="F183" s="1057"/>
      <c r="G183" s="1057"/>
      <c r="H183" s="1057"/>
      <c r="J183" s="2"/>
      <c r="K183" s="2"/>
      <c r="L183" s="2"/>
    </row>
    <row r="184" spans="1:23" customFormat="1" ht="13.5" customHeight="1" thickBot="1">
      <c r="A184" s="81"/>
      <c r="B184" s="81"/>
      <c r="C184" s="81"/>
      <c r="D184" s="81"/>
      <c r="E184" s="81"/>
      <c r="F184" s="81"/>
      <c r="G184" s="81"/>
      <c r="H184" s="81"/>
      <c r="I184" s="81"/>
      <c r="J184" s="82"/>
      <c r="K184" s="2"/>
      <c r="L184" s="2"/>
    </row>
    <row r="185" spans="1:23" customFormat="1" ht="13.5" customHeight="1">
      <c r="J185" s="2"/>
      <c r="K185" s="2"/>
      <c r="L185" s="2"/>
    </row>
    <row r="186" spans="1:23" customFormat="1" ht="15" customHeight="1">
      <c r="B186" s="10"/>
      <c r="C186" s="5"/>
      <c r="D186" s="5"/>
      <c r="E186" s="5"/>
      <c r="F186" s="5"/>
      <c r="G186" s="5"/>
      <c r="H186" s="5"/>
      <c r="I186" s="6"/>
      <c r="R186" s="11" t="str">
        <f>D187</f>
        <v>(選択してください)</v>
      </c>
    </row>
    <row r="187" spans="1:23" customFormat="1">
      <c r="B187" s="7"/>
      <c r="C187" s="77" t="str">
        <f ca="1">IFERROR(OFFSET('4.2民生電力需要量'!$C$8,MATCH(D187,'4.2民生電力需要量'!$E$9:$E$49,0),0),"")</f>
        <v/>
      </c>
      <c r="D187" s="96" t="s">
        <v>130</v>
      </c>
      <c r="E187" s="72" t="s">
        <v>131</v>
      </c>
      <c r="F187" s="1063" t="str">
        <f ca="1">IFERROR(OFFSET('4.2民生電力需要量'!$G$1,MATCH($D187,'4.2民生電力需要量'!$E:$E,0)-1,0),"")</f>
        <v/>
      </c>
      <c r="G187" s="1063"/>
      <c r="H187" s="1063"/>
      <c r="I187" s="8"/>
      <c r="R187" s="257" t="str">
        <f ca="1">IFERROR(OFFSET('4.2民生電力需要量'!$G$1,MATCH($D187,'4.2民生電力需要量'!$E:$E,0)-1,0),"")</f>
        <v/>
      </c>
      <c r="S187" s="177"/>
      <c r="T187" s="177"/>
      <c r="U187" s="177"/>
      <c r="V187" s="177"/>
      <c r="W187" s="177">
        <f ca="1">(F187=R187)*1</f>
        <v>1</v>
      </c>
    </row>
    <row r="188" spans="1:23" customFormat="1">
      <c r="B188" s="7"/>
      <c r="C188" s="74"/>
      <c r="D188" s="66"/>
      <c r="E188" s="72" t="s">
        <v>221</v>
      </c>
      <c r="F188" s="1062" t="str">
        <f ca="1">IFERROR(OFFSET('4.2民生電力需要量'!$I$1,MATCH($D187,'4.2民生電力需要量'!$E:$E,0)-1,0),"")</f>
        <v/>
      </c>
      <c r="G188" s="1062"/>
      <c r="H188" s="1062"/>
      <c r="I188" s="8"/>
      <c r="R188" s="177" t="str">
        <f ca="1">IFERROR(OFFSET('4.2民生電力需要量'!$I$1,MATCH($D187,'4.2民生電力需要量'!$E:$E,0)-1,0),"")</f>
        <v/>
      </c>
      <c r="S188" s="177"/>
      <c r="T188" s="177"/>
      <c r="U188" s="177"/>
      <c r="V188" s="177"/>
      <c r="W188" s="177">
        <f t="shared" ref="W188:W189" ca="1" si="60">(F188=R188)*1</f>
        <v>1</v>
      </c>
    </row>
    <row r="189" spans="1:23" customFormat="1">
      <c r="B189" s="7"/>
      <c r="C189" s="74"/>
      <c r="D189" s="66"/>
      <c r="E189" s="72" t="s">
        <v>176</v>
      </c>
      <c r="F189" s="1070" t="str">
        <f>_xlfn.IFNA(R189,"")</f>
        <v/>
      </c>
      <c r="G189" s="1071"/>
      <c r="H189" s="1072"/>
      <c r="I189" s="8"/>
      <c r="R189" s="131" t="str">
        <f>IF(OR(COUNTIF($E191:$E196,"&lt;&gt;〇〇(合意形成対象者名に書き換え)")=3,COUNTIF($E191:$E196,"")&gt;3),"",IF(PRODUCT($U191:$U196)=1,V191,""))</f>
        <v/>
      </c>
      <c r="S189" s="177"/>
      <c r="T189" s="177"/>
      <c r="U189" s="177"/>
      <c r="V189" s="177"/>
      <c r="W189" s="177">
        <f t="shared" si="60"/>
        <v>1</v>
      </c>
    </row>
    <row r="190" spans="1:23" ht="63.75" customHeight="1">
      <c r="B190" s="97"/>
      <c r="C190" s="98"/>
      <c r="D190" s="99"/>
      <c r="E190" s="374"/>
      <c r="F190" s="315" t="s">
        <v>283</v>
      </c>
      <c r="G190" s="315" t="s">
        <v>284</v>
      </c>
      <c r="H190" s="315" t="s">
        <v>281</v>
      </c>
      <c r="I190" s="100"/>
      <c r="J190" s="11"/>
      <c r="R190" s="128" t="s">
        <v>272</v>
      </c>
      <c r="S190" s="128" t="s">
        <v>432</v>
      </c>
      <c r="T190" s="131" t="s">
        <v>408</v>
      </c>
      <c r="U190" s="131" t="s">
        <v>436</v>
      </c>
      <c r="V190" s="128" t="s">
        <v>431</v>
      </c>
      <c r="W190" s="257"/>
    </row>
    <row r="191" spans="1:23" hidden="1">
      <c r="B191" s="97"/>
      <c r="C191" s="98"/>
      <c r="D191" s="99"/>
      <c r="E191" s="444"/>
      <c r="F191" s="445"/>
      <c r="G191" s="441"/>
      <c r="H191" s="441"/>
      <c r="I191" s="100"/>
      <c r="J191" s="11"/>
      <c r="R191" s="131">
        <f>IF(AND(F191="実施済",G191="実施済",H191="完了"),3,0)</f>
        <v>0</v>
      </c>
      <c r="S191" s="131" t="str">
        <f>IF(OR(E191="〇〇(合意形成対象者名に書き換え)",E191=""),"",R191)</f>
        <v/>
      </c>
      <c r="T191" s="131">
        <f t="shared" ref="T191:T196" si="61">MIN($S$191:$S$196)+1</f>
        <v>1</v>
      </c>
      <c r="U191" s="131">
        <f>IF(E191="",1,IF(AND(E191="〇〇(合意形成対象者名に書き換え)",COUNTA($F191:$H191)=0),1,IF(AND(E191&lt;&gt;"〇〇(合意形成対象者名に書き換え)",COUNTA($F191:$H191)=3),1,0)))</f>
        <v>1</v>
      </c>
      <c r="V191" s="131" t="str" cm="1">
        <f t="array" ref="V191">_xlfn.IFS(T191=4,"A",T191=3,"B",T191=2,"C",T191=1,"D")</f>
        <v>D</v>
      </c>
      <c r="W191" s="257"/>
    </row>
    <row r="192" spans="1:23">
      <c r="B192" s="97"/>
      <c r="C192" s="98"/>
      <c r="D192" s="99"/>
      <c r="E192" s="102" t="s">
        <v>129</v>
      </c>
      <c r="F192" s="449"/>
      <c r="G192" s="443"/>
      <c r="H192" s="443"/>
      <c r="I192" s="100"/>
      <c r="J192" s="11"/>
      <c r="R192" s="131">
        <f t="shared" ref="R192:R196" si="62">IF(AND(F192="実施済",G192="実施済",H192="完了"),3,0)</f>
        <v>0</v>
      </c>
      <c r="S192" s="131" t="str">
        <f t="shared" ref="S192:S196" si="63">IF(OR(E192="〇〇(合意形成対象者名に書き換え)",E192=""),"",R192)</f>
        <v/>
      </c>
      <c r="T192" s="131">
        <f t="shared" si="61"/>
        <v>1</v>
      </c>
      <c r="U192" s="131">
        <f>IF(E192="",1,IF(AND(E192="〇〇(合意形成対象者名に書き換え)",COUNTA($F192:$H192)=0),1,IF(AND(E192&lt;&gt;"〇〇(合意形成対象者名に書き換え)",COUNTA($F192:$H192)=3),1,0)))</f>
        <v>1</v>
      </c>
      <c r="V192" s="131" t="str" cm="1">
        <f t="array" ref="V192">_xlfn.IFS(T192=4,"A",T192=3,"B",T192=2,"C",T192=1,"D")</f>
        <v>D</v>
      </c>
      <c r="W192" s="257"/>
    </row>
    <row r="193" spans="1:23">
      <c r="B193" s="97"/>
      <c r="C193" s="98"/>
      <c r="D193" s="99"/>
      <c r="E193" s="102" t="s">
        <v>129</v>
      </c>
      <c r="F193" s="449"/>
      <c r="G193" s="443"/>
      <c r="H193" s="443"/>
      <c r="I193" s="100"/>
      <c r="J193" s="11"/>
      <c r="R193" s="131">
        <f t="shared" si="62"/>
        <v>0</v>
      </c>
      <c r="S193" s="131" t="str">
        <f t="shared" si="63"/>
        <v/>
      </c>
      <c r="T193" s="131">
        <f t="shared" si="61"/>
        <v>1</v>
      </c>
      <c r="U193" s="131">
        <f>IF(E193="",1,IF(AND(E193="〇〇(合意形成対象者名に書き換え)",COUNTA($F193:$H193)=0),1,IF(AND(E193&lt;&gt;"〇〇(合意形成対象者名に書き換え)",COUNTA($F193:$H193)=3),1,0)))</f>
        <v>1</v>
      </c>
      <c r="V193" s="131" t="str" cm="1">
        <f t="array" ref="V193">_xlfn.IFS(T193=4,"A",T193=3,"B",T193=2,"C",T193=1,"D")</f>
        <v>D</v>
      </c>
      <c r="W193" s="257"/>
    </row>
    <row r="194" spans="1:23" s="101" customFormat="1">
      <c r="A194" s="11"/>
      <c r="B194" s="97"/>
      <c r="C194" s="98"/>
      <c r="D194" s="99"/>
      <c r="E194" s="102" t="s">
        <v>129</v>
      </c>
      <c r="F194" s="449"/>
      <c r="G194" s="443"/>
      <c r="H194" s="443"/>
      <c r="I194" s="100"/>
      <c r="J194" s="11"/>
      <c r="M194" s="11"/>
      <c r="N194" s="11"/>
      <c r="O194" s="11"/>
      <c r="P194" s="11"/>
      <c r="Q194" s="11"/>
      <c r="R194" s="131">
        <f t="shared" si="62"/>
        <v>0</v>
      </c>
      <c r="S194" s="131" t="str">
        <f t="shared" si="63"/>
        <v/>
      </c>
      <c r="T194" s="131">
        <f t="shared" si="61"/>
        <v>1</v>
      </c>
      <c r="U194" s="131">
        <f>IF(E194="",1,IF(AND(E194="〇〇(合意形成対象者名に書き換え)",COUNTA($F194:$H194)=0),1,IF(AND(E194&lt;&gt;"〇〇(合意形成対象者名に書き換え)",COUNTA($F194:$H194)=3),1,0)))</f>
        <v>1</v>
      </c>
      <c r="V194" s="131" t="str" cm="1">
        <f t="array" ref="V194">_xlfn.IFS(T194=4,"A",T194=3,"B",T194=2,"C",T194=1,"D")</f>
        <v>D</v>
      </c>
      <c r="W194" s="131"/>
    </row>
    <row r="195" spans="1:23" customFormat="1" ht="7.5" customHeight="1">
      <c r="B195" s="65"/>
      <c r="C195" s="4"/>
      <c r="D195" s="4"/>
      <c r="E195" s="4"/>
      <c r="F195" s="4"/>
      <c r="G195" s="4"/>
      <c r="H195" s="4"/>
      <c r="I195" s="9"/>
      <c r="J195" s="2"/>
      <c r="K195" s="2"/>
      <c r="L195" s="2"/>
      <c r="R195" s="131">
        <f t="shared" si="62"/>
        <v>0</v>
      </c>
      <c r="S195" s="131" t="str">
        <f t="shared" si="63"/>
        <v/>
      </c>
      <c r="T195" s="131">
        <f t="shared" si="61"/>
        <v>1</v>
      </c>
      <c r="U195" s="131">
        <f t="shared" ref="U195:U196" si="64">IF(E195="",1,IF(AND(E195="〇〇(合意形成対象者名に書き換え)",COUNTA($F195:$H195)=0),1,IF(AND(E195&lt;&gt;"〇〇(合意形成対象者名に書き換え)",COUNTA($F195:$H195)=3),1,0)))</f>
        <v>1</v>
      </c>
      <c r="V195" s="131" t="str" cm="1">
        <f t="array" ref="V195">_xlfn.IFS(T195=4,"A",T195=3,"B",T195=2,"C",T195=1,"D")</f>
        <v>D</v>
      </c>
      <c r="W195" s="177"/>
    </row>
    <row r="196" spans="1:23" customFormat="1" ht="6" customHeight="1">
      <c r="J196" s="2"/>
      <c r="K196" s="2"/>
      <c r="L196" s="2"/>
      <c r="R196" s="131">
        <f t="shared" si="62"/>
        <v>0</v>
      </c>
      <c r="S196" s="131" t="str">
        <f t="shared" si="63"/>
        <v/>
      </c>
      <c r="T196" s="131">
        <f t="shared" si="61"/>
        <v>1</v>
      </c>
      <c r="U196" s="131">
        <f t="shared" si="64"/>
        <v>1</v>
      </c>
      <c r="V196" s="131" t="str" cm="1">
        <f t="array" ref="V196">_xlfn.IFS(T196=4,"A",T196=3,"B",T196=2,"C",T196=1,"D")</f>
        <v>D</v>
      </c>
      <c r="W196" s="177"/>
    </row>
    <row r="197" spans="1:23" customFormat="1" ht="103.5" customHeight="1">
      <c r="C197" s="78"/>
      <c r="D197" s="79"/>
      <c r="E197" s="71" t="s">
        <v>238</v>
      </c>
      <c r="F197" s="1057"/>
      <c r="G197" s="1057"/>
      <c r="H197" s="1057"/>
      <c r="I197" s="80" t="s">
        <v>132</v>
      </c>
      <c r="J197" s="80"/>
    </row>
    <row r="198" spans="1:23" customFormat="1" ht="146.25" customHeight="1">
      <c r="C198" s="75"/>
      <c r="D198" s="68"/>
      <c r="E198" s="71" t="s">
        <v>237</v>
      </c>
      <c r="F198" s="1057"/>
      <c r="G198" s="1057"/>
      <c r="H198" s="1057"/>
      <c r="J198" s="2"/>
      <c r="K198" s="2"/>
      <c r="L198" s="2"/>
    </row>
    <row r="199" spans="1:23" customFormat="1" ht="13.5" customHeight="1" thickBot="1">
      <c r="A199" s="81"/>
      <c r="B199" s="81"/>
      <c r="C199" s="81"/>
      <c r="D199" s="81"/>
      <c r="E199" s="81"/>
      <c r="F199" s="81"/>
      <c r="G199" s="81"/>
      <c r="H199" s="81"/>
      <c r="I199" s="81"/>
      <c r="J199" s="82"/>
      <c r="K199" s="2"/>
      <c r="L199" s="2"/>
    </row>
    <row r="200" spans="1:23" customFormat="1" ht="13.5" customHeight="1">
      <c r="J200" s="2"/>
      <c r="K200" s="2"/>
      <c r="L200" s="2"/>
    </row>
    <row r="201" spans="1:23" customFormat="1" ht="15" customHeight="1">
      <c r="B201" s="10"/>
      <c r="C201" s="5"/>
      <c r="D201" s="5"/>
      <c r="E201" s="5"/>
      <c r="F201" s="5"/>
      <c r="G201" s="5"/>
      <c r="H201" s="5"/>
      <c r="I201" s="6"/>
      <c r="R201" s="11" t="str">
        <f>D202</f>
        <v>(選択してください)</v>
      </c>
    </row>
    <row r="202" spans="1:23" customFormat="1">
      <c r="B202" s="7"/>
      <c r="C202" s="77" t="str">
        <f ca="1">IFERROR(OFFSET('4.2民生電力需要量'!$C$8,MATCH(D202,'4.2民生電力需要量'!$E$9:$E$49,0),0),"")</f>
        <v/>
      </c>
      <c r="D202" s="96" t="s">
        <v>130</v>
      </c>
      <c r="E202" s="72" t="s">
        <v>131</v>
      </c>
      <c r="F202" s="1063" t="str">
        <f ca="1">IFERROR(OFFSET('4.2民生電力需要量'!$G$1,MATCH($D202,'4.2民生電力需要量'!$E:$E,0)-1,0),"")</f>
        <v/>
      </c>
      <c r="G202" s="1063"/>
      <c r="H202" s="1063"/>
      <c r="I202" s="8"/>
      <c r="R202" s="257" t="str">
        <f ca="1">IFERROR(OFFSET('4.2民生電力需要量'!$G$1,MATCH($D202,'4.2民生電力需要量'!$E:$E,0)-1,0),"")</f>
        <v/>
      </c>
      <c r="S202" s="177"/>
      <c r="T202" s="177"/>
      <c r="U202" s="177"/>
      <c r="V202" s="177"/>
      <c r="W202" s="177">
        <f ca="1">(F202=R202)*1</f>
        <v>1</v>
      </c>
    </row>
    <row r="203" spans="1:23" customFormat="1">
      <c r="B203" s="7"/>
      <c r="C203" s="74"/>
      <c r="D203" s="66"/>
      <c r="E203" s="72" t="s">
        <v>221</v>
      </c>
      <c r="F203" s="1062" t="str">
        <f ca="1">IFERROR(OFFSET('4.2民生電力需要量'!$I$1,MATCH($D202,'4.2民生電力需要量'!$E:$E,0)-1,0),"")</f>
        <v/>
      </c>
      <c r="G203" s="1062"/>
      <c r="H203" s="1062"/>
      <c r="I203" s="8"/>
      <c r="R203" s="177" t="str">
        <f ca="1">IFERROR(OFFSET('4.2民生電力需要量'!$I$1,MATCH($D202,'4.2民生電力需要量'!$E:$E,0)-1,0),"")</f>
        <v/>
      </c>
      <c r="S203" s="177"/>
      <c r="T203" s="177"/>
      <c r="U203" s="177"/>
      <c r="V203" s="177"/>
      <c r="W203" s="177">
        <f t="shared" ref="W203:W204" ca="1" si="65">(F203=R203)*1</f>
        <v>1</v>
      </c>
    </row>
    <row r="204" spans="1:23" customFormat="1">
      <c r="B204" s="7"/>
      <c r="C204" s="74"/>
      <c r="D204" s="66"/>
      <c r="E204" s="72" t="s">
        <v>176</v>
      </c>
      <c r="F204" s="1070" t="str">
        <f>_xlfn.IFNA(R204,"")</f>
        <v/>
      </c>
      <c r="G204" s="1071"/>
      <c r="H204" s="1072"/>
      <c r="I204" s="8"/>
      <c r="R204" s="131" t="str">
        <f>IF(OR(COUNTIF($E206:$E211,"&lt;&gt;〇〇(合意形成対象者名に書き換え)")=3,COUNTIF($E206:$E211,"")&gt;3),"",IF(PRODUCT($U206:$U211)=1,V206,""))</f>
        <v/>
      </c>
      <c r="S204" s="177"/>
      <c r="T204" s="177"/>
      <c r="U204" s="177"/>
      <c r="V204" s="177"/>
      <c r="W204" s="177">
        <f t="shared" si="65"/>
        <v>1</v>
      </c>
    </row>
    <row r="205" spans="1:23" ht="63.75" customHeight="1">
      <c r="B205" s="97"/>
      <c r="C205" s="98"/>
      <c r="D205" s="99"/>
      <c r="E205" s="374"/>
      <c r="F205" s="315" t="s">
        <v>283</v>
      </c>
      <c r="G205" s="315" t="s">
        <v>284</v>
      </c>
      <c r="H205" s="315" t="s">
        <v>281</v>
      </c>
      <c r="I205" s="100"/>
      <c r="J205" s="11"/>
      <c r="R205" s="128" t="s">
        <v>272</v>
      </c>
      <c r="S205" s="128" t="s">
        <v>432</v>
      </c>
      <c r="T205" s="131" t="s">
        <v>408</v>
      </c>
      <c r="U205" s="131" t="s">
        <v>436</v>
      </c>
      <c r="V205" s="128" t="s">
        <v>431</v>
      </c>
      <c r="W205" s="257"/>
    </row>
    <row r="206" spans="1:23" hidden="1">
      <c r="B206" s="97"/>
      <c r="C206" s="98"/>
      <c r="D206" s="99"/>
      <c r="E206" s="444"/>
      <c r="F206" s="445"/>
      <c r="G206" s="441"/>
      <c r="H206" s="441"/>
      <c r="I206" s="100"/>
      <c r="J206" s="11"/>
      <c r="R206" s="131">
        <f>IF(AND(F206="実施済",G206="実施済",H206="完了"),3,0)</f>
        <v>0</v>
      </c>
      <c r="S206" s="131" t="str">
        <f>IF(OR(E206="〇〇(合意形成対象者名に書き換え)",E206=""),"",R206)</f>
        <v/>
      </c>
      <c r="T206" s="131">
        <f t="shared" ref="T206:T211" si="66">MIN($S$206:$S$211)+1</f>
        <v>1</v>
      </c>
      <c r="U206" s="131">
        <f>IF(E206="",1,IF(AND(E206="〇〇(合意形成対象者名に書き換え)",COUNTA($F206:$H206)=0),1,IF(AND(E206&lt;&gt;"〇〇(合意形成対象者名に書き換え)",COUNTA($F206:$H206)=3),1,0)))</f>
        <v>1</v>
      </c>
      <c r="V206" s="131" t="str" cm="1">
        <f t="array" ref="V206">_xlfn.IFS(T206=4,"A",T206=3,"B",T206=2,"C",T206=1,"D")</f>
        <v>D</v>
      </c>
      <c r="W206" s="257"/>
    </row>
    <row r="207" spans="1:23">
      <c r="B207" s="97"/>
      <c r="C207" s="98"/>
      <c r="D207" s="99"/>
      <c r="E207" s="102" t="s">
        <v>129</v>
      </c>
      <c r="F207" s="449"/>
      <c r="G207" s="443"/>
      <c r="H207" s="443"/>
      <c r="I207" s="100"/>
      <c r="J207" s="11"/>
      <c r="R207" s="131">
        <f t="shared" ref="R207:R211" si="67">IF(AND(F207="実施済",G207="実施済",H207="完了"),3,0)</f>
        <v>0</v>
      </c>
      <c r="S207" s="131" t="str">
        <f t="shared" ref="S207:S211" si="68">IF(OR(E207="〇〇(合意形成対象者名に書き換え)",E207=""),"",R207)</f>
        <v/>
      </c>
      <c r="T207" s="131">
        <f t="shared" si="66"/>
        <v>1</v>
      </c>
      <c r="U207" s="131">
        <f>IF(E207="",1,IF(AND(E207="〇〇(合意形成対象者名に書き換え)",COUNTA($F207:$H207)=0),1,IF(AND(E207&lt;&gt;"〇〇(合意形成対象者名に書き換え)",COUNTA($F207:$H207)=3),1,0)))</f>
        <v>1</v>
      </c>
      <c r="V207" s="131" t="str" cm="1">
        <f t="array" ref="V207">_xlfn.IFS(T207=4,"A",T207=3,"B",T207=2,"C",T207=1,"D")</f>
        <v>D</v>
      </c>
      <c r="W207" s="257"/>
    </row>
    <row r="208" spans="1:23">
      <c r="B208" s="97"/>
      <c r="C208" s="98"/>
      <c r="D208" s="99"/>
      <c r="E208" s="102" t="s">
        <v>129</v>
      </c>
      <c r="F208" s="449"/>
      <c r="G208" s="443"/>
      <c r="H208" s="443"/>
      <c r="I208" s="100"/>
      <c r="J208" s="11"/>
      <c r="R208" s="131">
        <f t="shared" si="67"/>
        <v>0</v>
      </c>
      <c r="S208" s="131" t="str">
        <f t="shared" si="68"/>
        <v/>
      </c>
      <c r="T208" s="131">
        <f t="shared" si="66"/>
        <v>1</v>
      </c>
      <c r="U208" s="131">
        <f>IF(E208="",1,IF(AND(E208="〇〇(合意形成対象者名に書き換え)",COUNTA($F208:$H208)=0),1,IF(AND(E208&lt;&gt;"〇〇(合意形成対象者名に書き換え)",COUNTA($F208:$H208)=3),1,0)))</f>
        <v>1</v>
      </c>
      <c r="V208" s="131" t="str" cm="1">
        <f t="array" ref="V208">_xlfn.IFS(T208=4,"A",T208=3,"B",T208=2,"C",T208=1,"D")</f>
        <v>D</v>
      </c>
      <c r="W208" s="257"/>
    </row>
    <row r="209" spans="1:23" s="101" customFormat="1">
      <c r="A209" s="11"/>
      <c r="B209" s="97"/>
      <c r="C209" s="98"/>
      <c r="D209" s="99"/>
      <c r="E209" s="102" t="s">
        <v>129</v>
      </c>
      <c r="F209" s="449"/>
      <c r="G209" s="443"/>
      <c r="H209" s="443"/>
      <c r="I209" s="100"/>
      <c r="J209" s="11"/>
      <c r="M209" s="11"/>
      <c r="N209" s="11"/>
      <c r="O209" s="11"/>
      <c r="P209" s="11"/>
      <c r="Q209" s="11"/>
      <c r="R209" s="131">
        <f t="shared" si="67"/>
        <v>0</v>
      </c>
      <c r="S209" s="131" t="str">
        <f t="shared" si="68"/>
        <v/>
      </c>
      <c r="T209" s="131">
        <f t="shared" si="66"/>
        <v>1</v>
      </c>
      <c r="U209" s="131">
        <f>IF(E209="",1,IF(AND(E209="〇〇(合意形成対象者名に書き換え)",COUNTA($F209:$H209)=0),1,IF(AND(E209&lt;&gt;"〇〇(合意形成対象者名に書き換え)",COUNTA($F209:$H209)=3),1,0)))</f>
        <v>1</v>
      </c>
      <c r="V209" s="131" t="str" cm="1">
        <f t="array" ref="V209">_xlfn.IFS(T209=4,"A",T209=3,"B",T209=2,"C",T209=1,"D")</f>
        <v>D</v>
      </c>
      <c r="W209" s="131"/>
    </row>
    <row r="210" spans="1:23" customFormat="1" ht="7.5" customHeight="1">
      <c r="B210" s="65"/>
      <c r="C210" s="4"/>
      <c r="D210" s="4"/>
      <c r="E210" s="4"/>
      <c r="F210" s="4"/>
      <c r="G210" s="4"/>
      <c r="H210" s="4"/>
      <c r="I210" s="9"/>
      <c r="J210" s="2"/>
      <c r="K210" s="2"/>
      <c r="L210" s="2"/>
      <c r="R210" s="131">
        <f t="shared" si="67"/>
        <v>0</v>
      </c>
      <c r="S210" s="131" t="str">
        <f t="shared" si="68"/>
        <v/>
      </c>
      <c r="T210" s="131">
        <f t="shared" si="66"/>
        <v>1</v>
      </c>
      <c r="U210" s="131">
        <f t="shared" ref="U210:U211" si="69">IF(E210="",1,IF(AND(E210="〇〇(合意形成対象者名に書き換え)",COUNTA($F210:$H210)=0),1,IF(AND(E210&lt;&gt;"〇〇(合意形成対象者名に書き換え)",COUNTA($F210:$H210)=3),1,0)))</f>
        <v>1</v>
      </c>
      <c r="V210" s="131" t="str" cm="1">
        <f t="array" ref="V210">_xlfn.IFS(T210=4,"A",T210=3,"B",T210=2,"C",T210=1,"D")</f>
        <v>D</v>
      </c>
      <c r="W210" s="177"/>
    </row>
    <row r="211" spans="1:23" customFormat="1" ht="6" customHeight="1">
      <c r="J211" s="2"/>
      <c r="K211" s="2"/>
      <c r="L211" s="2"/>
      <c r="R211" s="131">
        <f t="shared" si="67"/>
        <v>0</v>
      </c>
      <c r="S211" s="131" t="str">
        <f t="shared" si="68"/>
        <v/>
      </c>
      <c r="T211" s="131">
        <f t="shared" si="66"/>
        <v>1</v>
      </c>
      <c r="U211" s="131">
        <f t="shared" si="69"/>
        <v>1</v>
      </c>
      <c r="V211" s="131" t="str" cm="1">
        <f t="array" ref="V211">_xlfn.IFS(T211=4,"A",T211=3,"B",T211=2,"C",T211=1,"D")</f>
        <v>D</v>
      </c>
      <c r="W211" s="177"/>
    </row>
    <row r="212" spans="1:23" customFormat="1" ht="103.5" customHeight="1">
      <c r="C212" s="78"/>
      <c r="D212" s="79"/>
      <c r="E212" s="71" t="s">
        <v>238</v>
      </c>
      <c r="F212" s="1057"/>
      <c r="G212" s="1057"/>
      <c r="H212" s="1057"/>
      <c r="I212" s="80" t="s">
        <v>132</v>
      </c>
      <c r="J212" s="80"/>
    </row>
    <row r="213" spans="1:23" customFormat="1" ht="146.25" customHeight="1">
      <c r="C213" s="75"/>
      <c r="D213" s="68"/>
      <c r="E213" s="71" t="s">
        <v>237</v>
      </c>
      <c r="F213" s="1057"/>
      <c r="G213" s="1057"/>
      <c r="H213" s="1057"/>
      <c r="J213" s="2"/>
      <c r="K213" s="2"/>
      <c r="L213" s="2"/>
    </row>
    <row r="214" spans="1:23" customFormat="1" ht="13.5" customHeight="1" thickBot="1">
      <c r="A214" s="81"/>
      <c r="B214" s="81"/>
      <c r="C214" s="81"/>
      <c r="D214" s="81"/>
      <c r="E214" s="81"/>
      <c r="F214" s="81"/>
      <c r="G214" s="81"/>
      <c r="H214" s="81"/>
      <c r="I214" s="81"/>
      <c r="J214" s="82"/>
      <c r="K214" s="2"/>
      <c r="L214" s="2"/>
    </row>
    <row r="215" spans="1:23" customFormat="1" ht="13.5" customHeight="1">
      <c r="J215" s="2"/>
      <c r="K215" s="2"/>
      <c r="L215" s="2"/>
    </row>
    <row r="216" spans="1:23" customFormat="1" ht="15" customHeight="1">
      <c r="B216" s="10"/>
      <c r="C216" s="5"/>
      <c r="D216" s="5"/>
      <c r="E216" s="5"/>
      <c r="F216" s="5"/>
      <c r="G216" s="5"/>
      <c r="H216" s="5"/>
      <c r="I216" s="6"/>
      <c r="R216" s="11" t="str">
        <f>D217</f>
        <v>(選択してください)</v>
      </c>
    </row>
    <row r="217" spans="1:23" customFormat="1">
      <c r="B217" s="7"/>
      <c r="C217" s="77" t="str">
        <f ca="1">IFERROR(OFFSET('4.2民生電力需要量'!$C$8,MATCH(D217,'4.2民生電力需要量'!$E$9:$E$49,0),0),"")</f>
        <v/>
      </c>
      <c r="D217" s="96" t="s">
        <v>130</v>
      </c>
      <c r="E217" s="72" t="s">
        <v>131</v>
      </c>
      <c r="F217" s="1063" t="str">
        <f ca="1">IFERROR(OFFSET('4.2民生電力需要量'!$G$1,MATCH($D217,'4.2民生電力需要量'!$E:$E,0)-1,0),"")</f>
        <v/>
      </c>
      <c r="G217" s="1063"/>
      <c r="H217" s="1063"/>
      <c r="I217" s="8"/>
      <c r="R217" s="257" t="str">
        <f ca="1">IFERROR(OFFSET('4.2民生電力需要量'!$G$1,MATCH($D217,'4.2民生電力需要量'!$E:$E,0)-1,0),"")</f>
        <v/>
      </c>
      <c r="S217" s="177"/>
      <c r="T217" s="177"/>
      <c r="U217" s="177"/>
      <c r="V217" s="177"/>
      <c r="W217" s="177">
        <f ca="1">(F217=R217)*1</f>
        <v>1</v>
      </c>
    </row>
    <row r="218" spans="1:23" customFormat="1">
      <c r="B218" s="7"/>
      <c r="C218" s="74"/>
      <c r="D218" s="66"/>
      <c r="E218" s="72" t="s">
        <v>221</v>
      </c>
      <c r="F218" s="1062" t="str">
        <f ca="1">IFERROR(OFFSET('4.2民生電力需要量'!$I$1,MATCH($D217,'4.2民生電力需要量'!$E:$E,0)-1,0),"")</f>
        <v/>
      </c>
      <c r="G218" s="1062"/>
      <c r="H218" s="1062"/>
      <c r="I218" s="8"/>
      <c r="R218" s="177" t="str">
        <f ca="1">IFERROR(OFFSET('4.2民生電力需要量'!$I$1,MATCH($D217,'4.2民生電力需要量'!$E:$E,0)-1,0),"")</f>
        <v/>
      </c>
      <c r="S218" s="177"/>
      <c r="T218" s="177"/>
      <c r="U218" s="177"/>
      <c r="V218" s="177"/>
      <c r="W218" s="177">
        <f t="shared" ref="W218:W219" ca="1" si="70">(F218=R218)*1</f>
        <v>1</v>
      </c>
    </row>
    <row r="219" spans="1:23" customFormat="1">
      <c r="B219" s="7"/>
      <c r="C219" s="74"/>
      <c r="D219" s="66"/>
      <c r="E219" s="72" t="s">
        <v>176</v>
      </c>
      <c r="F219" s="1070" t="str">
        <f>_xlfn.IFNA(R219,"")</f>
        <v/>
      </c>
      <c r="G219" s="1071"/>
      <c r="H219" s="1072"/>
      <c r="I219" s="8"/>
      <c r="R219" s="131" t="str">
        <f>IF(OR(COUNTIF($E221:$E226,"&lt;&gt;〇〇(合意形成対象者名に書き換え)")=3,COUNTIF($E221:$E226,"")&gt;3),"",IF(PRODUCT($U221:$U226)=1,V221,""))</f>
        <v/>
      </c>
      <c r="S219" s="177"/>
      <c r="T219" s="177"/>
      <c r="U219" s="177"/>
      <c r="V219" s="177"/>
      <c r="W219" s="177">
        <f t="shared" si="70"/>
        <v>1</v>
      </c>
    </row>
    <row r="220" spans="1:23" ht="63.75" customHeight="1">
      <c r="B220" s="97"/>
      <c r="C220" s="98"/>
      <c r="D220" s="99"/>
      <c r="E220" s="374"/>
      <c r="F220" s="315" t="s">
        <v>283</v>
      </c>
      <c r="G220" s="315" t="s">
        <v>284</v>
      </c>
      <c r="H220" s="315" t="s">
        <v>281</v>
      </c>
      <c r="I220" s="100"/>
      <c r="J220" s="11"/>
      <c r="R220" s="128" t="s">
        <v>272</v>
      </c>
      <c r="S220" s="128" t="s">
        <v>432</v>
      </c>
      <c r="T220" s="131" t="s">
        <v>408</v>
      </c>
      <c r="U220" s="131" t="s">
        <v>436</v>
      </c>
      <c r="V220" s="128" t="s">
        <v>431</v>
      </c>
      <c r="W220" s="257"/>
    </row>
    <row r="221" spans="1:23" hidden="1">
      <c r="B221" s="97"/>
      <c r="C221" s="98"/>
      <c r="D221" s="99"/>
      <c r="E221" s="444"/>
      <c r="F221" s="445"/>
      <c r="G221" s="441"/>
      <c r="H221" s="441"/>
      <c r="I221" s="100"/>
      <c r="J221" s="11"/>
      <c r="R221" s="131">
        <f>IF(AND(F221="実施済",G221="実施済",H221="完了"),3,0)</f>
        <v>0</v>
      </c>
      <c r="S221" s="131" t="str">
        <f>IF(OR(E221="〇〇(合意形成対象者名に書き換え)",E221=""),"",R221)</f>
        <v/>
      </c>
      <c r="T221" s="131">
        <f t="shared" ref="T221:T226" si="71">MIN($S$221:$S$226)+1</f>
        <v>1</v>
      </c>
      <c r="U221" s="131">
        <f>IF(E221="",1,IF(AND(E221="〇〇(合意形成対象者名に書き換え)",COUNTA($F221:$H221)=0),1,IF(AND(E221&lt;&gt;"〇〇(合意形成対象者名に書き換え)",COUNTA($F221:$H221)=3),1,0)))</f>
        <v>1</v>
      </c>
      <c r="V221" s="131" t="str" cm="1">
        <f t="array" ref="V221">_xlfn.IFS(T221=4,"A",T221=3,"B",T221=2,"C",T221=1,"D")</f>
        <v>D</v>
      </c>
      <c r="W221" s="257"/>
    </row>
    <row r="222" spans="1:23">
      <c r="B222" s="97"/>
      <c r="C222" s="98"/>
      <c r="D222" s="99"/>
      <c r="E222" s="102" t="s">
        <v>129</v>
      </c>
      <c r="F222" s="449"/>
      <c r="G222" s="443"/>
      <c r="H222" s="443"/>
      <c r="I222" s="100"/>
      <c r="J222" s="11"/>
      <c r="R222" s="131">
        <f t="shared" ref="R222:R226" si="72">IF(AND(F222="実施済",G222="実施済",H222="完了"),3,0)</f>
        <v>0</v>
      </c>
      <c r="S222" s="131" t="str">
        <f t="shared" ref="S222:S226" si="73">IF(OR(E222="〇〇(合意形成対象者名に書き換え)",E222=""),"",R222)</f>
        <v/>
      </c>
      <c r="T222" s="131">
        <f t="shared" si="71"/>
        <v>1</v>
      </c>
      <c r="U222" s="131">
        <f>IF(E222="",1,IF(AND(E222="〇〇(合意形成対象者名に書き換え)",COUNTA($F222:$H222)=0),1,IF(AND(E222&lt;&gt;"〇〇(合意形成対象者名に書き換え)",COUNTA($F222:$H222)=3),1,0)))</f>
        <v>1</v>
      </c>
      <c r="V222" s="131" t="str" cm="1">
        <f t="array" ref="V222">_xlfn.IFS(T222=4,"A",T222=3,"B",T222=2,"C",T222=1,"D")</f>
        <v>D</v>
      </c>
      <c r="W222" s="257"/>
    </row>
    <row r="223" spans="1:23">
      <c r="B223" s="97"/>
      <c r="C223" s="98"/>
      <c r="D223" s="99"/>
      <c r="E223" s="102" t="s">
        <v>129</v>
      </c>
      <c r="F223" s="449"/>
      <c r="G223" s="443"/>
      <c r="H223" s="443"/>
      <c r="I223" s="100"/>
      <c r="J223" s="11"/>
      <c r="R223" s="131">
        <f t="shared" si="72"/>
        <v>0</v>
      </c>
      <c r="S223" s="131" t="str">
        <f t="shared" si="73"/>
        <v/>
      </c>
      <c r="T223" s="131">
        <f t="shared" si="71"/>
        <v>1</v>
      </c>
      <c r="U223" s="131">
        <f>IF(E223="",1,IF(AND(E223="〇〇(合意形成対象者名に書き換え)",COUNTA($F223:$H223)=0),1,IF(AND(E223&lt;&gt;"〇〇(合意形成対象者名に書き換え)",COUNTA($F223:$H223)=3),1,0)))</f>
        <v>1</v>
      </c>
      <c r="V223" s="131" t="str" cm="1">
        <f t="array" ref="V223">_xlfn.IFS(T223=4,"A",T223=3,"B",T223=2,"C",T223=1,"D")</f>
        <v>D</v>
      </c>
      <c r="W223" s="257"/>
    </row>
    <row r="224" spans="1:23" s="101" customFormat="1">
      <c r="A224" s="11"/>
      <c r="B224" s="97"/>
      <c r="C224" s="98"/>
      <c r="D224" s="99"/>
      <c r="E224" s="102" t="s">
        <v>129</v>
      </c>
      <c r="F224" s="449"/>
      <c r="G224" s="443"/>
      <c r="H224" s="443"/>
      <c r="I224" s="100"/>
      <c r="J224" s="11"/>
      <c r="M224" s="11"/>
      <c r="N224" s="11"/>
      <c r="O224" s="11"/>
      <c r="P224" s="11"/>
      <c r="Q224" s="11"/>
      <c r="R224" s="131">
        <f t="shared" si="72"/>
        <v>0</v>
      </c>
      <c r="S224" s="131" t="str">
        <f t="shared" si="73"/>
        <v/>
      </c>
      <c r="T224" s="131">
        <f t="shared" si="71"/>
        <v>1</v>
      </c>
      <c r="U224" s="131">
        <f>IF(E224="",1,IF(AND(E224="〇〇(合意形成対象者名に書き換え)",COUNTA($F224:$H224)=0),1,IF(AND(E224&lt;&gt;"〇〇(合意形成対象者名に書き換え)",COUNTA($F224:$H224)=3),1,0)))</f>
        <v>1</v>
      </c>
      <c r="V224" s="131" t="str" cm="1">
        <f t="array" ref="V224">_xlfn.IFS(T224=4,"A",T224=3,"B",T224=2,"C",T224=1,"D")</f>
        <v>D</v>
      </c>
      <c r="W224" s="131"/>
    </row>
    <row r="225" spans="1:23" customFormat="1" ht="7.5" customHeight="1">
      <c r="B225" s="65"/>
      <c r="C225" s="4"/>
      <c r="D225" s="4"/>
      <c r="E225" s="4"/>
      <c r="F225" s="4"/>
      <c r="G225" s="4"/>
      <c r="H225" s="4"/>
      <c r="I225" s="9"/>
      <c r="J225" s="2"/>
      <c r="K225" s="2"/>
      <c r="L225" s="2"/>
      <c r="R225" s="131">
        <f t="shared" si="72"/>
        <v>0</v>
      </c>
      <c r="S225" s="131" t="str">
        <f t="shared" si="73"/>
        <v/>
      </c>
      <c r="T225" s="131">
        <f t="shared" si="71"/>
        <v>1</v>
      </c>
      <c r="U225" s="131">
        <f t="shared" ref="U225:U226" si="74">IF(E225="",1,IF(AND(E225="〇〇(合意形成対象者名に書き換え)",COUNTA($F225:$H225)=0),1,IF(AND(E225&lt;&gt;"〇〇(合意形成対象者名に書き換え)",COUNTA($F225:$H225)=3),1,0)))</f>
        <v>1</v>
      </c>
      <c r="V225" s="131" t="str" cm="1">
        <f t="array" ref="V225">_xlfn.IFS(T225=4,"A",T225=3,"B",T225=2,"C",T225=1,"D")</f>
        <v>D</v>
      </c>
      <c r="W225" s="177"/>
    </row>
    <row r="226" spans="1:23" customFormat="1" ht="6" customHeight="1">
      <c r="J226" s="2"/>
      <c r="K226" s="2"/>
      <c r="L226" s="2"/>
      <c r="R226" s="131">
        <f t="shared" si="72"/>
        <v>0</v>
      </c>
      <c r="S226" s="131" t="str">
        <f t="shared" si="73"/>
        <v/>
      </c>
      <c r="T226" s="131">
        <f t="shared" si="71"/>
        <v>1</v>
      </c>
      <c r="U226" s="131">
        <f t="shared" si="74"/>
        <v>1</v>
      </c>
      <c r="V226" s="131" t="str" cm="1">
        <f t="array" ref="V226">_xlfn.IFS(T226=4,"A",T226=3,"B",T226=2,"C",T226=1,"D")</f>
        <v>D</v>
      </c>
      <c r="W226" s="177"/>
    </row>
    <row r="227" spans="1:23" customFormat="1" ht="103.5" customHeight="1">
      <c r="C227" s="78"/>
      <c r="D227" s="79"/>
      <c r="E227" s="71" t="s">
        <v>238</v>
      </c>
      <c r="F227" s="1057"/>
      <c r="G227" s="1057"/>
      <c r="H227" s="1057"/>
      <c r="I227" s="80" t="s">
        <v>132</v>
      </c>
      <c r="J227" s="80"/>
    </row>
    <row r="228" spans="1:23" customFormat="1" ht="146.25" customHeight="1">
      <c r="C228" s="75"/>
      <c r="D228" s="68"/>
      <c r="E228" s="71" t="s">
        <v>237</v>
      </c>
      <c r="F228" s="1057"/>
      <c r="G228" s="1057"/>
      <c r="H228" s="1057"/>
      <c r="J228" s="2"/>
      <c r="K228" s="2"/>
      <c r="L228" s="2"/>
    </row>
    <row r="229" spans="1:23" customFormat="1" ht="13.5" customHeight="1" thickBot="1">
      <c r="A229" s="81"/>
      <c r="B229" s="81"/>
      <c r="C229" s="81"/>
      <c r="D229" s="81"/>
      <c r="E229" s="81"/>
      <c r="F229" s="81"/>
      <c r="G229" s="81"/>
      <c r="H229" s="81"/>
      <c r="I229" s="81"/>
      <c r="J229" s="82"/>
      <c r="K229" s="2"/>
      <c r="L229" s="2"/>
    </row>
    <row r="230" spans="1:23" customFormat="1" ht="13.5" customHeight="1">
      <c r="J230" s="2"/>
      <c r="K230" s="2"/>
      <c r="L230" s="2"/>
    </row>
    <row r="231" spans="1:23" customFormat="1" ht="15" customHeight="1">
      <c r="B231" s="10"/>
      <c r="C231" s="5"/>
      <c r="D231" s="5"/>
      <c r="E231" s="5"/>
      <c r="F231" s="5"/>
      <c r="G231" s="5"/>
      <c r="H231" s="5"/>
      <c r="I231" s="6"/>
      <c r="R231" s="11" t="str">
        <f>D232</f>
        <v>(選択してください)</v>
      </c>
    </row>
    <row r="232" spans="1:23" customFormat="1">
      <c r="B232" s="7"/>
      <c r="C232" s="77" t="str">
        <f ca="1">IFERROR(OFFSET('4.2民生電力需要量'!$C$8,MATCH(D232,'4.2民生電力需要量'!$E$9:$E$49,0),0),"")</f>
        <v/>
      </c>
      <c r="D232" s="96" t="s">
        <v>130</v>
      </c>
      <c r="E232" s="72" t="s">
        <v>131</v>
      </c>
      <c r="F232" s="1063" t="str">
        <f ca="1">IFERROR(OFFSET('4.2民生電力需要量'!$G$1,MATCH($D232,'4.2民生電力需要量'!$E:$E,0)-1,0),"")</f>
        <v/>
      </c>
      <c r="G232" s="1063"/>
      <c r="H232" s="1063"/>
      <c r="I232" s="8"/>
      <c r="R232" s="257" t="str">
        <f ca="1">IFERROR(OFFSET('4.2民生電力需要量'!$G$1,MATCH($D232,'4.2民生電力需要量'!$E:$E,0)-1,0),"")</f>
        <v/>
      </c>
      <c r="S232" s="177"/>
      <c r="T232" s="177"/>
      <c r="U232" s="177"/>
      <c r="V232" s="177"/>
      <c r="W232" s="177">
        <f ca="1">(F232=R232)*1</f>
        <v>1</v>
      </c>
    </row>
    <row r="233" spans="1:23" customFormat="1">
      <c r="B233" s="7"/>
      <c r="C233" s="74"/>
      <c r="D233" s="66"/>
      <c r="E233" s="72" t="s">
        <v>221</v>
      </c>
      <c r="F233" s="1062" t="str">
        <f ca="1">IFERROR(OFFSET('4.2民生電力需要量'!$I$1,MATCH($D232,'4.2民生電力需要量'!$E:$E,0)-1,0),"")</f>
        <v/>
      </c>
      <c r="G233" s="1062"/>
      <c r="H233" s="1062"/>
      <c r="I233" s="8"/>
      <c r="R233" s="177" t="str">
        <f ca="1">IFERROR(OFFSET('4.2民生電力需要量'!$I$1,MATCH($D232,'4.2民生電力需要量'!$E:$E,0)-1,0),"")</f>
        <v/>
      </c>
      <c r="S233" s="177"/>
      <c r="T233" s="177"/>
      <c r="U233" s="177"/>
      <c r="V233" s="177"/>
      <c r="W233" s="177">
        <f t="shared" ref="W233:W234" ca="1" si="75">(F233=R233)*1</f>
        <v>1</v>
      </c>
    </row>
    <row r="234" spans="1:23" customFormat="1">
      <c r="B234" s="7"/>
      <c r="C234" s="74"/>
      <c r="D234" s="66"/>
      <c r="E234" s="72" t="s">
        <v>176</v>
      </c>
      <c r="F234" s="1070" t="str">
        <f>_xlfn.IFNA(R234,"")</f>
        <v/>
      </c>
      <c r="G234" s="1071"/>
      <c r="H234" s="1072"/>
      <c r="I234" s="8"/>
      <c r="R234" s="131" t="str">
        <f>IF(OR(COUNTIF($E236:$E241,"&lt;&gt;〇〇(合意形成対象者名に書き換え)")=3,COUNTIF($E236:$E241,"")&gt;3),"",IF(PRODUCT($U236:$U241)=1,V236,""))</f>
        <v/>
      </c>
      <c r="S234" s="177"/>
      <c r="T234" s="177"/>
      <c r="U234" s="177"/>
      <c r="V234" s="177"/>
      <c r="W234" s="177">
        <f t="shared" si="75"/>
        <v>1</v>
      </c>
    </row>
    <row r="235" spans="1:23" ht="63.75" customHeight="1">
      <c r="B235" s="97"/>
      <c r="C235" s="98"/>
      <c r="D235" s="99"/>
      <c r="E235" s="374"/>
      <c r="F235" s="315" t="s">
        <v>283</v>
      </c>
      <c r="G235" s="315" t="s">
        <v>284</v>
      </c>
      <c r="H235" s="315" t="s">
        <v>281</v>
      </c>
      <c r="I235" s="100"/>
      <c r="J235" s="11"/>
      <c r="R235" s="128" t="s">
        <v>272</v>
      </c>
      <c r="S235" s="128" t="s">
        <v>432</v>
      </c>
      <c r="T235" s="131" t="s">
        <v>408</v>
      </c>
      <c r="U235" s="131" t="s">
        <v>436</v>
      </c>
      <c r="V235" s="128" t="s">
        <v>431</v>
      </c>
      <c r="W235" s="257"/>
    </row>
    <row r="236" spans="1:23" hidden="1">
      <c r="B236" s="97"/>
      <c r="C236" s="98"/>
      <c r="D236" s="99"/>
      <c r="E236" s="444"/>
      <c r="F236" s="445"/>
      <c r="G236" s="441"/>
      <c r="H236" s="441"/>
      <c r="I236" s="100"/>
      <c r="J236" s="11"/>
      <c r="R236" s="131">
        <f>IF(AND(F236="実施済",G236="実施済",H236="完了"),3,0)</f>
        <v>0</v>
      </c>
      <c r="S236" s="131" t="str">
        <f>IF(OR(E236="〇〇(合意形成対象者名に書き換え)",E236=""),"",R236)</f>
        <v/>
      </c>
      <c r="T236" s="131">
        <f t="shared" ref="T236:T241" si="76">MIN($S$236:$S$241)+1</f>
        <v>1</v>
      </c>
      <c r="U236" s="131">
        <f>IF(E236="",1,IF(AND(E236="〇〇(合意形成対象者名に書き換え)",COUNTA($F236:$H236)=0),1,IF(AND(E236&lt;&gt;"〇〇(合意形成対象者名に書き換え)",COUNTA($F236:$H236)=3),1,0)))</f>
        <v>1</v>
      </c>
      <c r="V236" s="131" t="str" cm="1">
        <f t="array" ref="V236">_xlfn.IFS(T236=4,"A",T236=3,"B",T236=2,"C",T236=1,"D")</f>
        <v>D</v>
      </c>
      <c r="W236" s="257"/>
    </row>
    <row r="237" spans="1:23">
      <c r="B237" s="97"/>
      <c r="C237" s="98"/>
      <c r="D237" s="99"/>
      <c r="E237" s="102" t="s">
        <v>129</v>
      </c>
      <c r="F237" s="449"/>
      <c r="G237" s="443"/>
      <c r="H237" s="443"/>
      <c r="I237" s="100"/>
      <c r="J237" s="11"/>
      <c r="R237" s="131">
        <f t="shared" ref="R237:R241" si="77">IF(AND(F237="実施済",G237="実施済",H237="完了"),3,0)</f>
        <v>0</v>
      </c>
      <c r="S237" s="131" t="str">
        <f t="shared" ref="S237:S241" si="78">IF(OR(E237="〇〇(合意形成対象者名に書き換え)",E237=""),"",R237)</f>
        <v/>
      </c>
      <c r="T237" s="131">
        <f t="shared" si="76"/>
        <v>1</v>
      </c>
      <c r="U237" s="131">
        <f>IF(E237="",1,IF(AND(E237="〇〇(合意形成対象者名に書き換え)",COUNTA($F237:$H237)=0),1,IF(AND(E237&lt;&gt;"〇〇(合意形成対象者名に書き換え)",COUNTA($F237:$H237)=3),1,0)))</f>
        <v>1</v>
      </c>
      <c r="V237" s="131" t="str" cm="1">
        <f t="array" ref="V237">_xlfn.IFS(T237=4,"A",T237=3,"B",T237=2,"C",T237=1,"D")</f>
        <v>D</v>
      </c>
      <c r="W237" s="257"/>
    </row>
    <row r="238" spans="1:23">
      <c r="B238" s="97"/>
      <c r="C238" s="98"/>
      <c r="D238" s="99"/>
      <c r="E238" s="102" t="s">
        <v>129</v>
      </c>
      <c r="F238" s="449"/>
      <c r="G238" s="443"/>
      <c r="H238" s="443"/>
      <c r="I238" s="100"/>
      <c r="J238" s="11"/>
      <c r="R238" s="131">
        <f t="shared" si="77"/>
        <v>0</v>
      </c>
      <c r="S238" s="131" t="str">
        <f t="shared" si="78"/>
        <v/>
      </c>
      <c r="T238" s="131">
        <f t="shared" si="76"/>
        <v>1</v>
      </c>
      <c r="U238" s="131">
        <f>IF(E238="",1,IF(AND(E238="〇〇(合意形成対象者名に書き換え)",COUNTA($F238:$H238)=0),1,IF(AND(E238&lt;&gt;"〇〇(合意形成対象者名に書き換え)",COUNTA($F238:$H238)=3),1,0)))</f>
        <v>1</v>
      </c>
      <c r="V238" s="131" t="str" cm="1">
        <f t="array" ref="V238">_xlfn.IFS(T238=4,"A",T238=3,"B",T238=2,"C",T238=1,"D")</f>
        <v>D</v>
      </c>
      <c r="W238" s="257"/>
    </row>
    <row r="239" spans="1:23" s="101" customFormat="1">
      <c r="A239" s="11"/>
      <c r="B239" s="97"/>
      <c r="C239" s="98"/>
      <c r="D239" s="99"/>
      <c r="E239" s="102" t="s">
        <v>129</v>
      </c>
      <c r="F239" s="449"/>
      <c r="G239" s="443"/>
      <c r="H239" s="443"/>
      <c r="I239" s="100"/>
      <c r="J239" s="11"/>
      <c r="M239" s="11"/>
      <c r="N239" s="11"/>
      <c r="O239" s="11"/>
      <c r="P239" s="11"/>
      <c r="Q239" s="11"/>
      <c r="R239" s="131">
        <f t="shared" si="77"/>
        <v>0</v>
      </c>
      <c r="S239" s="131" t="str">
        <f t="shared" si="78"/>
        <v/>
      </c>
      <c r="T239" s="131">
        <f t="shared" si="76"/>
        <v>1</v>
      </c>
      <c r="U239" s="131">
        <f>IF(E239="",1,IF(AND(E239="〇〇(合意形成対象者名に書き換え)",COUNTA($F239:$H239)=0),1,IF(AND(E239&lt;&gt;"〇〇(合意形成対象者名に書き換え)",COUNTA($F239:$H239)=3),1,0)))</f>
        <v>1</v>
      </c>
      <c r="V239" s="131" t="str" cm="1">
        <f t="array" ref="V239">_xlfn.IFS(T239=4,"A",T239=3,"B",T239=2,"C",T239=1,"D")</f>
        <v>D</v>
      </c>
      <c r="W239" s="131"/>
    </row>
    <row r="240" spans="1:23" customFormat="1" ht="7.5" customHeight="1">
      <c r="B240" s="65"/>
      <c r="C240" s="4"/>
      <c r="D240" s="4"/>
      <c r="E240" s="4"/>
      <c r="F240" s="4"/>
      <c r="G240" s="4"/>
      <c r="H240" s="4"/>
      <c r="I240" s="9"/>
      <c r="J240" s="2"/>
      <c r="K240" s="2"/>
      <c r="L240" s="2"/>
      <c r="R240" s="131">
        <f t="shared" si="77"/>
        <v>0</v>
      </c>
      <c r="S240" s="131" t="str">
        <f t="shared" si="78"/>
        <v/>
      </c>
      <c r="T240" s="131">
        <f t="shared" si="76"/>
        <v>1</v>
      </c>
      <c r="U240" s="131">
        <f t="shared" ref="U240:U241" si="79">IF(E240="",1,IF(AND(E240="〇〇(合意形成対象者名に書き換え)",COUNTA($F240:$H240)=0),1,IF(AND(E240&lt;&gt;"〇〇(合意形成対象者名に書き換え)",COUNTA($F240:$H240)=3),1,0)))</f>
        <v>1</v>
      </c>
      <c r="V240" s="131" t="str" cm="1">
        <f t="array" ref="V240">_xlfn.IFS(T240=4,"A",T240=3,"B",T240=2,"C",T240=1,"D")</f>
        <v>D</v>
      </c>
      <c r="W240" s="177"/>
    </row>
    <row r="241" spans="1:23" customFormat="1" ht="6" customHeight="1">
      <c r="J241" s="2"/>
      <c r="K241" s="2"/>
      <c r="L241" s="2"/>
      <c r="R241" s="131">
        <f t="shared" si="77"/>
        <v>0</v>
      </c>
      <c r="S241" s="131" t="str">
        <f t="shared" si="78"/>
        <v/>
      </c>
      <c r="T241" s="131">
        <f t="shared" si="76"/>
        <v>1</v>
      </c>
      <c r="U241" s="131">
        <f t="shared" si="79"/>
        <v>1</v>
      </c>
      <c r="V241" s="131" t="str" cm="1">
        <f t="array" ref="V241">_xlfn.IFS(T241=4,"A",T241=3,"B",T241=2,"C",T241=1,"D")</f>
        <v>D</v>
      </c>
      <c r="W241" s="177"/>
    </row>
    <row r="242" spans="1:23" customFormat="1" ht="103.5" customHeight="1">
      <c r="C242" s="78"/>
      <c r="D242" s="79"/>
      <c r="E242" s="71" t="s">
        <v>238</v>
      </c>
      <c r="F242" s="1057"/>
      <c r="G242" s="1057"/>
      <c r="H242" s="1057"/>
      <c r="I242" s="80" t="s">
        <v>132</v>
      </c>
      <c r="J242" s="80"/>
    </row>
    <row r="243" spans="1:23" customFormat="1" ht="146.25" customHeight="1">
      <c r="C243" s="75"/>
      <c r="D243" s="68"/>
      <c r="E243" s="71" t="s">
        <v>237</v>
      </c>
      <c r="F243" s="1057"/>
      <c r="G243" s="1057"/>
      <c r="H243" s="1057"/>
      <c r="J243" s="2"/>
      <c r="K243" s="2"/>
      <c r="L243" s="2"/>
    </row>
    <row r="244" spans="1:23" customFormat="1" ht="13.5" customHeight="1" thickBot="1">
      <c r="A244" s="81"/>
      <c r="B244" s="81"/>
      <c r="C244" s="81"/>
      <c r="D244" s="81"/>
      <c r="E244" s="81"/>
      <c r="F244" s="81"/>
      <c r="G244" s="81"/>
      <c r="H244" s="81"/>
      <c r="I244" s="81"/>
      <c r="J244" s="82"/>
      <c r="K244" s="2"/>
      <c r="L244" s="2"/>
    </row>
    <row r="245" spans="1:23" customFormat="1" ht="13.5" customHeight="1">
      <c r="J245" s="2"/>
      <c r="K245" s="2"/>
      <c r="L245" s="2"/>
    </row>
    <row r="246" spans="1:23" customFormat="1" ht="15" customHeight="1">
      <c r="B246" s="10"/>
      <c r="C246" s="5"/>
      <c r="D246" s="5"/>
      <c r="E246" s="5"/>
      <c r="F246" s="5"/>
      <c r="G246" s="5"/>
      <c r="H246" s="5"/>
      <c r="I246" s="6"/>
      <c r="R246" s="11" t="str">
        <f>D247</f>
        <v>(選択してください)</v>
      </c>
    </row>
    <row r="247" spans="1:23" customFormat="1">
      <c r="B247" s="7"/>
      <c r="C247" s="77" t="str">
        <f ca="1">IFERROR(OFFSET('4.2民生電力需要量'!$C$8,MATCH(D247,'4.2民生電力需要量'!$E$9:$E$49,0),0),"")</f>
        <v/>
      </c>
      <c r="D247" s="96" t="s">
        <v>130</v>
      </c>
      <c r="E247" s="72" t="s">
        <v>131</v>
      </c>
      <c r="F247" s="1063" t="str">
        <f ca="1">IFERROR(OFFSET('4.2民生電力需要量'!$G$1,MATCH($D247,'4.2民生電力需要量'!$E:$E,0)-1,0),"")</f>
        <v/>
      </c>
      <c r="G247" s="1063"/>
      <c r="H247" s="1063"/>
      <c r="I247" s="8"/>
      <c r="R247" s="257" t="str">
        <f ca="1">IFERROR(OFFSET('4.2民生電力需要量'!$G$1,MATCH($D247,'4.2民生電力需要量'!$E:$E,0)-1,0),"")</f>
        <v/>
      </c>
      <c r="S247" s="177"/>
      <c r="T247" s="177"/>
      <c r="U247" s="177"/>
      <c r="V247" s="177"/>
      <c r="W247" s="177">
        <f ca="1">(F247=R247)*1</f>
        <v>1</v>
      </c>
    </row>
    <row r="248" spans="1:23" customFormat="1">
      <c r="B248" s="7"/>
      <c r="C248" s="74"/>
      <c r="D248" s="66"/>
      <c r="E248" s="72" t="s">
        <v>221</v>
      </c>
      <c r="F248" s="1062" t="str">
        <f ca="1">IFERROR(OFFSET('4.2民生電力需要量'!$I$1,MATCH($D247,'4.2民生電力需要量'!$E:$E,0)-1,0),"")</f>
        <v/>
      </c>
      <c r="G248" s="1062"/>
      <c r="H248" s="1062"/>
      <c r="I248" s="8"/>
      <c r="R248" s="177" t="str">
        <f ca="1">IFERROR(OFFSET('4.2民生電力需要量'!$I$1,MATCH($D247,'4.2民生電力需要量'!$E:$E,0)-1,0),"")</f>
        <v/>
      </c>
      <c r="S248" s="177"/>
      <c r="T248" s="177"/>
      <c r="U248" s="177"/>
      <c r="V248" s="177"/>
      <c r="W248" s="177">
        <f t="shared" ref="W248:W249" ca="1" si="80">(F248=R248)*1</f>
        <v>1</v>
      </c>
    </row>
    <row r="249" spans="1:23" customFormat="1">
      <c r="B249" s="7"/>
      <c r="C249" s="74"/>
      <c r="D249" s="66"/>
      <c r="E249" s="72" t="s">
        <v>176</v>
      </c>
      <c r="F249" s="1070" t="str">
        <f>_xlfn.IFNA(R249,"")</f>
        <v/>
      </c>
      <c r="G249" s="1071"/>
      <c r="H249" s="1072"/>
      <c r="I249" s="8"/>
      <c r="R249" s="131" t="str">
        <f>IF(OR(COUNTIF($E251:$E256,"&lt;&gt;〇〇(合意形成対象者名に書き換え)")=3,COUNTIF($E251:$E256,"")&gt;3),"",IF(PRODUCT($U251:$U256)=1,V251,""))</f>
        <v/>
      </c>
      <c r="S249" s="177"/>
      <c r="T249" s="177"/>
      <c r="U249" s="177"/>
      <c r="V249" s="177"/>
      <c r="W249" s="177">
        <f t="shared" si="80"/>
        <v>1</v>
      </c>
    </row>
    <row r="250" spans="1:23" ht="63.75" customHeight="1">
      <c r="B250" s="97"/>
      <c r="C250" s="98"/>
      <c r="D250" s="99"/>
      <c r="E250" s="374"/>
      <c r="F250" s="315" t="s">
        <v>283</v>
      </c>
      <c r="G250" s="315" t="s">
        <v>284</v>
      </c>
      <c r="H250" s="315" t="s">
        <v>281</v>
      </c>
      <c r="I250" s="100"/>
      <c r="J250" s="11"/>
      <c r="R250" s="128" t="s">
        <v>272</v>
      </c>
      <c r="S250" s="128" t="s">
        <v>432</v>
      </c>
      <c r="T250" s="131" t="s">
        <v>408</v>
      </c>
      <c r="U250" s="131" t="s">
        <v>436</v>
      </c>
      <c r="V250" s="128" t="s">
        <v>431</v>
      </c>
      <c r="W250" s="257"/>
    </row>
    <row r="251" spans="1:23" hidden="1">
      <c r="B251" s="97"/>
      <c r="C251" s="98"/>
      <c r="D251" s="99"/>
      <c r="E251" s="444"/>
      <c r="F251" s="445"/>
      <c r="G251" s="441"/>
      <c r="H251" s="441"/>
      <c r="I251" s="100"/>
      <c r="J251" s="11"/>
      <c r="R251" s="131">
        <f>IF(AND(F251="実施済",G251="実施済",H251="完了"),3,0)</f>
        <v>0</v>
      </c>
      <c r="S251" s="131" t="str">
        <f>IF(OR(E251="〇〇(合意形成対象者名に書き換え)",E251=""),"",R251)</f>
        <v/>
      </c>
      <c r="T251" s="131">
        <f t="shared" ref="T251:T256" si="81">MIN($S$251:$S$256)+1</f>
        <v>1</v>
      </c>
      <c r="U251" s="131">
        <f>IF(E251="",1,IF(AND(E251="〇〇(合意形成対象者名に書き換え)",COUNTA($F251:$H251)=0),1,IF(AND(E251&lt;&gt;"〇〇(合意形成対象者名に書き換え)",COUNTA($F251:$H251)=3),1,0)))</f>
        <v>1</v>
      </c>
      <c r="V251" s="131" t="str" cm="1">
        <f t="array" ref="V251">_xlfn.IFS(T251=4,"A",T251=3,"B",T251=2,"C",T251=1,"D")</f>
        <v>D</v>
      </c>
      <c r="W251" s="257"/>
    </row>
    <row r="252" spans="1:23">
      <c r="B252" s="97"/>
      <c r="C252" s="98"/>
      <c r="D252" s="99"/>
      <c r="E252" s="102" t="s">
        <v>129</v>
      </c>
      <c r="F252" s="449"/>
      <c r="G252" s="443"/>
      <c r="H252" s="443"/>
      <c r="I252" s="100"/>
      <c r="J252" s="11"/>
      <c r="R252" s="131">
        <f t="shared" ref="R252:R256" si="82">IF(AND(F252="実施済",G252="実施済",H252="完了"),3,0)</f>
        <v>0</v>
      </c>
      <c r="S252" s="131" t="str">
        <f t="shared" ref="S252:S256" si="83">IF(OR(E252="〇〇(合意形成対象者名に書き換え)",E252=""),"",R252)</f>
        <v/>
      </c>
      <c r="T252" s="131">
        <f t="shared" si="81"/>
        <v>1</v>
      </c>
      <c r="U252" s="131">
        <f>IF(E252="",1,IF(AND(E252="〇〇(合意形成対象者名に書き換え)",COUNTA($F252:$H252)=0),1,IF(AND(E252&lt;&gt;"〇〇(合意形成対象者名に書き換え)",COUNTA($F252:$H252)=3),1,0)))</f>
        <v>1</v>
      </c>
      <c r="V252" s="131" t="str" cm="1">
        <f t="array" ref="V252">_xlfn.IFS(T252=4,"A",T252=3,"B",T252=2,"C",T252=1,"D")</f>
        <v>D</v>
      </c>
      <c r="W252" s="257"/>
    </row>
    <row r="253" spans="1:23">
      <c r="B253" s="97"/>
      <c r="C253" s="98"/>
      <c r="D253" s="99"/>
      <c r="E253" s="102" t="s">
        <v>129</v>
      </c>
      <c r="F253" s="449"/>
      <c r="G253" s="443"/>
      <c r="H253" s="443"/>
      <c r="I253" s="100"/>
      <c r="J253" s="11"/>
      <c r="R253" s="131">
        <f t="shared" si="82"/>
        <v>0</v>
      </c>
      <c r="S253" s="131" t="str">
        <f t="shared" si="83"/>
        <v/>
      </c>
      <c r="T253" s="131">
        <f t="shared" si="81"/>
        <v>1</v>
      </c>
      <c r="U253" s="131">
        <f>IF(E253="",1,IF(AND(E253="〇〇(合意形成対象者名に書き換え)",COUNTA($F253:$H253)=0),1,IF(AND(E253&lt;&gt;"〇〇(合意形成対象者名に書き換え)",COUNTA($F253:$H253)=3),1,0)))</f>
        <v>1</v>
      </c>
      <c r="V253" s="131" t="str" cm="1">
        <f t="array" ref="V253">_xlfn.IFS(T253=4,"A",T253=3,"B",T253=2,"C",T253=1,"D")</f>
        <v>D</v>
      </c>
      <c r="W253" s="257"/>
    </row>
    <row r="254" spans="1:23" s="101" customFormat="1">
      <c r="A254" s="11"/>
      <c r="B254" s="97"/>
      <c r="C254" s="98"/>
      <c r="D254" s="99"/>
      <c r="E254" s="102" t="s">
        <v>129</v>
      </c>
      <c r="F254" s="449"/>
      <c r="G254" s="443"/>
      <c r="H254" s="443"/>
      <c r="I254" s="100"/>
      <c r="J254" s="11"/>
      <c r="M254" s="11"/>
      <c r="N254" s="11"/>
      <c r="O254" s="11"/>
      <c r="P254" s="11"/>
      <c r="Q254" s="11"/>
      <c r="R254" s="131">
        <f t="shared" si="82"/>
        <v>0</v>
      </c>
      <c r="S254" s="131" t="str">
        <f t="shared" si="83"/>
        <v/>
      </c>
      <c r="T254" s="131">
        <f t="shared" si="81"/>
        <v>1</v>
      </c>
      <c r="U254" s="131">
        <f>IF(E254="",1,IF(AND(E254="〇〇(合意形成対象者名に書き換え)",COUNTA($F254:$H254)=0),1,IF(AND(E254&lt;&gt;"〇〇(合意形成対象者名に書き換え)",COUNTA($F254:$H254)=3),1,0)))</f>
        <v>1</v>
      </c>
      <c r="V254" s="131" t="str" cm="1">
        <f t="array" ref="V254">_xlfn.IFS(T254=4,"A",T254=3,"B",T254=2,"C",T254=1,"D")</f>
        <v>D</v>
      </c>
      <c r="W254" s="131"/>
    </row>
    <row r="255" spans="1:23" customFormat="1" ht="7.5" customHeight="1">
      <c r="B255" s="65"/>
      <c r="C255" s="4"/>
      <c r="D255" s="4"/>
      <c r="E255" s="4"/>
      <c r="F255" s="4"/>
      <c r="G255" s="4"/>
      <c r="H255" s="4"/>
      <c r="I255" s="9"/>
      <c r="J255" s="2"/>
      <c r="K255" s="2"/>
      <c r="L255" s="2"/>
      <c r="R255" s="131">
        <f t="shared" si="82"/>
        <v>0</v>
      </c>
      <c r="S255" s="131" t="str">
        <f t="shared" si="83"/>
        <v/>
      </c>
      <c r="T255" s="131">
        <f t="shared" si="81"/>
        <v>1</v>
      </c>
      <c r="U255" s="131">
        <f t="shared" ref="U255:U256" si="84">IF(E255="",1,IF(AND(E255="〇〇(合意形成対象者名に書き換え)",COUNTA($F255:$H255)=0),1,IF(AND(E255&lt;&gt;"〇〇(合意形成対象者名に書き換え)",COUNTA($F255:$H255)=3),1,0)))</f>
        <v>1</v>
      </c>
      <c r="V255" s="131" t="str" cm="1">
        <f t="array" ref="V255">_xlfn.IFS(T255=4,"A",T255=3,"B",T255=2,"C",T255=1,"D")</f>
        <v>D</v>
      </c>
      <c r="W255" s="177"/>
    </row>
    <row r="256" spans="1:23" customFormat="1" ht="6" customHeight="1">
      <c r="J256" s="2"/>
      <c r="K256" s="2"/>
      <c r="L256" s="2"/>
      <c r="R256" s="131">
        <f t="shared" si="82"/>
        <v>0</v>
      </c>
      <c r="S256" s="131" t="str">
        <f t="shared" si="83"/>
        <v/>
      </c>
      <c r="T256" s="131">
        <f t="shared" si="81"/>
        <v>1</v>
      </c>
      <c r="U256" s="131">
        <f t="shared" si="84"/>
        <v>1</v>
      </c>
      <c r="V256" s="131" t="str" cm="1">
        <f t="array" ref="V256">_xlfn.IFS(T256=4,"A",T256=3,"B",T256=2,"C",T256=1,"D")</f>
        <v>D</v>
      </c>
      <c r="W256" s="177"/>
    </row>
    <row r="257" spans="1:23" customFormat="1" ht="103.5" customHeight="1">
      <c r="C257" s="78"/>
      <c r="D257" s="79"/>
      <c r="E257" s="71" t="s">
        <v>238</v>
      </c>
      <c r="F257" s="1057"/>
      <c r="G257" s="1057"/>
      <c r="H257" s="1057"/>
      <c r="I257" s="80" t="s">
        <v>132</v>
      </c>
      <c r="J257" s="80"/>
    </row>
    <row r="258" spans="1:23" customFormat="1" ht="146.25" customHeight="1">
      <c r="C258" s="75"/>
      <c r="D258" s="68"/>
      <c r="E258" s="71" t="s">
        <v>237</v>
      </c>
      <c r="F258" s="1057"/>
      <c r="G258" s="1057"/>
      <c r="H258" s="1057"/>
      <c r="J258" s="2"/>
      <c r="K258" s="2"/>
      <c r="L258" s="2"/>
    </row>
    <row r="259" spans="1:23" customFormat="1" ht="13.5" customHeight="1" thickBot="1">
      <c r="A259" s="81"/>
      <c r="B259" s="81"/>
      <c r="C259" s="81"/>
      <c r="D259" s="81"/>
      <c r="E259" s="81"/>
      <c r="F259" s="81"/>
      <c r="G259" s="81"/>
      <c r="H259" s="81"/>
      <c r="I259" s="81"/>
      <c r="J259" s="82"/>
      <c r="K259" s="2"/>
      <c r="L259" s="2"/>
    </row>
    <row r="260" spans="1:23" customFormat="1" ht="13.5" customHeight="1">
      <c r="J260" s="2"/>
      <c r="K260" s="2"/>
      <c r="L260" s="2"/>
    </row>
    <row r="261" spans="1:23" customFormat="1" ht="15" customHeight="1">
      <c r="B261" s="10"/>
      <c r="C261" s="5"/>
      <c r="D261" s="5"/>
      <c r="E261" s="5"/>
      <c r="F261" s="5"/>
      <c r="G261" s="5"/>
      <c r="H261" s="5"/>
      <c r="I261" s="6"/>
      <c r="R261" s="11" t="str">
        <f>D262</f>
        <v>(選択してください)</v>
      </c>
    </row>
    <row r="262" spans="1:23" customFormat="1">
      <c r="B262" s="7"/>
      <c r="C262" s="77" t="str">
        <f ca="1">IFERROR(OFFSET('4.2民生電力需要量'!$C$8,MATCH(D262,'4.2民生電力需要量'!$E$9:$E$49,0),0),"")</f>
        <v/>
      </c>
      <c r="D262" s="96" t="s">
        <v>130</v>
      </c>
      <c r="E262" s="72" t="s">
        <v>131</v>
      </c>
      <c r="F262" s="1063" t="str">
        <f ca="1">IFERROR(OFFSET('4.2民生電力需要量'!$G$1,MATCH($D262,'4.2民生電力需要量'!$E:$E,0)-1,0),"")</f>
        <v/>
      </c>
      <c r="G262" s="1063"/>
      <c r="H262" s="1063"/>
      <c r="I262" s="8"/>
      <c r="R262" s="257" t="str">
        <f ca="1">IFERROR(OFFSET('4.2民生電力需要量'!$G$1,MATCH($D262,'4.2民生電力需要量'!$E:$E,0)-1,0),"")</f>
        <v/>
      </c>
      <c r="S262" s="177"/>
      <c r="T262" s="177"/>
      <c r="U262" s="177"/>
      <c r="V262" s="177"/>
      <c r="W262" s="177">
        <f ca="1">(F262=R262)*1</f>
        <v>1</v>
      </c>
    </row>
    <row r="263" spans="1:23" customFormat="1">
      <c r="B263" s="7"/>
      <c r="C263" s="74"/>
      <c r="D263" s="66"/>
      <c r="E263" s="72" t="s">
        <v>221</v>
      </c>
      <c r="F263" s="1062" t="str">
        <f ca="1">IFERROR(OFFSET('4.2民生電力需要量'!$I$1,MATCH($D262,'4.2民生電力需要量'!$E:$E,0)-1,0),"")</f>
        <v/>
      </c>
      <c r="G263" s="1062"/>
      <c r="H263" s="1062"/>
      <c r="I263" s="8"/>
      <c r="R263" s="177" t="str">
        <f ca="1">IFERROR(OFFSET('4.2民生電力需要量'!$I$1,MATCH($D262,'4.2民生電力需要量'!$E:$E,0)-1,0),"")</f>
        <v/>
      </c>
      <c r="S263" s="177"/>
      <c r="T263" s="177"/>
      <c r="U263" s="177"/>
      <c r="V263" s="177"/>
      <c r="W263" s="177">
        <f t="shared" ref="W263:W264" ca="1" si="85">(F263=R263)*1</f>
        <v>1</v>
      </c>
    </row>
    <row r="264" spans="1:23" customFormat="1">
      <c r="B264" s="7"/>
      <c r="C264" s="74"/>
      <c r="D264" s="66"/>
      <c r="E264" s="72" t="s">
        <v>176</v>
      </c>
      <c r="F264" s="1070" t="str">
        <f>_xlfn.IFNA(R264,"")</f>
        <v/>
      </c>
      <c r="G264" s="1071"/>
      <c r="H264" s="1072"/>
      <c r="I264" s="8"/>
      <c r="R264" s="131" t="str">
        <f>IF(OR(COUNTIF($E266:$E271,"&lt;&gt;〇〇(合意形成対象者名に書き換え)")=3,COUNTIF($E266:$E271,"")&gt;3),"",IF(PRODUCT($U266:$U271)=1,V266,""))</f>
        <v/>
      </c>
      <c r="S264" s="177"/>
      <c r="T264" s="177"/>
      <c r="U264" s="177"/>
      <c r="V264" s="177"/>
      <c r="W264" s="177">
        <f t="shared" si="85"/>
        <v>1</v>
      </c>
    </row>
    <row r="265" spans="1:23" ht="63.75" customHeight="1">
      <c r="B265" s="97"/>
      <c r="C265" s="98"/>
      <c r="D265" s="99"/>
      <c r="E265" s="374"/>
      <c r="F265" s="315" t="s">
        <v>283</v>
      </c>
      <c r="G265" s="315" t="s">
        <v>284</v>
      </c>
      <c r="H265" s="315" t="s">
        <v>281</v>
      </c>
      <c r="I265" s="100"/>
      <c r="J265" s="11"/>
      <c r="R265" s="128" t="s">
        <v>272</v>
      </c>
      <c r="S265" s="128" t="s">
        <v>432</v>
      </c>
      <c r="T265" s="131" t="s">
        <v>408</v>
      </c>
      <c r="U265" s="131" t="s">
        <v>436</v>
      </c>
      <c r="V265" s="128" t="s">
        <v>431</v>
      </c>
      <c r="W265" s="257"/>
    </row>
    <row r="266" spans="1:23" hidden="1">
      <c r="B266" s="97"/>
      <c r="C266" s="98"/>
      <c r="D266" s="99"/>
      <c r="E266" s="444"/>
      <c r="F266" s="445"/>
      <c r="G266" s="441"/>
      <c r="H266" s="441"/>
      <c r="I266" s="100"/>
      <c r="J266" s="11"/>
      <c r="R266" s="131">
        <f>IF(AND(F266="実施済",G266="実施済",H266="完了"),3,0)</f>
        <v>0</v>
      </c>
      <c r="S266" s="131" t="str">
        <f>IF(OR(E266="〇〇(合意形成対象者名に書き換え)",E266=""),"",R266)</f>
        <v/>
      </c>
      <c r="T266" s="131">
        <f t="shared" ref="T266:T271" si="86">MIN($S$266:$S$271)+1</f>
        <v>1</v>
      </c>
      <c r="U266" s="131">
        <f>IF(E266="",1,IF(AND(E266="〇〇(合意形成対象者名に書き換え)",COUNTA($F266:$H266)=0),1,IF(AND(E266&lt;&gt;"〇〇(合意形成対象者名に書き換え)",COUNTA($F266:$H266)=3),1,0)))</f>
        <v>1</v>
      </c>
      <c r="V266" s="131" t="str" cm="1">
        <f t="array" ref="V266">_xlfn.IFS(T266=4,"A",T266=3,"B",T266=2,"C",T266=1,"D")</f>
        <v>D</v>
      </c>
      <c r="W266" s="257"/>
    </row>
    <row r="267" spans="1:23">
      <c r="B267" s="97"/>
      <c r="C267" s="98"/>
      <c r="D267" s="99"/>
      <c r="E267" s="102" t="s">
        <v>129</v>
      </c>
      <c r="F267" s="449"/>
      <c r="G267" s="443"/>
      <c r="H267" s="443"/>
      <c r="I267" s="100"/>
      <c r="J267" s="11"/>
      <c r="R267" s="131">
        <f t="shared" ref="R267:R271" si="87">IF(AND(F267="実施済",G267="実施済",H267="完了"),3,0)</f>
        <v>0</v>
      </c>
      <c r="S267" s="131" t="str">
        <f t="shared" ref="S267:S271" si="88">IF(OR(E267="〇〇(合意形成対象者名に書き換え)",E267=""),"",R267)</f>
        <v/>
      </c>
      <c r="T267" s="131">
        <f t="shared" si="86"/>
        <v>1</v>
      </c>
      <c r="U267" s="131">
        <f>IF(E267="",1,IF(AND(E267="〇〇(合意形成対象者名に書き換え)",COUNTA($F267:$H267)=0),1,IF(AND(E267&lt;&gt;"〇〇(合意形成対象者名に書き換え)",COUNTA($F267:$H267)=3),1,0)))</f>
        <v>1</v>
      </c>
      <c r="V267" s="131" t="str" cm="1">
        <f t="array" ref="V267">_xlfn.IFS(T267=4,"A",T267=3,"B",T267=2,"C",T267=1,"D")</f>
        <v>D</v>
      </c>
      <c r="W267" s="257"/>
    </row>
    <row r="268" spans="1:23">
      <c r="B268" s="97"/>
      <c r="C268" s="98"/>
      <c r="D268" s="99"/>
      <c r="E268" s="102" t="s">
        <v>129</v>
      </c>
      <c r="F268" s="449"/>
      <c r="G268" s="443"/>
      <c r="H268" s="443"/>
      <c r="I268" s="100"/>
      <c r="J268" s="11"/>
      <c r="R268" s="131">
        <f t="shared" si="87"/>
        <v>0</v>
      </c>
      <c r="S268" s="131" t="str">
        <f t="shared" si="88"/>
        <v/>
      </c>
      <c r="T268" s="131">
        <f t="shared" si="86"/>
        <v>1</v>
      </c>
      <c r="U268" s="131">
        <f>IF(E268="",1,IF(AND(E268="〇〇(合意形成対象者名に書き換え)",COUNTA($F268:$H268)=0),1,IF(AND(E268&lt;&gt;"〇〇(合意形成対象者名に書き換え)",COUNTA($F268:$H268)=3),1,0)))</f>
        <v>1</v>
      </c>
      <c r="V268" s="131" t="str" cm="1">
        <f t="array" ref="V268">_xlfn.IFS(T268=4,"A",T268=3,"B",T268=2,"C",T268=1,"D")</f>
        <v>D</v>
      </c>
      <c r="W268" s="257"/>
    </row>
    <row r="269" spans="1:23" s="101" customFormat="1">
      <c r="A269" s="11"/>
      <c r="B269" s="97"/>
      <c r="C269" s="98"/>
      <c r="D269" s="99"/>
      <c r="E269" s="102" t="s">
        <v>129</v>
      </c>
      <c r="F269" s="449"/>
      <c r="G269" s="443"/>
      <c r="H269" s="443"/>
      <c r="I269" s="100"/>
      <c r="J269" s="11"/>
      <c r="M269" s="11"/>
      <c r="N269" s="11"/>
      <c r="O269" s="11"/>
      <c r="P269" s="11"/>
      <c r="Q269" s="11"/>
      <c r="R269" s="131">
        <f t="shared" si="87"/>
        <v>0</v>
      </c>
      <c r="S269" s="131" t="str">
        <f t="shared" si="88"/>
        <v/>
      </c>
      <c r="T269" s="131">
        <f t="shared" si="86"/>
        <v>1</v>
      </c>
      <c r="U269" s="131">
        <f>IF(E269="",1,IF(AND(E269="〇〇(合意形成対象者名に書き換え)",COUNTA($F269:$H269)=0),1,IF(AND(E269&lt;&gt;"〇〇(合意形成対象者名に書き換え)",COUNTA($F269:$H269)=3),1,0)))</f>
        <v>1</v>
      </c>
      <c r="V269" s="131" t="str" cm="1">
        <f t="array" ref="V269">_xlfn.IFS(T269=4,"A",T269=3,"B",T269=2,"C",T269=1,"D")</f>
        <v>D</v>
      </c>
      <c r="W269" s="131"/>
    </row>
    <row r="270" spans="1:23" customFormat="1" ht="7.5" customHeight="1">
      <c r="B270" s="65"/>
      <c r="C270" s="4"/>
      <c r="D270" s="4"/>
      <c r="E270" s="4"/>
      <c r="F270" s="4"/>
      <c r="G270" s="4"/>
      <c r="H270" s="4"/>
      <c r="I270" s="9"/>
      <c r="J270" s="2"/>
      <c r="K270" s="2"/>
      <c r="L270" s="2"/>
      <c r="R270" s="131">
        <f t="shared" si="87"/>
        <v>0</v>
      </c>
      <c r="S270" s="131" t="str">
        <f t="shared" si="88"/>
        <v/>
      </c>
      <c r="T270" s="131">
        <f t="shared" si="86"/>
        <v>1</v>
      </c>
      <c r="U270" s="131">
        <f t="shared" ref="U270:U271" si="89">IF(E270="",1,IF(AND(E270="〇〇(合意形成対象者名に書き換え)",COUNTA($F270:$H270)=0),1,IF(AND(E270&lt;&gt;"〇〇(合意形成対象者名に書き換え)",COUNTA($F270:$H270)=3),1,0)))</f>
        <v>1</v>
      </c>
      <c r="V270" s="131" t="str" cm="1">
        <f t="array" ref="V270">_xlfn.IFS(T270=4,"A",T270=3,"B",T270=2,"C",T270=1,"D")</f>
        <v>D</v>
      </c>
      <c r="W270" s="177"/>
    </row>
    <row r="271" spans="1:23" customFormat="1" ht="6" customHeight="1">
      <c r="J271" s="2"/>
      <c r="K271" s="2"/>
      <c r="L271" s="2"/>
      <c r="R271" s="131">
        <f t="shared" si="87"/>
        <v>0</v>
      </c>
      <c r="S271" s="131" t="str">
        <f t="shared" si="88"/>
        <v/>
      </c>
      <c r="T271" s="131">
        <f t="shared" si="86"/>
        <v>1</v>
      </c>
      <c r="U271" s="131">
        <f t="shared" si="89"/>
        <v>1</v>
      </c>
      <c r="V271" s="131" t="str" cm="1">
        <f t="array" ref="V271">_xlfn.IFS(T271=4,"A",T271=3,"B",T271=2,"C",T271=1,"D")</f>
        <v>D</v>
      </c>
      <c r="W271" s="177"/>
    </row>
    <row r="272" spans="1:23" customFormat="1" ht="103.5" customHeight="1">
      <c r="C272" s="78"/>
      <c r="D272" s="79"/>
      <c r="E272" s="71" t="s">
        <v>238</v>
      </c>
      <c r="F272" s="1057"/>
      <c r="G272" s="1057"/>
      <c r="H272" s="1057"/>
      <c r="I272" s="80" t="s">
        <v>132</v>
      </c>
      <c r="J272" s="80"/>
    </row>
    <row r="273" spans="1:23" customFormat="1" ht="146.25" customHeight="1">
      <c r="C273" s="75"/>
      <c r="D273" s="68"/>
      <c r="E273" s="71" t="s">
        <v>237</v>
      </c>
      <c r="F273" s="1057"/>
      <c r="G273" s="1057"/>
      <c r="H273" s="1057"/>
      <c r="J273" s="2"/>
      <c r="K273" s="2"/>
      <c r="L273" s="2"/>
    </row>
    <row r="274" spans="1:23" customFormat="1" ht="13.5" customHeight="1" thickBot="1">
      <c r="A274" s="81"/>
      <c r="B274" s="81"/>
      <c r="C274" s="81"/>
      <c r="D274" s="81"/>
      <c r="E274" s="81"/>
      <c r="F274" s="81"/>
      <c r="G274" s="81"/>
      <c r="H274" s="81"/>
      <c r="I274" s="81"/>
      <c r="J274" s="82"/>
      <c r="K274" s="2"/>
      <c r="L274" s="2"/>
    </row>
    <row r="275" spans="1:23" customFormat="1" ht="13.5" customHeight="1">
      <c r="J275" s="2"/>
      <c r="K275" s="2"/>
      <c r="L275" s="2"/>
    </row>
    <row r="276" spans="1:23" customFormat="1" ht="15" customHeight="1">
      <c r="B276" s="10"/>
      <c r="C276" s="5"/>
      <c r="D276" s="5"/>
      <c r="E276" s="5"/>
      <c r="F276" s="5"/>
      <c r="G276" s="5"/>
      <c r="H276" s="5"/>
      <c r="I276" s="6"/>
      <c r="R276" s="11" t="str">
        <f>D277</f>
        <v>(選択してください)</v>
      </c>
    </row>
    <row r="277" spans="1:23" customFormat="1">
      <c r="B277" s="7"/>
      <c r="C277" s="77" t="str">
        <f ca="1">IFERROR(OFFSET('4.2民生電力需要量'!$C$8,MATCH(D277,'4.2民生電力需要量'!$E$9:$E$49,0),0),"")</f>
        <v/>
      </c>
      <c r="D277" s="96" t="s">
        <v>130</v>
      </c>
      <c r="E277" s="72" t="s">
        <v>131</v>
      </c>
      <c r="F277" s="1063" t="str">
        <f ca="1">IFERROR(OFFSET('4.2民生電力需要量'!$G$1,MATCH($D277,'4.2民生電力需要量'!$E:$E,0)-1,0),"")</f>
        <v/>
      </c>
      <c r="G277" s="1063"/>
      <c r="H277" s="1063"/>
      <c r="I277" s="8"/>
      <c r="R277" s="257" t="str">
        <f ca="1">IFERROR(OFFSET('4.2民生電力需要量'!$G$1,MATCH($D277,'4.2民生電力需要量'!$E:$E,0)-1,0),"")</f>
        <v/>
      </c>
      <c r="S277" s="177"/>
      <c r="T277" s="177"/>
      <c r="U277" s="177"/>
      <c r="V277" s="177"/>
      <c r="W277" s="177">
        <f ca="1">(F277=R277)*1</f>
        <v>1</v>
      </c>
    </row>
    <row r="278" spans="1:23" customFormat="1">
      <c r="B278" s="7"/>
      <c r="C278" s="74"/>
      <c r="D278" s="66"/>
      <c r="E278" s="72" t="s">
        <v>221</v>
      </c>
      <c r="F278" s="1062" t="str">
        <f ca="1">IFERROR(OFFSET('4.2民生電力需要量'!$I$1,MATCH($D277,'4.2民生電力需要量'!$E:$E,0)-1,0),"")</f>
        <v/>
      </c>
      <c r="G278" s="1062"/>
      <c r="H278" s="1062"/>
      <c r="I278" s="8"/>
      <c r="R278" s="177" t="str">
        <f ca="1">IFERROR(OFFSET('4.2民生電力需要量'!$I$1,MATCH($D277,'4.2民生電力需要量'!$E:$E,0)-1,0),"")</f>
        <v/>
      </c>
      <c r="S278" s="177"/>
      <c r="T278" s="177"/>
      <c r="U278" s="177"/>
      <c r="V278" s="177"/>
      <c r="W278" s="177">
        <f t="shared" ref="W278:W279" ca="1" si="90">(F278=R278)*1</f>
        <v>1</v>
      </c>
    </row>
    <row r="279" spans="1:23" customFormat="1">
      <c r="B279" s="7"/>
      <c r="C279" s="74"/>
      <c r="D279" s="66"/>
      <c r="E279" s="72" t="s">
        <v>176</v>
      </c>
      <c r="F279" s="1070" t="str">
        <f>_xlfn.IFNA(R279,"")</f>
        <v/>
      </c>
      <c r="G279" s="1071"/>
      <c r="H279" s="1072"/>
      <c r="I279" s="8"/>
      <c r="R279" s="131" t="str">
        <f>IF(OR(COUNTIF($E281:$E286,"&lt;&gt;〇〇(合意形成対象者名に書き換え)")=3,COUNTIF($E281:$E286,"")&gt;3),"",IF(PRODUCT($U281:$U286)=1,V281,""))</f>
        <v/>
      </c>
      <c r="S279" s="177"/>
      <c r="T279" s="177"/>
      <c r="U279" s="177"/>
      <c r="V279" s="177"/>
      <c r="W279" s="177">
        <f t="shared" si="90"/>
        <v>1</v>
      </c>
    </row>
    <row r="280" spans="1:23" ht="63.75" customHeight="1">
      <c r="B280" s="97"/>
      <c r="C280" s="98"/>
      <c r="D280" s="99"/>
      <c r="E280" s="374"/>
      <c r="F280" s="315" t="s">
        <v>283</v>
      </c>
      <c r="G280" s="315" t="s">
        <v>284</v>
      </c>
      <c r="H280" s="315" t="s">
        <v>281</v>
      </c>
      <c r="I280" s="100"/>
      <c r="J280" s="11"/>
      <c r="R280" s="128" t="s">
        <v>272</v>
      </c>
      <c r="S280" s="128" t="s">
        <v>432</v>
      </c>
      <c r="T280" s="131" t="s">
        <v>408</v>
      </c>
      <c r="U280" s="131" t="s">
        <v>436</v>
      </c>
      <c r="V280" s="128" t="s">
        <v>431</v>
      </c>
      <c r="W280" s="257"/>
    </row>
    <row r="281" spans="1:23" hidden="1">
      <c r="B281" s="97"/>
      <c r="C281" s="98"/>
      <c r="D281" s="99"/>
      <c r="E281" s="444"/>
      <c r="F281" s="445"/>
      <c r="G281" s="441"/>
      <c r="H281" s="441"/>
      <c r="I281" s="100"/>
      <c r="J281" s="11"/>
      <c r="R281" s="131">
        <f>IF(AND(F281="実施済",G281="実施済",H281="完了"),3,0)</f>
        <v>0</v>
      </c>
      <c r="S281" s="131" t="str">
        <f>IF(OR(E281="〇〇(合意形成対象者名に書き換え)",E281=""),"",R281)</f>
        <v/>
      </c>
      <c r="T281" s="131">
        <f t="shared" ref="T281:T286" si="91">MIN($S$281:$S$286)+1</f>
        <v>1</v>
      </c>
      <c r="U281" s="131">
        <f>IF(E281="",1,IF(AND(E281="〇〇(合意形成対象者名に書き換え)",COUNTA($F281:$H281)=0),1,IF(AND(E281&lt;&gt;"〇〇(合意形成対象者名に書き換え)",COUNTA($F281:$H281)=3),1,0)))</f>
        <v>1</v>
      </c>
      <c r="V281" s="131" t="str" cm="1">
        <f t="array" ref="V281">_xlfn.IFS(T281=4,"A",T281=3,"B",T281=2,"C",T281=1,"D")</f>
        <v>D</v>
      </c>
      <c r="W281" s="257"/>
    </row>
    <row r="282" spans="1:23">
      <c r="B282" s="97"/>
      <c r="C282" s="98"/>
      <c r="D282" s="99"/>
      <c r="E282" s="102" t="s">
        <v>129</v>
      </c>
      <c r="F282" s="449"/>
      <c r="G282" s="443"/>
      <c r="H282" s="443"/>
      <c r="I282" s="100"/>
      <c r="J282" s="11"/>
      <c r="R282" s="131">
        <f t="shared" ref="R282:R286" si="92">IF(AND(F282="実施済",G282="実施済",H282="完了"),3,0)</f>
        <v>0</v>
      </c>
      <c r="S282" s="131" t="str">
        <f t="shared" ref="S282:S286" si="93">IF(OR(E282="〇〇(合意形成対象者名に書き換え)",E282=""),"",R282)</f>
        <v/>
      </c>
      <c r="T282" s="131">
        <f t="shared" si="91"/>
        <v>1</v>
      </c>
      <c r="U282" s="131">
        <f>IF(E282="",1,IF(AND(E282="〇〇(合意形成対象者名に書き換え)",COUNTA($F282:$H282)=0),1,IF(AND(E282&lt;&gt;"〇〇(合意形成対象者名に書き換え)",COUNTA($F282:$H282)=3),1,0)))</f>
        <v>1</v>
      </c>
      <c r="V282" s="131" t="str" cm="1">
        <f t="array" ref="V282">_xlfn.IFS(T282=4,"A",T282=3,"B",T282=2,"C",T282=1,"D")</f>
        <v>D</v>
      </c>
      <c r="W282" s="257"/>
    </row>
    <row r="283" spans="1:23">
      <c r="B283" s="97"/>
      <c r="C283" s="98"/>
      <c r="D283" s="99"/>
      <c r="E283" s="102" t="s">
        <v>129</v>
      </c>
      <c r="F283" s="449"/>
      <c r="G283" s="443"/>
      <c r="H283" s="443"/>
      <c r="I283" s="100"/>
      <c r="J283" s="11"/>
      <c r="R283" s="131">
        <f t="shared" si="92"/>
        <v>0</v>
      </c>
      <c r="S283" s="131" t="str">
        <f t="shared" si="93"/>
        <v/>
      </c>
      <c r="T283" s="131">
        <f t="shared" si="91"/>
        <v>1</v>
      </c>
      <c r="U283" s="131">
        <f>IF(E283="",1,IF(AND(E283="〇〇(合意形成対象者名に書き換え)",COUNTA($F283:$H283)=0),1,IF(AND(E283&lt;&gt;"〇〇(合意形成対象者名に書き換え)",COUNTA($F283:$H283)=3),1,0)))</f>
        <v>1</v>
      </c>
      <c r="V283" s="131" t="str" cm="1">
        <f t="array" ref="V283">_xlfn.IFS(T283=4,"A",T283=3,"B",T283=2,"C",T283=1,"D")</f>
        <v>D</v>
      </c>
      <c r="W283" s="257"/>
    </row>
    <row r="284" spans="1:23" s="101" customFormat="1">
      <c r="A284" s="11"/>
      <c r="B284" s="97"/>
      <c r="C284" s="98"/>
      <c r="D284" s="99"/>
      <c r="E284" s="102" t="s">
        <v>129</v>
      </c>
      <c r="F284" s="449"/>
      <c r="G284" s="443"/>
      <c r="H284" s="443"/>
      <c r="I284" s="100"/>
      <c r="J284" s="11"/>
      <c r="M284" s="11"/>
      <c r="N284" s="11"/>
      <c r="O284" s="11"/>
      <c r="P284" s="11"/>
      <c r="Q284" s="11"/>
      <c r="R284" s="131">
        <f t="shared" si="92"/>
        <v>0</v>
      </c>
      <c r="S284" s="131" t="str">
        <f t="shared" si="93"/>
        <v/>
      </c>
      <c r="T284" s="131">
        <f t="shared" si="91"/>
        <v>1</v>
      </c>
      <c r="U284" s="131">
        <f>IF(E284="",1,IF(AND(E284="〇〇(合意形成対象者名に書き換え)",COUNTA($F284:$H284)=0),1,IF(AND(E284&lt;&gt;"〇〇(合意形成対象者名に書き換え)",COUNTA($F284:$H284)=3),1,0)))</f>
        <v>1</v>
      </c>
      <c r="V284" s="131" t="str" cm="1">
        <f t="array" ref="V284">_xlfn.IFS(T284=4,"A",T284=3,"B",T284=2,"C",T284=1,"D")</f>
        <v>D</v>
      </c>
      <c r="W284" s="131"/>
    </row>
    <row r="285" spans="1:23" customFormat="1" ht="7.5" customHeight="1">
      <c r="B285" s="65"/>
      <c r="C285" s="4"/>
      <c r="D285" s="4"/>
      <c r="E285" s="4"/>
      <c r="F285" s="4"/>
      <c r="G285" s="4"/>
      <c r="H285" s="4"/>
      <c r="I285" s="9"/>
      <c r="J285" s="2"/>
      <c r="K285" s="2"/>
      <c r="L285" s="2"/>
      <c r="R285" s="131">
        <f t="shared" si="92"/>
        <v>0</v>
      </c>
      <c r="S285" s="131" t="str">
        <f t="shared" si="93"/>
        <v/>
      </c>
      <c r="T285" s="131">
        <f t="shared" si="91"/>
        <v>1</v>
      </c>
      <c r="U285" s="131">
        <f t="shared" ref="U285:U286" si="94">IF(E285="",1,IF(AND(E285="〇〇(合意形成対象者名に書き換え)",COUNTA($F285:$H285)=0),1,IF(AND(E285&lt;&gt;"〇〇(合意形成対象者名に書き換え)",COUNTA($F285:$H285)=3),1,0)))</f>
        <v>1</v>
      </c>
      <c r="V285" s="131" t="str" cm="1">
        <f t="array" ref="V285">_xlfn.IFS(T285=4,"A",T285=3,"B",T285=2,"C",T285=1,"D")</f>
        <v>D</v>
      </c>
      <c r="W285" s="177"/>
    </row>
    <row r="286" spans="1:23" customFormat="1" ht="6" customHeight="1">
      <c r="J286" s="2"/>
      <c r="K286" s="2"/>
      <c r="L286" s="2"/>
      <c r="R286" s="131">
        <f t="shared" si="92"/>
        <v>0</v>
      </c>
      <c r="S286" s="131" t="str">
        <f t="shared" si="93"/>
        <v/>
      </c>
      <c r="T286" s="131">
        <f t="shared" si="91"/>
        <v>1</v>
      </c>
      <c r="U286" s="131">
        <f t="shared" si="94"/>
        <v>1</v>
      </c>
      <c r="V286" s="131" t="str" cm="1">
        <f t="array" ref="V286">_xlfn.IFS(T286=4,"A",T286=3,"B",T286=2,"C",T286=1,"D")</f>
        <v>D</v>
      </c>
      <c r="W286" s="177"/>
    </row>
    <row r="287" spans="1:23" customFormat="1" ht="103.5" customHeight="1">
      <c r="C287" s="78"/>
      <c r="D287" s="79"/>
      <c r="E287" s="71" t="s">
        <v>238</v>
      </c>
      <c r="F287" s="1057"/>
      <c r="G287" s="1057"/>
      <c r="H287" s="1057"/>
      <c r="I287" s="80" t="s">
        <v>132</v>
      </c>
      <c r="J287" s="80"/>
    </row>
    <row r="288" spans="1:23" customFormat="1" ht="146.25" customHeight="1">
      <c r="C288" s="75"/>
      <c r="D288" s="68"/>
      <c r="E288" s="71" t="s">
        <v>237</v>
      </c>
      <c r="F288" s="1057"/>
      <c r="G288" s="1057"/>
      <c r="H288" s="1057"/>
      <c r="J288" s="2"/>
      <c r="K288" s="2"/>
      <c r="L288" s="2"/>
    </row>
    <row r="289" spans="1:23" customFormat="1" ht="13.5" customHeight="1" thickBot="1">
      <c r="A289" s="81"/>
      <c r="B289" s="81"/>
      <c r="C289" s="81"/>
      <c r="D289" s="81"/>
      <c r="E289" s="81"/>
      <c r="F289" s="81"/>
      <c r="G289" s="81"/>
      <c r="H289" s="81"/>
      <c r="I289" s="81"/>
      <c r="J289" s="82"/>
      <c r="K289" s="2"/>
      <c r="L289" s="2"/>
    </row>
    <row r="290" spans="1:23" customFormat="1" ht="13.5" customHeight="1">
      <c r="J290" s="2"/>
      <c r="K290" s="2"/>
      <c r="L290" s="2"/>
    </row>
    <row r="291" spans="1:23" customFormat="1" ht="15" customHeight="1">
      <c r="B291" s="10"/>
      <c r="C291" s="5"/>
      <c r="D291" s="5"/>
      <c r="E291" s="5"/>
      <c r="F291" s="5"/>
      <c r="G291" s="5"/>
      <c r="H291" s="5"/>
      <c r="I291" s="6"/>
      <c r="R291" s="11" t="str">
        <f>D292</f>
        <v>(選択してください)</v>
      </c>
    </row>
    <row r="292" spans="1:23" customFormat="1">
      <c r="B292" s="7"/>
      <c r="C292" s="77" t="str">
        <f ca="1">IFERROR(OFFSET('4.2民生電力需要量'!$C$8,MATCH(D292,'4.2民生電力需要量'!$E$9:$E$49,0),0),"")</f>
        <v/>
      </c>
      <c r="D292" s="96" t="s">
        <v>130</v>
      </c>
      <c r="E292" s="72" t="s">
        <v>131</v>
      </c>
      <c r="F292" s="1063" t="str">
        <f ca="1">IFERROR(OFFSET('4.2民生電力需要量'!$G$1,MATCH($D292,'4.2民生電力需要量'!$E:$E,0)-1,0),"")</f>
        <v/>
      </c>
      <c r="G292" s="1063"/>
      <c r="H292" s="1063"/>
      <c r="I292" s="8"/>
      <c r="R292" s="257" t="str">
        <f ca="1">IFERROR(OFFSET('4.2民生電力需要量'!$G$1,MATCH($D292,'4.2民生電力需要量'!$E:$E,0)-1,0),"")</f>
        <v/>
      </c>
      <c r="S292" s="177"/>
      <c r="T292" s="177"/>
      <c r="U292" s="177"/>
      <c r="V292" s="177"/>
      <c r="W292" s="177">
        <f ca="1">(F292=R292)*1</f>
        <v>1</v>
      </c>
    </row>
    <row r="293" spans="1:23" customFormat="1">
      <c r="B293" s="7"/>
      <c r="C293" s="74"/>
      <c r="D293" s="66"/>
      <c r="E293" s="72" t="s">
        <v>221</v>
      </c>
      <c r="F293" s="1062" t="str">
        <f ca="1">IFERROR(OFFSET('4.2民生電力需要量'!$I$1,MATCH($D292,'4.2民生電力需要量'!$E:$E,0)-1,0),"")</f>
        <v/>
      </c>
      <c r="G293" s="1062"/>
      <c r="H293" s="1062"/>
      <c r="I293" s="8"/>
      <c r="R293" s="177" t="str">
        <f ca="1">IFERROR(OFFSET('4.2民生電力需要量'!$I$1,MATCH($D292,'4.2民生電力需要量'!$E:$E,0)-1,0),"")</f>
        <v/>
      </c>
      <c r="S293" s="177"/>
      <c r="T293" s="177"/>
      <c r="U293" s="177"/>
      <c r="V293" s="177"/>
      <c r="W293" s="177">
        <f t="shared" ref="W293:W294" ca="1" si="95">(F293=R293)*1</f>
        <v>1</v>
      </c>
    </row>
    <row r="294" spans="1:23" customFormat="1">
      <c r="B294" s="7"/>
      <c r="C294" s="74"/>
      <c r="D294" s="66"/>
      <c r="E294" s="72" t="s">
        <v>176</v>
      </c>
      <c r="F294" s="1070" t="str">
        <f>_xlfn.IFNA(R294,"")</f>
        <v/>
      </c>
      <c r="G294" s="1071"/>
      <c r="H294" s="1072"/>
      <c r="I294" s="8"/>
      <c r="R294" s="131" t="str">
        <f>IF(OR(COUNTIF($E296:$E301,"&lt;&gt;〇〇(合意形成対象者名に書き換え)")=3,COUNTIF($E296:$E301,"")&gt;3),"",IF(PRODUCT($U296:$U301)=1,V296,""))</f>
        <v/>
      </c>
      <c r="S294" s="177"/>
      <c r="T294" s="177"/>
      <c r="U294" s="177"/>
      <c r="V294" s="177"/>
      <c r="W294" s="177">
        <f t="shared" si="95"/>
        <v>1</v>
      </c>
    </row>
    <row r="295" spans="1:23" ht="63.75" customHeight="1">
      <c r="B295" s="97"/>
      <c r="C295" s="98"/>
      <c r="D295" s="99"/>
      <c r="E295" s="374"/>
      <c r="F295" s="315" t="s">
        <v>283</v>
      </c>
      <c r="G295" s="315" t="s">
        <v>284</v>
      </c>
      <c r="H295" s="315" t="s">
        <v>281</v>
      </c>
      <c r="I295" s="100"/>
      <c r="J295" s="11"/>
      <c r="R295" s="128" t="s">
        <v>272</v>
      </c>
      <c r="S295" s="128" t="s">
        <v>432</v>
      </c>
      <c r="T295" s="131" t="s">
        <v>408</v>
      </c>
      <c r="U295" s="131" t="s">
        <v>436</v>
      </c>
      <c r="V295" s="128" t="s">
        <v>431</v>
      </c>
      <c r="W295" s="257"/>
    </row>
    <row r="296" spans="1:23" hidden="1">
      <c r="B296" s="97"/>
      <c r="C296" s="98"/>
      <c r="D296" s="99"/>
      <c r="E296" s="444"/>
      <c r="F296" s="445"/>
      <c r="G296" s="441"/>
      <c r="H296" s="441"/>
      <c r="I296" s="100"/>
      <c r="J296" s="11"/>
      <c r="R296" s="131">
        <f>IF(AND(F296="実施済",G296="実施済",H296="完了"),3,0)</f>
        <v>0</v>
      </c>
      <c r="S296" s="131" t="str">
        <f>IF(OR(E296="〇〇(合意形成対象者名に書き換え)",E296=""),"",R296)</f>
        <v/>
      </c>
      <c r="T296" s="131">
        <f t="shared" ref="T296:T301" si="96">MIN($S$296:$S$301)+1</f>
        <v>1</v>
      </c>
      <c r="U296" s="131">
        <f>IF(E296="",1,IF(AND(E296="〇〇(合意形成対象者名に書き換え)",COUNTA($F296:$H296)=0),1,IF(AND(E296&lt;&gt;"〇〇(合意形成対象者名に書き換え)",COUNTA($F296:$H296)=3),1,0)))</f>
        <v>1</v>
      </c>
      <c r="V296" s="131" t="str" cm="1">
        <f t="array" ref="V296">_xlfn.IFS(T296=4,"A",T296=3,"B",T296=2,"C",T296=1,"D")</f>
        <v>D</v>
      </c>
      <c r="W296" s="257"/>
    </row>
    <row r="297" spans="1:23">
      <c r="B297" s="97"/>
      <c r="C297" s="98"/>
      <c r="D297" s="99"/>
      <c r="E297" s="102" t="s">
        <v>129</v>
      </c>
      <c r="F297" s="449"/>
      <c r="G297" s="443"/>
      <c r="H297" s="443"/>
      <c r="I297" s="100"/>
      <c r="J297" s="11"/>
      <c r="R297" s="131">
        <f t="shared" ref="R297:R301" si="97">IF(AND(F297="実施済",G297="実施済",H297="完了"),3,0)</f>
        <v>0</v>
      </c>
      <c r="S297" s="131" t="str">
        <f t="shared" ref="S297:S301" si="98">IF(OR(E297="〇〇(合意形成対象者名に書き換え)",E297=""),"",R297)</f>
        <v/>
      </c>
      <c r="T297" s="131">
        <f t="shared" si="96"/>
        <v>1</v>
      </c>
      <c r="U297" s="131">
        <f>IF(E297="",1,IF(AND(E297="〇〇(合意形成対象者名に書き換え)",COUNTA($F297:$H297)=0),1,IF(AND(E297&lt;&gt;"〇〇(合意形成対象者名に書き換え)",COUNTA($F297:$H297)=3),1,0)))</f>
        <v>1</v>
      </c>
      <c r="V297" s="131" t="str" cm="1">
        <f t="array" ref="V297">_xlfn.IFS(T297=4,"A",T297=3,"B",T297=2,"C",T297=1,"D")</f>
        <v>D</v>
      </c>
      <c r="W297" s="257"/>
    </row>
    <row r="298" spans="1:23">
      <c r="B298" s="97"/>
      <c r="C298" s="98"/>
      <c r="D298" s="99"/>
      <c r="E298" s="102" t="s">
        <v>129</v>
      </c>
      <c r="F298" s="449"/>
      <c r="G298" s="443"/>
      <c r="H298" s="443"/>
      <c r="I298" s="100"/>
      <c r="J298" s="11"/>
      <c r="R298" s="131">
        <f t="shared" si="97"/>
        <v>0</v>
      </c>
      <c r="S298" s="131" t="str">
        <f t="shared" si="98"/>
        <v/>
      </c>
      <c r="T298" s="131">
        <f t="shared" si="96"/>
        <v>1</v>
      </c>
      <c r="U298" s="131">
        <f>IF(E298="",1,IF(AND(E298="〇〇(合意形成対象者名に書き換え)",COUNTA($F298:$H298)=0),1,IF(AND(E298&lt;&gt;"〇〇(合意形成対象者名に書き換え)",COUNTA($F298:$H298)=3),1,0)))</f>
        <v>1</v>
      </c>
      <c r="V298" s="131" t="str" cm="1">
        <f t="array" ref="V298">_xlfn.IFS(T298=4,"A",T298=3,"B",T298=2,"C",T298=1,"D")</f>
        <v>D</v>
      </c>
      <c r="W298" s="257"/>
    </row>
    <row r="299" spans="1:23" s="101" customFormat="1">
      <c r="A299" s="11"/>
      <c r="B299" s="97"/>
      <c r="C299" s="98"/>
      <c r="D299" s="99"/>
      <c r="E299" s="102" t="s">
        <v>129</v>
      </c>
      <c r="F299" s="449"/>
      <c r="G299" s="443"/>
      <c r="H299" s="443"/>
      <c r="I299" s="100"/>
      <c r="J299" s="11"/>
      <c r="M299" s="11"/>
      <c r="N299" s="11"/>
      <c r="O299" s="11"/>
      <c r="P299" s="11"/>
      <c r="Q299" s="11"/>
      <c r="R299" s="131">
        <f t="shared" si="97"/>
        <v>0</v>
      </c>
      <c r="S299" s="131" t="str">
        <f t="shared" si="98"/>
        <v/>
      </c>
      <c r="T299" s="131">
        <f t="shared" si="96"/>
        <v>1</v>
      </c>
      <c r="U299" s="131">
        <f>IF(E299="",1,IF(AND(E299="〇〇(合意形成対象者名に書き換え)",COUNTA($F299:$H299)=0),1,IF(AND(E299&lt;&gt;"〇〇(合意形成対象者名に書き換え)",COUNTA($F299:$H299)=3),1,0)))</f>
        <v>1</v>
      </c>
      <c r="V299" s="131" t="str" cm="1">
        <f t="array" ref="V299">_xlfn.IFS(T299=4,"A",T299=3,"B",T299=2,"C",T299=1,"D")</f>
        <v>D</v>
      </c>
      <c r="W299" s="131"/>
    </row>
    <row r="300" spans="1:23" customFormat="1" ht="7.5" customHeight="1">
      <c r="B300" s="65"/>
      <c r="C300" s="4"/>
      <c r="D300" s="4"/>
      <c r="E300" s="4"/>
      <c r="F300" s="4"/>
      <c r="G300" s="4"/>
      <c r="H300" s="4"/>
      <c r="I300" s="9"/>
      <c r="J300" s="2"/>
      <c r="K300" s="2"/>
      <c r="L300" s="2"/>
      <c r="R300" s="131">
        <f t="shared" si="97"/>
        <v>0</v>
      </c>
      <c r="S300" s="131" t="str">
        <f t="shared" si="98"/>
        <v/>
      </c>
      <c r="T300" s="131">
        <f t="shared" si="96"/>
        <v>1</v>
      </c>
      <c r="U300" s="131">
        <f t="shared" ref="U300:U301" si="99">IF(E300="",1,IF(AND(E300="〇〇(合意形成対象者名に書き換え)",COUNTA($F300:$H300)=0),1,IF(AND(E300&lt;&gt;"〇〇(合意形成対象者名に書き換え)",COUNTA($F300:$H300)=3),1,0)))</f>
        <v>1</v>
      </c>
      <c r="V300" s="131" t="str" cm="1">
        <f t="array" ref="V300">_xlfn.IFS(T300=4,"A",T300=3,"B",T300=2,"C",T300=1,"D")</f>
        <v>D</v>
      </c>
      <c r="W300" s="177"/>
    </row>
    <row r="301" spans="1:23" customFormat="1" ht="6" customHeight="1">
      <c r="J301" s="2"/>
      <c r="K301" s="2"/>
      <c r="L301" s="2"/>
      <c r="R301" s="131">
        <f t="shared" si="97"/>
        <v>0</v>
      </c>
      <c r="S301" s="131" t="str">
        <f t="shared" si="98"/>
        <v/>
      </c>
      <c r="T301" s="131">
        <f t="shared" si="96"/>
        <v>1</v>
      </c>
      <c r="U301" s="131">
        <f t="shared" si="99"/>
        <v>1</v>
      </c>
      <c r="V301" s="131" t="str" cm="1">
        <f t="array" ref="V301">_xlfn.IFS(T301=4,"A",T301=3,"B",T301=2,"C",T301=1,"D")</f>
        <v>D</v>
      </c>
      <c r="W301" s="177"/>
    </row>
    <row r="302" spans="1:23" customFormat="1" ht="103.5" customHeight="1">
      <c r="C302" s="78"/>
      <c r="D302" s="79"/>
      <c r="E302" s="71" t="s">
        <v>238</v>
      </c>
      <c r="F302" s="1057"/>
      <c r="G302" s="1057"/>
      <c r="H302" s="1057"/>
      <c r="I302" s="80" t="s">
        <v>132</v>
      </c>
      <c r="J302" s="80"/>
    </row>
    <row r="303" spans="1:23" customFormat="1" ht="146.25" customHeight="1">
      <c r="C303" s="75"/>
      <c r="D303" s="68"/>
      <c r="E303" s="71" t="s">
        <v>237</v>
      </c>
      <c r="F303" s="1057"/>
      <c r="G303" s="1057"/>
      <c r="H303" s="1057"/>
      <c r="J303" s="2"/>
      <c r="K303" s="2"/>
      <c r="L303" s="2"/>
    </row>
    <row r="304" spans="1:23" customFormat="1" ht="13.5" customHeight="1" thickBot="1">
      <c r="A304" s="81"/>
      <c r="B304" s="81"/>
      <c r="C304" s="81"/>
      <c r="D304" s="81"/>
      <c r="E304" s="81"/>
      <c r="F304" s="81"/>
      <c r="G304" s="81"/>
      <c r="H304" s="81"/>
      <c r="I304" s="81"/>
      <c r="J304" s="82"/>
      <c r="K304" s="2"/>
      <c r="L304" s="2"/>
    </row>
    <row r="305" spans="1:23" customFormat="1" ht="13.5" customHeight="1">
      <c r="J305" s="2"/>
      <c r="K305" s="2"/>
      <c r="L305" s="2"/>
    </row>
    <row r="306" spans="1:23" customFormat="1" ht="15" customHeight="1">
      <c r="B306" s="10"/>
      <c r="C306" s="5"/>
      <c r="D306" s="5"/>
      <c r="E306" s="5"/>
      <c r="F306" s="5"/>
      <c r="G306" s="5"/>
      <c r="H306" s="5"/>
      <c r="I306" s="6"/>
      <c r="R306" s="11" t="str">
        <f>D307</f>
        <v>(選択してください)</v>
      </c>
    </row>
    <row r="307" spans="1:23" customFormat="1">
      <c r="B307" s="7"/>
      <c r="C307" s="77" t="str">
        <f ca="1">IFERROR(OFFSET('4.2民生電力需要量'!$C$8,MATCH(D307,'4.2民生電力需要量'!$E$9:$E$49,0),0),"")</f>
        <v/>
      </c>
      <c r="D307" s="96" t="s">
        <v>130</v>
      </c>
      <c r="E307" s="72" t="s">
        <v>131</v>
      </c>
      <c r="F307" s="1063" t="str">
        <f ca="1">IFERROR(OFFSET('4.2民生電力需要量'!$G$1,MATCH($D307,'4.2民生電力需要量'!$E:$E,0)-1,0),"")</f>
        <v/>
      </c>
      <c r="G307" s="1063"/>
      <c r="H307" s="1063"/>
      <c r="I307" s="8"/>
      <c r="R307" s="257" t="str">
        <f ca="1">IFERROR(OFFSET('4.2民生電力需要量'!$G$1,MATCH($D307,'4.2民生電力需要量'!$E:$E,0)-1,0),"")</f>
        <v/>
      </c>
      <c r="S307" s="177"/>
      <c r="T307" s="177"/>
      <c r="U307" s="177"/>
      <c r="V307" s="177"/>
      <c r="W307" s="177">
        <f ca="1">(F307=R307)*1</f>
        <v>1</v>
      </c>
    </row>
    <row r="308" spans="1:23" customFormat="1">
      <c r="B308" s="7"/>
      <c r="C308" s="74"/>
      <c r="D308" s="66"/>
      <c r="E308" s="72" t="s">
        <v>221</v>
      </c>
      <c r="F308" s="1062" t="str">
        <f ca="1">IFERROR(OFFSET('4.2民生電力需要量'!$I$1,MATCH($D307,'4.2民生電力需要量'!$E:$E,0)-1,0),"")</f>
        <v/>
      </c>
      <c r="G308" s="1062"/>
      <c r="H308" s="1062"/>
      <c r="I308" s="8"/>
      <c r="R308" s="177" t="str">
        <f ca="1">IFERROR(OFFSET('4.2民生電力需要量'!$I$1,MATCH($D307,'4.2民生電力需要量'!$E:$E,0)-1,0),"")</f>
        <v/>
      </c>
      <c r="S308" s="177"/>
      <c r="T308" s="177"/>
      <c r="U308" s="177"/>
      <c r="V308" s="177"/>
      <c r="W308" s="177">
        <f t="shared" ref="W308:W309" ca="1" si="100">(F308=R308)*1</f>
        <v>1</v>
      </c>
    </row>
    <row r="309" spans="1:23" customFormat="1">
      <c r="B309" s="7"/>
      <c r="C309" s="74"/>
      <c r="D309" s="66"/>
      <c r="E309" s="72" t="s">
        <v>176</v>
      </c>
      <c r="F309" s="1070" t="str">
        <f>_xlfn.IFNA(R309,"")</f>
        <v/>
      </c>
      <c r="G309" s="1071"/>
      <c r="H309" s="1072"/>
      <c r="I309" s="8"/>
      <c r="R309" s="131" t="str">
        <f>IF(OR(COUNTIF($E311:$E316,"&lt;&gt;〇〇(合意形成対象者名に書き換え)")=3,COUNTIF($E311:$E316,"")&gt;3),"",IF(PRODUCT($U311:$U316)=1,V311,""))</f>
        <v/>
      </c>
      <c r="S309" s="177"/>
      <c r="T309" s="177"/>
      <c r="U309" s="177"/>
      <c r="V309" s="177"/>
      <c r="W309" s="177">
        <f t="shared" si="100"/>
        <v>1</v>
      </c>
    </row>
    <row r="310" spans="1:23" ht="63.75" customHeight="1">
      <c r="B310" s="97"/>
      <c r="C310" s="98"/>
      <c r="D310" s="99"/>
      <c r="E310" s="374"/>
      <c r="F310" s="315" t="s">
        <v>283</v>
      </c>
      <c r="G310" s="315" t="s">
        <v>284</v>
      </c>
      <c r="H310" s="315" t="s">
        <v>281</v>
      </c>
      <c r="I310" s="100"/>
      <c r="J310" s="11"/>
      <c r="R310" s="128" t="s">
        <v>272</v>
      </c>
      <c r="S310" s="128" t="s">
        <v>432</v>
      </c>
      <c r="T310" s="131" t="s">
        <v>408</v>
      </c>
      <c r="U310" s="131" t="s">
        <v>436</v>
      </c>
      <c r="V310" s="128" t="s">
        <v>431</v>
      </c>
      <c r="W310" s="257"/>
    </row>
    <row r="311" spans="1:23" hidden="1">
      <c r="B311" s="97"/>
      <c r="C311" s="98"/>
      <c r="D311" s="99"/>
      <c r="E311" s="444"/>
      <c r="F311" s="445"/>
      <c r="G311" s="441"/>
      <c r="H311" s="441"/>
      <c r="I311" s="100"/>
      <c r="J311" s="11"/>
      <c r="R311" s="131">
        <f>IF(AND(F311="実施済",G311="実施済",H311="完了"),3,0)</f>
        <v>0</v>
      </c>
      <c r="S311" s="131" t="str">
        <f>IF(OR(E311="〇〇(合意形成対象者名に書き換え)",E311=""),"",R311)</f>
        <v/>
      </c>
      <c r="T311" s="131">
        <f t="shared" ref="T311:T316" si="101">MIN($S$311:$S$316)+1</f>
        <v>1</v>
      </c>
      <c r="U311" s="131">
        <f>IF(E311="",1,IF(AND(E311="〇〇(合意形成対象者名に書き換え)",COUNTA($F311:$H311)=0),1,IF(AND(E311&lt;&gt;"〇〇(合意形成対象者名に書き換え)",COUNTA($F311:$H311)=3),1,0)))</f>
        <v>1</v>
      </c>
      <c r="V311" s="131" t="str" cm="1">
        <f t="array" ref="V311">_xlfn.IFS(T311=4,"A",T311=3,"B",T311=2,"C",T311=1,"D")</f>
        <v>D</v>
      </c>
      <c r="W311" s="257"/>
    </row>
    <row r="312" spans="1:23">
      <c r="B312" s="97"/>
      <c r="C312" s="98"/>
      <c r="D312" s="99"/>
      <c r="E312" s="102" t="s">
        <v>129</v>
      </c>
      <c r="F312" s="449"/>
      <c r="G312" s="443"/>
      <c r="H312" s="443"/>
      <c r="I312" s="100"/>
      <c r="J312" s="11"/>
      <c r="R312" s="131">
        <f t="shared" ref="R312:R316" si="102">IF(AND(F312="実施済",G312="実施済",H312="完了"),3,0)</f>
        <v>0</v>
      </c>
      <c r="S312" s="131" t="str">
        <f t="shared" ref="S312:S316" si="103">IF(OR(E312="〇〇(合意形成対象者名に書き換え)",E312=""),"",R312)</f>
        <v/>
      </c>
      <c r="T312" s="131">
        <f t="shared" si="101"/>
        <v>1</v>
      </c>
      <c r="U312" s="131">
        <f>IF(E312="",1,IF(AND(E312="〇〇(合意形成対象者名に書き換え)",COUNTA($F312:$H312)=0),1,IF(AND(E312&lt;&gt;"〇〇(合意形成対象者名に書き換え)",COUNTA($F312:$H312)=3),1,0)))</f>
        <v>1</v>
      </c>
      <c r="V312" s="131" t="str" cm="1">
        <f t="array" ref="V312">_xlfn.IFS(T312=4,"A",T312=3,"B",T312=2,"C",T312=1,"D")</f>
        <v>D</v>
      </c>
      <c r="W312" s="257"/>
    </row>
    <row r="313" spans="1:23">
      <c r="B313" s="97"/>
      <c r="C313" s="98"/>
      <c r="D313" s="99"/>
      <c r="E313" s="102" t="s">
        <v>129</v>
      </c>
      <c r="F313" s="449"/>
      <c r="G313" s="443"/>
      <c r="H313" s="443"/>
      <c r="I313" s="100"/>
      <c r="J313" s="11"/>
      <c r="R313" s="131">
        <f t="shared" si="102"/>
        <v>0</v>
      </c>
      <c r="S313" s="131" t="str">
        <f t="shared" si="103"/>
        <v/>
      </c>
      <c r="T313" s="131">
        <f t="shared" si="101"/>
        <v>1</v>
      </c>
      <c r="U313" s="131">
        <f>IF(E313="",1,IF(AND(E313="〇〇(合意形成対象者名に書き換え)",COUNTA($F313:$H313)=0),1,IF(AND(E313&lt;&gt;"〇〇(合意形成対象者名に書き換え)",COUNTA($F313:$H313)=3),1,0)))</f>
        <v>1</v>
      </c>
      <c r="V313" s="131" t="str" cm="1">
        <f t="array" ref="V313">_xlfn.IFS(T313=4,"A",T313=3,"B",T313=2,"C",T313=1,"D")</f>
        <v>D</v>
      </c>
      <c r="W313" s="257"/>
    </row>
    <row r="314" spans="1:23" s="101" customFormat="1">
      <c r="A314" s="11"/>
      <c r="B314" s="97"/>
      <c r="C314" s="98"/>
      <c r="D314" s="99"/>
      <c r="E314" s="102" t="s">
        <v>129</v>
      </c>
      <c r="F314" s="449"/>
      <c r="G314" s="443"/>
      <c r="H314" s="443"/>
      <c r="I314" s="100"/>
      <c r="J314" s="11"/>
      <c r="M314" s="11"/>
      <c r="N314" s="11"/>
      <c r="O314" s="11"/>
      <c r="P314" s="11"/>
      <c r="Q314" s="11"/>
      <c r="R314" s="131">
        <f t="shared" si="102"/>
        <v>0</v>
      </c>
      <c r="S314" s="131" t="str">
        <f t="shared" si="103"/>
        <v/>
      </c>
      <c r="T314" s="131">
        <f t="shared" si="101"/>
        <v>1</v>
      </c>
      <c r="U314" s="131">
        <f>IF(E314="",1,IF(AND(E314="〇〇(合意形成対象者名に書き換え)",COUNTA($F314:$H314)=0),1,IF(AND(E314&lt;&gt;"〇〇(合意形成対象者名に書き換え)",COUNTA($F314:$H314)=3),1,0)))</f>
        <v>1</v>
      </c>
      <c r="V314" s="131" t="str" cm="1">
        <f t="array" ref="V314">_xlfn.IFS(T314=4,"A",T314=3,"B",T314=2,"C",T314=1,"D")</f>
        <v>D</v>
      </c>
      <c r="W314" s="131"/>
    </row>
    <row r="315" spans="1:23" customFormat="1" ht="7.5" customHeight="1">
      <c r="B315" s="65"/>
      <c r="C315" s="4"/>
      <c r="D315" s="4"/>
      <c r="E315" s="4"/>
      <c r="F315" s="4"/>
      <c r="G315" s="4"/>
      <c r="H315" s="4"/>
      <c r="I315" s="9"/>
      <c r="J315" s="2"/>
      <c r="K315" s="2"/>
      <c r="L315" s="2"/>
      <c r="R315" s="131">
        <f t="shared" si="102"/>
        <v>0</v>
      </c>
      <c r="S315" s="131" t="str">
        <f t="shared" si="103"/>
        <v/>
      </c>
      <c r="T315" s="131">
        <f t="shared" si="101"/>
        <v>1</v>
      </c>
      <c r="U315" s="131">
        <f t="shared" ref="U315:U316" si="104">IF(E315="",1,IF(AND(E315="〇〇(合意形成対象者名に書き換え)",COUNTA($F315:$H315)=0),1,IF(AND(E315&lt;&gt;"〇〇(合意形成対象者名に書き換え)",COUNTA($F315:$H315)=3),1,0)))</f>
        <v>1</v>
      </c>
      <c r="V315" s="131" t="str" cm="1">
        <f t="array" ref="V315">_xlfn.IFS(T315=4,"A",T315=3,"B",T315=2,"C",T315=1,"D")</f>
        <v>D</v>
      </c>
      <c r="W315" s="177"/>
    </row>
    <row r="316" spans="1:23" customFormat="1" ht="6" customHeight="1">
      <c r="J316" s="2"/>
      <c r="K316" s="2"/>
      <c r="L316" s="2"/>
      <c r="R316" s="131">
        <f t="shared" si="102"/>
        <v>0</v>
      </c>
      <c r="S316" s="131" t="str">
        <f t="shared" si="103"/>
        <v/>
      </c>
      <c r="T316" s="131">
        <f t="shared" si="101"/>
        <v>1</v>
      </c>
      <c r="U316" s="131">
        <f t="shared" si="104"/>
        <v>1</v>
      </c>
      <c r="V316" s="131" t="str" cm="1">
        <f t="array" ref="V316">_xlfn.IFS(T316=4,"A",T316=3,"B",T316=2,"C",T316=1,"D")</f>
        <v>D</v>
      </c>
      <c r="W316" s="177"/>
    </row>
    <row r="317" spans="1:23" customFormat="1" ht="103.5" customHeight="1">
      <c r="C317" s="78"/>
      <c r="D317" s="79"/>
      <c r="E317" s="71" t="s">
        <v>238</v>
      </c>
      <c r="F317" s="1057"/>
      <c r="G317" s="1057"/>
      <c r="H317" s="1057"/>
      <c r="I317" s="80" t="s">
        <v>132</v>
      </c>
      <c r="J317" s="80"/>
    </row>
    <row r="318" spans="1:23" customFormat="1" ht="146.25" customHeight="1">
      <c r="C318" s="75"/>
      <c r="D318" s="68"/>
      <c r="E318" s="71" t="s">
        <v>237</v>
      </c>
      <c r="F318" s="1057"/>
      <c r="G318" s="1057"/>
      <c r="H318" s="1057"/>
      <c r="J318" s="2"/>
      <c r="K318" s="2"/>
      <c r="L318" s="2"/>
    </row>
    <row r="319" spans="1:23" customFormat="1" ht="13.5" customHeight="1" thickBot="1">
      <c r="A319" s="81"/>
      <c r="B319" s="81"/>
      <c r="C319" s="81"/>
      <c r="D319" s="81"/>
      <c r="E319" s="81"/>
      <c r="F319" s="81"/>
      <c r="G319" s="81"/>
      <c r="H319" s="81"/>
      <c r="I319" s="81"/>
      <c r="J319" s="82"/>
      <c r="K319" s="2"/>
      <c r="L319" s="2"/>
    </row>
    <row r="320" spans="1:23" customFormat="1" ht="13.5" customHeight="1">
      <c r="J320" s="2"/>
      <c r="K320" s="2"/>
      <c r="L320" s="2"/>
    </row>
    <row r="321" spans="1:23" customFormat="1" ht="15" customHeight="1">
      <c r="B321" s="10"/>
      <c r="C321" s="5"/>
      <c r="D321" s="5"/>
      <c r="E321" s="5"/>
      <c r="F321" s="5"/>
      <c r="G321" s="5"/>
      <c r="H321" s="5"/>
      <c r="I321" s="6"/>
      <c r="R321" s="11" t="str">
        <f>D322</f>
        <v>(選択してください)</v>
      </c>
    </row>
    <row r="322" spans="1:23" customFormat="1">
      <c r="B322" s="7"/>
      <c r="C322" s="77" t="str">
        <f ca="1">IFERROR(OFFSET('4.2民生電力需要量'!$C$8,MATCH(D322,'4.2民生電力需要量'!$E$9:$E$49,0),0),"")</f>
        <v/>
      </c>
      <c r="D322" s="96" t="s">
        <v>130</v>
      </c>
      <c r="E322" s="72" t="s">
        <v>131</v>
      </c>
      <c r="F322" s="1063" t="str">
        <f ca="1">IFERROR(OFFSET('4.2民生電力需要量'!$G$1,MATCH($D322,'4.2民生電力需要量'!$E:$E,0)-1,0),"")</f>
        <v/>
      </c>
      <c r="G322" s="1063"/>
      <c r="H322" s="1063"/>
      <c r="I322" s="8"/>
      <c r="R322" s="257" t="str">
        <f ca="1">IFERROR(OFFSET('4.2民生電力需要量'!$G$1,MATCH($D322,'4.2民生電力需要量'!$E:$E,0)-1,0),"")</f>
        <v/>
      </c>
      <c r="S322" s="177"/>
      <c r="T322" s="177"/>
      <c r="U322" s="177"/>
      <c r="V322" s="177"/>
      <c r="W322" s="177">
        <f ca="1">(F322=R322)*1</f>
        <v>1</v>
      </c>
    </row>
    <row r="323" spans="1:23" customFormat="1">
      <c r="B323" s="7"/>
      <c r="C323" s="74"/>
      <c r="D323" s="66"/>
      <c r="E323" s="72" t="s">
        <v>221</v>
      </c>
      <c r="F323" s="1062" t="str">
        <f ca="1">IFERROR(OFFSET('4.2民生電力需要量'!$I$1,MATCH($D322,'4.2民生電力需要量'!$E:$E,0)-1,0),"")</f>
        <v/>
      </c>
      <c r="G323" s="1062"/>
      <c r="H323" s="1062"/>
      <c r="I323" s="8"/>
      <c r="R323" s="177" t="str">
        <f ca="1">IFERROR(OFFSET('4.2民生電力需要量'!$I$1,MATCH($D322,'4.2民生電力需要量'!$E:$E,0)-1,0),"")</f>
        <v/>
      </c>
      <c r="S323" s="177"/>
      <c r="T323" s="177"/>
      <c r="U323" s="177"/>
      <c r="V323" s="177"/>
      <c r="W323" s="177">
        <f t="shared" ref="W323:W324" ca="1" si="105">(F323=R323)*1</f>
        <v>1</v>
      </c>
    </row>
    <row r="324" spans="1:23" customFormat="1">
      <c r="B324" s="7"/>
      <c r="C324" s="74"/>
      <c r="D324" s="66"/>
      <c r="E324" s="72" t="s">
        <v>176</v>
      </c>
      <c r="F324" s="1070" t="str">
        <f>_xlfn.IFNA(R324,"")</f>
        <v/>
      </c>
      <c r="G324" s="1071"/>
      <c r="H324" s="1072"/>
      <c r="I324" s="8"/>
      <c r="R324" s="131" t="str">
        <f>IF(OR(COUNTIF($E326:$E331,"&lt;&gt;〇〇(合意形成対象者名に書き換え)")=3,COUNTIF($E326:$E331,"")&gt;3),"",IF(PRODUCT($U326:$U331)=1,V326,""))</f>
        <v/>
      </c>
      <c r="S324" s="177"/>
      <c r="T324" s="177"/>
      <c r="U324" s="177"/>
      <c r="V324" s="177"/>
      <c r="W324" s="177">
        <f t="shared" si="105"/>
        <v>1</v>
      </c>
    </row>
    <row r="325" spans="1:23" ht="63.75" customHeight="1">
      <c r="B325" s="97"/>
      <c r="C325" s="98"/>
      <c r="D325" s="99"/>
      <c r="E325" s="374"/>
      <c r="F325" s="315" t="s">
        <v>283</v>
      </c>
      <c r="G325" s="315" t="s">
        <v>284</v>
      </c>
      <c r="H325" s="315" t="s">
        <v>281</v>
      </c>
      <c r="I325" s="100"/>
      <c r="J325" s="11"/>
      <c r="R325" s="128" t="s">
        <v>272</v>
      </c>
      <c r="S325" s="128" t="s">
        <v>432</v>
      </c>
      <c r="T325" s="131" t="s">
        <v>408</v>
      </c>
      <c r="U325" s="131" t="s">
        <v>436</v>
      </c>
      <c r="V325" s="128" t="s">
        <v>431</v>
      </c>
      <c r="W325" s="257"/>
    </row>
    <row r="326" spans="1:23" hidden="1">
      <c r="B326" s="97"/>
      <c r="C326" s="98"/>
      <c r="D326" s="99"/>
      <c r="E326" s="444"/>
      <c r="F326" s="445"/>
      <c r="G326" s="441"/>
      <c r="H326" s="441"/>
      <c r="I326" s="100"/>
      <c r="J326" s="11"/>
      <c r="R326" s="131">
        <f>IF(AND(F326="実施済",G326="実施済",H326="完了"),3,0)</f>
        <v>0</v>
      </c>
      <c r="S326" s="131" t="str">
        <f>IF(OR(E326="〇〇(合意形成対象者名に書き換え)",E326=""),"",R326)</f>
        <v/>
      </c>
      <c r="T326" s="131">
        <f t="shared" ref="T326:T331" si="106">MIN($S$326:$S$331)+1</f>
        <v>1</v>
      </c>
      <c r="U326" s="131">
        <f>IF(E326="",1,IF(AND(E326="〇〇(合意形成対象者名に書き換え)",COUNTA($F326:$H326)=0),1,IF(AND(E326&lt;&gt;"〇〇(合意形成対象者名に書き換え)",COUNTA($F326:$H326)=3),1,0)))</f>
        <v>1</v>
      </c>
      <c r="V326" s="131" t="str" cm="1">
        <f t="array" ref="V326">_xlfn.IFS(T326=4,"A",T326=3,"B",T326=2,"C",T326=1,"D")</f>
        <v>D</v>
      </c>
      <c r="W326" s="257"/>
    </row>
    <row r="327" spans="1:23">
      <c r="B327" s="97"/>
      <c r="C327" s="98"/>
      <c r="D327" s="99"/>
      <c r="E327" s="102" t="s">
        <v>129</v>
      </c>
      <c r="F327" s="449"/>
      <c r="G327" s="443"/>
      <c r="H327" s="443"/>
      <c r="I327" s="100"/>
      <c r="J327" s="11"/>
      <c r="R327" s="131">
        <f t="shared" ref="R327:R331" si="107">IF(AND(F327="実施済",G327="実施済",H327="完了"),3,0)</f>
        <v>0</v>
      </c>
      <c r="S327" s="131" t="str">
        <f t="shared" ref="S327:S331" si="108">IF(OR(E327="〇〇(合意形成対象者名に書き換え)",E327=""),"",R327)</f>
        <v/>
      </c>
      <c r="T327" s="131">
        <f t="shared" si="106"/>
        <v>1</v>
      </c>
      <c r="U327" s="131">
        <f>IF(E327="",1,IF(AND(E327="〇〇(合意形成対象者名に書き換え)",COUNTA($F327:$H327)=0),1,IF(AND(E327&lt;&gt;"〇〇(合意形成対象者名に書き換え)",COUNTA($F327:$H327)=3),1,0)))</f>
        <v>1</v>
      </c>
      <c r="V327" s="131" t="str" cm="1">
        <f t="array" ref="V327">_xlfn.IFS(T327=4,"A",T327=3,"B",T327=2,"C",T327=1,"D")</f>
        <v>D</v>
      </c>
      <c r="W327" s="257"/>
    </row>
    <row r="328" spans="1:23">
      <c r="B328" s="97"/>
      <c r="C328" s="98"/>
      <c r="D328" s="99"/>
      <c r="E328" s="102" t="s">
        <v>129</v>
      </c>
      <c r="F328" s="449"/>
      <c r="G328" s="443"/>
      <c r="H328" s="443"/>
      <c r="I328" s="100"/>
      <c r="J328" s="11"/>
      <c r="R328" s="131">
        <f t="shared" si="107"/>
        <v>0</v>
      </c>
      <c r="S328" s="131" t="str">
        <f t="shared" si="108"/>
        <v/>
      </c>
      <c r="T328" s="131">
        <f t="shared" si="106"/>
        <v>1</v>
      </c>
      <c r="U328" s="131">
        <f>IF(E328="",1,IF(AND(E328="〇〇(合意形成対象者名に書き換え)",COUNTA($F328:$H328)=0),1,IF(AND(E328&lt;&gt;"〇〇(合意形成対象者名に書き換え)",COUNTA($F328:$H328)=3),1,0)))</f>
        <v>1</v>
      </c>
      <c r="V328" s="131" t="str" cm="1">
        <f t="array" ref="V328">_xlfn.IFS(T328=4,"A",T328=3,"B",T328=2,"C",T328=1,"D")</f>
        <v>D</v>
      </c>
      <c r="W328" s="257"/>
    </row>
    <row r="329" spans="1:23" s="101" customFormat="1">
      <c r="A329" s="11"/>
      <c r="B329" s="97"/>
      <c r="C329" s="98"/>
      <c r="D329" s="99"/>
      <c r="E329" s="102" t="s">
        <v>129</v>
      </c>
      <c r="F329" s="449"/>
      <c r="G329" s="443"/>
      <c r="H329" s="443"/>
      <c r="I329" s="100"/>
      <c r="J329" s="11"/>
      <c r="M329" s="11"/>
      <c r="N329" s="11"/>
      <c r="O329" s="11"/>
      <c r="P329" s="11"/>
      <c r="Q329" s="11"/>
      <c r="R329" s="131">
        <f t="shared" si="107"/>
        <v>0</v>
      </c>
      <c r="S329" s="131" t="str">
        <f t="shared" si="108"/>
        <v/>
      </c>
      <c r="T329" s="131">
        <f t="shared" si="106"/>
        <v>1</v>
      </c>
      <c r="U329" s="131">
        <f>IF(E329="",1,IF(AND(E329="〇〇(合意形成対象者名に書き換え)",COUNTA($F329:$H329)=0),1,IF(AND(E329&lt;&gt;"〇〇(合意形成対象者名に書き換え)",COUNTA($F329:$H329)=3),1,0)))</f>
        <v>1</v>
      </c>
      <c r="V329" s="131" t="str" cm="1">
        <f t="array" ref="V329">_xlfn.IFS(T329=4,"A",T329=3,"B",T329=2,"C",T329=1,"D")</f>
        <v>D</v>
      </c>
      <c r="W329" s="131"/>
    </row>
    <row r="330" spans="1:23" customFormat="1" ht="7.5" customHeight="1">
      <c r="B330" s="65"/>
      <c r="C330" s="4"/>
      <c r="D330" s="4"/>
      <c r="E330" s="4"/>
      <c r="F330" s="4"/>
      <c r="G330" s="4"/>
      <c r="H330" s="4"/>
      <c r="I330" s="9"/>
      <c r="J330" s="2"/>
      <c r="K330" s="2"/>
      <c r="L330" s="2"/>
      <c r="R330" s="131">
        <f t="shared" si="107"/>
        <v>0</v>
      </c>
      <c r="S330" s="131" t="str">
        <f t="shared" si="108"/>
        <v/>
      </c>
      <c r="T330" s="131">
        <f t="shared" si="106"/>
        <v>1</v>
      </c>
      <c r="U330" s="131">
        <f t="shared" ref="U330:U331" si="109">IF(E330="",1,IF(AND(E330="〇〇(合意形成対象者名に書き換え)",COUNTA($F330:$H330)=0),1,IF(AND(E330&lt;&gt;"〇〇(合意形成対象者名に書き換え)",COUNTA($F330:$H330)=3),1,0)))</f>
        <v>1</v>
      </c>
      <c r="V330" s="131" t="str" cm="1">
        <f t="array" ref="V330">_xlfn.IFS(T330=4,"A",T330=3,"B",T330=2,"C",T330=1,"D")</f>
        <v>D</v>
      </c>
      <c r="W330" s="177"/>
    </row>
    <row r="331" spans="1:23" customFormat="1" ht="6" customHeight="1">
      <c r="J331" s="2"/>
      <c r="K331" s="2"/>
      <c r="L331" s="2"/>
      <c r="R331" s="131">
        <f t="shared" si="107"/>
        <v>0</v>
      </c>
      <c r="S331" s="131" t="str">
        <f t="shared" si="108"/>
        <v/>
      </c>
      <c r="T331" s="131">
        <f t="shared" si="106"/>
        <v>1</v>
      </c>
      <c r="U331" s="131">
        <f t="shared" si="109"/>
        <v>1</v>
      </c>
      <c r="V331" s="131" t="str" cm="1">
        <f t="array" ref="V331">_xlfn.IFS(T331=4,"A",T331=3,"B",T331=2,"C",T331=1,"D")</f>
        <v>D</v>
      </c>
      <c r="W331" s="177"/>
    </row>
    <row r="332" spans="1:23" customFormat="1" ht="103.5" customHeight="1">
      <c r="C332" s="78"/>
      <c r="D332" s="79"/>
      <c r="E332" s="71" t="s">
        <v>238</v>
      </c>
      <c r="F332" s="1057"/>
      <c r="G332" s="1057"/>
      <c r="H332" s="1057"/>
      <c r="I332" s="80" t="s">
        <v>132</v>
      </c>
      <c r="J332" s="80"/>
    </row>
    <row r="333" spans="1:23" customFormat="1" ht="146.25" customHeight="1">
      <c r="C333" s="75"/>
      <c r="D333" s="68"/>
      <c r="E333" s="71" t="s">
        <v>237</v>
      </c>
      <c r="F333" s="1057"/>
      <c r="G333" s="1057"/>
      <c r="H333" s="1057"/>
      <c r="J333" s="2"/>
      <c r="K333" s="2"/>
      <c r="L333" s="2"/>
    </row>
    <row r="334" spans="1:23" customFormat="1" ht="13.5" customHeight="1" thickBot="1">
      <c r="A334" s="81"/>
      <c r="B334" s="81"/>
      <c r="C334" s="81"/>
      <c r="D334" s="81"/>
      <c r="E334" s="81"/>
      <c r="F334" s="81"/>
      <c r="G334" s="81"/>
      <c r="H334" s="81"/>
      <c r="I334" s="81"/>
      <c r="J334" s="82"/>
      <c r="K334" s="2"/>
      <c r="L334" s="2"/>
    </row>
    <row r="335" spans="1:23" customFormat="1" ht="13.5" customHeight="1">
      <c r="J335" s="2"/>
      <c r="K335" s="2"/>
      <c r="L335" s="2"/>
    </row>
    <row r="336" spans="1:23" customFormat="1" ht="15" customHeight="1">
      <c r="B336" s="10"/>
      <c r="C336" s="5"/>
      <c r="D336" s="5"/>
      <c r="E336" s="5"/>
      <c r="F336" s="5"/>
      <c r="G336" s="5"/>
      <c r="H336" s="5"/>
      <c r="I336" s="6"/>
      <c r="R336" s="11" t="str">
        <f>D337</f>
        <v>(選択してください)</v>
      </c>
    </row>
    <row r="337" spans="1:23" customFormat="1">
      <c r="B337" s="7"/>
      <c r="C337" s="77" t="str">
        <f ca="1">IFERROR(OFFSET('4.2民生電力需要量'!$C$8,MATCH(D337,'4.2民生電力需要量'!$E$9:$E$49,0),0),"")</f>
        <v/>
      </c>
      <c r="D337" s="96" t="s">
        <v>130</v>
      </c>
      <c r="E337" s="72" t="s">
        <v>131</v>
      </c>
      <c r="F337" s="1063" t="str">
        <f ca="1">IFERROR(OFFSET('4.2民生電力需要量'!$G$1,MATCH($D337,'4.2民生電力需要量'!$E:$E,0)-1,0),"")</f>
        <v/>
      </c>
      <c r="G337" s="1063"/>
      <c r="H337" s="1063"/>
      <c r="I337" s="8"/>
      <c r="R337" s="257" t="str">
        <f ca="1">IFERROR(OFFSET('4.2民生電力需要量'!$G$1,MATCH($D337,'4.2民生電力需要量'!$E:$E,0)-1,0),"")</f>
        <v/>
      </c>
      <c r="S337" s="177"/>
      <c r="T337" s="177"/>
      <c r="U337" s="177"/>
      <c r="V337" s="177"/>
      <c r="W337" s="177">
        <f ca="1">(F337=R337)*1</f>
        <v>1</v>
      </c>
    </row>
    <row r="338" spans="1:23" customFormat="1">
      <c r="B338" s="7"/>
      <c r="C338" s="74"/>
      <c r="D338" s="66"/>
      <c r="E338" s="72" t="s">
        <v>221</v>
      </c>
      <c r="F338" s="1062" t="str">
        <f ca="1">IFERROR(OFFSET('4.2民生電力需要量'!$I$1,MATCH($D337,'4.2民生電力需要量'!$E:$E,0)-1,0),"")</f>
        <v/>
      </c>
      <c r="G338" s="1062"/>
      <c r="H338" s="1062"/>
      <c r="I338" s="8"/>
      <c r="R338" s="177" t="str">
        <f ca="1">IFERROR(OFFSET('4.2民生電力需要量'!$I$1,MATCH($D337,'4.2民生電力需要量'!$E:$E,0)-1,0),"")</f>
        <v/>
      </c>
      <c r="S338" s="177"/>
      <c r="T338" s="177"/>
      <c r="U338" s="177"/>
      <c r="V338" s="177"/>
      <c r="W338" s="177">
        <f t="shared" ref="W338:W339" ca="1" si="110">(F338=R338)*1</f>
        <v>1</v>
      </c>
    </row>
    <row r="339" spans="1:23" customFormat="1">
      <c r="B339" s="7"/>
      <c r="C339" s="74"/>
      <c r="D339" s="66"/>
      <c r="E339" s="72" t="s">
        <v>176</v>
      </c>
      <c r="F339" s="1070" t="str">
        <f>_xlfn.IFNA(R339,"")</f>
        <v/>
      </c>
      <c r="G339" s="1071"/>
      <c r="H339" s="1072"/>
      <c r="I339" s="8"/>
      <c r="R339" s="131" t="str">
        <f>IF(OR(COUNTIF($E341:$E346,"&lt;&gt;〇〇(合意形成対象者名に書き換え)")=3,COUNTIF($E341:$E346,"")&gt;3),"",IF(PRODUCT($U341:$U346)=1,V341,""))</f>
        <v/>
      </c>
      <c r="S339" s="177"/>
      <c r="T339" s="177"/>
      <c r="U339" s="177"/>
      <c r="V339" s="177"/>
      <c r="W339" s="177">
        <f t="shared" si="110"/>
        <v>1</v>
      </c>
    </row>
    <row r="340" spans="1:23" ht="63.75" customHeight="1">
      <c r="B340" s="97"/>
      <c r="C340" s="98"/>
      <c r="D340" s="99"/>
      <c r="E340" s="374"/>
      <c r="F340" s="315" t="s">
        <v>283</v>
      </c>
      <c r="G340" s="315" t="s">
        <v>284</v>
      </c>
      <c r="H340" s="315" t="s">
        <v>281</v>
      </c>
      <c r="I340" s="100"/>
      <c r="J340" s="11"/>
      <c r="R340" s="128" t="s">
        <v>272</v>
      </c>
      <c r="S340" s="128" t="s">
        <v>432</v>
      </c>
      <c r="T340" s="131" t="s">
        <v>408</v>
      </c>
      <c r="U340" s="131" t="s">
        <v>436</v>
      </c>
      <c r="V340" s="128" t="s">
        <v>431</v>
      </c>
      <c r="W340" s="257"/>
    </row>
    <row r="341" spans="1:23" hidden="1">
      <c r="B341" s="97"/>
      <c r="C341" s="98"/>
      <c r="D341" s="99"/>
      <c r="E341" s="444"/>
      <c r="F341" s="445"/>
      <c r="G341" s="441"/>
      <c r="H341" s="441"/>
      <c r="I341" s="100"/>
      <c r="J341" s="11"/>
      <c r="R341" s="131">
        <f>IF(AND(F341="実施済",G341="実施済",H341="完了"),3,0)</f>
        <v>0</v>
      </c>
      <c r="S341" s="131" t="str">
        <f>IF(OR(E341="〇〇(合意形成対象者名に書き換え)",E341=""),"",R341)</f>
        <v/>
      </c>
      <c r="T341" s="131">
        <f t="shared" ref="T341:T346" si="111">MIN($S$341:$S$346)+1</f>
        <v>1</v>
      </c>
      <c r="U341" s="131">
        <f>IF(E341="",1,IF(AND(E341="〇〇(合意形成対象者名に書き換え)",COUNTA($F341:$H341)=0),1,IF(AND(E341&lt;&gt;"〇〇(合意形成対象者名に書き換え)",COUNTA($F341:$H341)=3),1,0)))</f>
        <v>1</v>
      </c>
      <c r="V341" s="131" t="str" cm="1">
        <f t="array" ref="V341">_xlfn.IFS(T341=4,"A",T341=3,"B",T341=2,"C",T341=1,"D")</f>
        <v>D</v>
      </c>
      <c r="W341" s="257"/>
    </row>
    <row r="342" spans="1:23">
      <c r="B342" s="97"/>
      <c r="C342" s="98"/>
      <c r="D342" s="99"/>
      <c r="E342" s="102" t="s">
        <v>129</v>
      </c>
      <c r="F342" s="449"/>
      <c r="G342" s="443"/>
      <c r="H342" s="443"/>
      <c r="I342" s="100"/>
      <c r="J342" s="11"/>
      <c r="R342" s="131">
        <f t="shared" ref="R342:R346" si="112">IF(AND(F342="実施済",G342="実施済",H342="完了"),3,0)</f>
        <v>0</v>
      </c>
      <c r="S342" s="131" t="str">
        <f t="shared" ref="S342:S346" si="113">IF(OR(E342="〇〇(合意形成対象者名に書き換え)",E342=""),"",R342)</f>
        <v/>
      </c>
      <c r="T342" s="131">
        <f t="shared" si="111"/>
        <v>1</v>
      </c>
      <c r="U342" s="131">
        <f>IF(E342="",1,IF(AND(E342="〇〇(合意形成対象者名に書き換え)",COUNTA($F342:$H342)=0),1,IF(AND(E342&lt;&gt;"〇〇(合意形成対象者名に書き換え)",COUNTA($F342:$H342)=3),1,0)))</f>
        <v>1</v>
      </c>
      <c r="V342" s="131" t="str" cm="1">
        <f t="array" ref="V342">_xlfn.IFS(T342=4,"A",T342=3,"B",T342=2,"C",T342=1,"D")</f>
        <v>D</v>
      </c>
      <c r="W342" s="257"/>
    </row>
    <row r="343" spans="1:23">
      <c r="B343" s="97"/>
      <c r="C343" s="98"/>
      <c r="D343" s="99"/>
      <c r="E343" s="102" t="s">
        <v>129</v>
      </c>
      <c r="F343" s="449"/>
      <c r="G343" s="443"/>
      <c r="H343" s="443"/>
      <c r="I343" s="100"/>
      <c r="J343" s="11"/>
      <c r="R343" s="131">
        <f t="shared" si="112"/>
        <v>0</v>
      </c>
      <c r="S343" s="131" t="str">
        <f t="shared" si="113"/>
        <v/>
      </c>
      <c r="T343" s="131">
        <f t="shared" si="111"/>
        <v>1</v>
      </c>
      <c r="U343" s="131">
        <f>IF(E343="",1,IF(AND(E343="〇〇(合意形成対象者名に書き換え)",COUNTA($F343:$H343)=0),1,IF(AND(E343&lt;&gt;"〇〇(合意形成対象者名に書き換え)",COUNTA($F343:$H343)=3),1,0)))</f>
        <v>1</v>
      </c>
      <c r="V343" s="131" t="str" cm="1">
        <f t="array" ref="V343">_xlfn.IFS(T343=4,"A",T343=3,"B",T343=2,"C",T343=1,"D")</f>
        <v>D</v>
      </c>
      <c r="W343" s="257"/>
    </row>
    <row r="344" spans="1:23" s="101" customFormat="1">
      <c r="A344" s="11"/>
      <c r="B344" s="97"/>
      <c r="C344" s="98"/>
      <c r="D344" s="99"/>
      <c r="E344" s="102" t="s">
        <v>129</v>
      </c>
      <c r="F344" s="449"/>
      <c r="G344" s="443"/>
      <c r="H344" s="443"/>
      <c r="I344" s="100"/>
      <c r="J344" s="11"/>
      <c r="M344" s="11"/>
      <c r="N344" s="11"/>
      <c r="O344" s="11"/>
      <c r="P344" s="11"/>
      <c r="Q344" s="11"/>
      <c r="R344" s="131">
        <f t="shared" si="112"/>
        <v>0</v>
      </c>
      <c r="S344" s="131" t="str">
        <f t="shared" si="113"/>
        <v/>
      </c>
      <c r="T344" s="131">
        <f t="shared" si="111"/>
        <v>1</v>
      </c>
      <c r="U344" s="131">
        <f>IF(E344="",1,IF(AND(E344="〇〇(合意形成対象者名に書き換え)",COUNTA($F344:$H344)=0),1,IF(AND(E344&lt;&gt;"〇〇(合意形成対象者名に書き換え)",COUNTA($F344:$H344)=3),1,0)))</f>
        <v>1</v>
      </c>
      <c r="V344" s="131" t="str" cm="1">
        <f t="array" ref="V344">_xlfn.IFS(T344=4,"A",T344=3,"B",T344=2,"C",T344=1,"D")</f>
        <v>D</v>
      </c>
      <c r="W344" s="131"/>
    </row>
    <row r="345" spans="1:23" customFormat="1" ht="7.5" customHeight="1">
      <c r="B345" s="65"/>
      <c r="C345" s="4"/>
      <c r="D345" s="4"/>
      <c r="E345" s="4"/>
      <c r="F345" s="4"/>
      <c r="G345" s="4"/>
      <c r="H345" s="4"/>
      <c r="I345" s="9"/>
      <c r="J345" s="2"/>
      <c r="K345" s="2"/>
      <c r="L345" s="2"/>
      <c r="R345" s="131">
        <f t="shared" si="112"/>
        <v>0</v>
      </c>
      <c r="S345" s="131" t="str">
        <f t="shared" si="113"/>
        <v/>
      </c>
      <c r="T345" s="131">
        <f t="shared" si="111"/>
        <v>1</v>
      </c>
      <c r="U345" s="131">
        <f t="shared" ref="U345:U346" si="114">IF(E345="",1,IF(AND(E345="〇〇(合意形成対象者名に書き換え)",COUNTA($F345:$H345)=0),1,IF(AND(E345&lt;&gt;"〇〇(合意形成対象者名に書き換え)",COUNTA($F345:$H345)=3),1,0)))</f>
        <v>1</v>
      </c>
      <c r="V345" s="131" t="str" cm="1">
        <f t="array" ref="V345">_xlfn.IFS(T345=4,"A",T345=3,"B",T345=2,"C",T345=1,"D")</f>
        <v>D</v>
      </c>
      <c r="W345" s="177"/>
    </row>
    <row r="346" spans="1:23" customFormat="1" ht="6" customHeight="1">
      <c r="J346" s="2"/>
      <c r="K346" s="2"/>
      <c r="L346" s="2"/>
      <c r="R346" s="131">
        <f t="shared" si="112"/>
        <v>0</v>
      </c>
      <c r="S346" s="131" t="str">
        <f t="shared" si="113"/>
        <v/>
      </c>
      <c r="T346" s="131">
        <f t="shared" si="111"/>
        <v>1</v>
      </c>
      <c r="U346" s="131">
        <f t="shared" si="114"/>
        <v>1</v>
      </c>
      <c r="V346" s="131" t="str" cm="1">
        <f t="array" ref="V346">_xlfn.IFS(T346=4,"A",T346=3,"B",T346=2,"C",T346=1,"D")</f>
        <v>D</v>
      </c>
      <c r="W346" s="177"/>
    </row>
    <row r="347" spans="1:23" customFormat="1" ht="103.5" customHeight="1">
      <c r="C347" s="78"/>
      <c r="D347" s="79"/>
      <c r="E347" s="71" t="s">
        <v>238</v>
      </c>
      <c r="F347" s="1057"/>
      <c r="G347" s="1057"/>
      <c r="H347" s="1057"/>
      <c r="I347" s="80" t="s">
        <v>132</v>
      </c>
      <c r="J347" s="80"/>
    </row>
    <row r="348" spans="1:23" customFormat="1" ht="146.25" customHeight="1">
      <c r="C348" s="75"/>
      <c r="D348" s="68"/>
      <c r="E348" s="71" t="s">
        <v>237</v>
      </c>
      <c r="F348" s="1057"/>
      <c r="G348" s="1057"/>
      <c r="H348" s="1057"/>
      <c r="J348" s="2"/>
      <c r="K348" s="2"/>
      <c r="L348" s="2"/>
    </row>
    <row r="349" spans="1:23" customFormat="1" ht="13.5" customHeight="1" thickBot="1">
      <c r="A349" s="81"/>
      <c r="B349" s="81"/>
      <c r="C349" s="81"/>
      <c r="D349" s="81"/>
      <c r="E349" s="81"/>
      <c r="F349" s="81"/>
      <c r="G349" s="81"/>
      <c r="H349" s="81"/>
      <c r="I349" s="81"/>
      <c r="J349" s="82"/>
      <c r="K349" s="2"/>
      <c r="L349" s="2"/>
    </row>
    <row r="350" spans="1:23" customFormat="1" ht="13.5" customHeight="1">
      <c r="J350" s="2"/>
      <c r="K350" s="2"/>
      <c r="L350" s="2"/>
    </row>
    <row r="351" spans="1:23" customFormat="1" ht="15" customHeight="1">
      <c r="B351" s="10"/>
      <c r="C351" s="5"/>
      <c r="D351" s="5"/>
      <c r="E351" s="5"/>
      <c r="F351" s="5"/>
      <c r="G351" s="5"/>
      <c r="H351" s="5"/>
      <c r="I351" s="6"/>
      <c r="R351" s="11" t="str">
        <f>D352</f>
        <v>(選択してください)</v>
      </c>
    </row>
    <row r="352" spans="1:23" customFormat="1">
      <c r="B352" s="7"/>
      <c r="C352" s="77" t="str">
        <f ca="1">IFERROR(OFFSET('4.2民生電力需要量'!$C$8,MATCH(D352,'4.2民生電力需要量'!$E$9:$E$49,0),0),"")</f>
        <v/>
      </c>
      <c r="D352" s="96" t="s">
        <v>130</v>
      </c>
      <c r="E352" s="72" t="s">
        <v>131</v>
      </c>
      <c r="F352" s="1063" t="str">
        <f ca="1">IFERROR(OFFSET('4.2民生電力需要量'!$G$1,MATCH($D352,'4.2民生電力需要量'!$E:$E,0)-1,0),"")</f>
        <v/>
      </c>
      <c r="G352" s="1063"/>
      <c r="H352" s="1063"/>
      <c r="I352" s="8"/>
      <c r="R352" s="257" t="str">
        <f ca="1">IFERROR(OFFSET('4.2民生電力需要量'!$G$1,MATCH($D352,'4.2民生電力需要量'!$E:$E,0)-1,0),"")</f>
        <v/>
      </c>
      <c r="S352" s="177"/>
      <c r="T352" s="177"/>
      <c r="U352" s="177"/>
      <c r="V352" s="177"/>
      <c r="W352" s="177">
        <f ca="1">(F352=R352)*1</f>
        <v>1</v>
      </c>
    </row>
    <row r="353" spans="1:23" customFormat="1">
      <c r="B353" s="7"/>
      <c r="C353" s="74"/>
      <c r="D353" s="66"/>
      <c r="E353" s="72" t="s">
        <v>221</v>
      </c>
      <c r="F353" s="1062" t="str">
        <f ca="1">IFERROR(OFFSET('4.2民生電力需要量'!$I$1,MATCH($D352,'4.2民生電力需要量'!$E:$E,0)-1,0),"")</f>
        <v/>
      </c>
      <c r="G353" s="1062"/>
      <c r="H353" s="1062"/>
      <c r="I353" s="8"/>
      <c r="R353" s="177" t="str">
        <f ca="1">IFERROR(OFFSET('4.2民生電力需要量'!$I$1,MATCH($D352,'4.2民生電力需要量'!$E:$E,0)-1,0),"")</f>
        <v/>
      </c>
      <c r="S353" s="177"/>
      <c r="T353" s="177"/>
      <c r="U353" s="177"/>
      <c r="V353" s="177"/>
      <c r="W353" s="177">
        <f t="shared" ref="W353:W354" ca="1" si="115">(F353=R353)*1</f>
        <v>1</v>
      </c>
    </row>
    <row r="354" spans="1:23" customFormat="1">
      <c r="B354" s="7"/>
      <c r="C354" s="74"/>
      <c r="D354" s="66"/>
      <c r="E354" s="72" t="s">
        <v>176</v>
      </c>
      <c r="F354" s="1070" t="str">
        <f>_xlfn.IFNA(R354,"")</f>
        <v/>
      </c>
      <c r="G354" s="1071"/>
      <c r="H354" s="1072"/>
      <c r="I354" s="8"/>
      <c r="R354" s="131" t="str">
        <f>IF(OR(COUNTIF($E356:$E361,"&lt;&gt;〇〇(合意形成対象者名に書き換え)")=3,COUNTIF($E356:$E361,"")&gt;3),"",IF(PRODUCT($U356:$U361)=1,V356,""))</f>
        <v/>
      </c>
      <c r="S354" s="177"/>
      <c r="T354" s="177"/>
      <c r="U354" s="177"/>
      <c r="V354" s="177"/>
      <c r="W354" s="177">
        <f t="shared" si="115"/>
        <v>1</v>
      </c>
    </row>
    <row r="355" spans="1:23" ht="63.75" customHeight="1">
      <c r="B355" s="97"/>
      <c r="C355" s="98"/>
      <c r="D355" s="99"/>
      <c r="E355" s="374"/>
      <c r="F355" s="315" t="s">
        <v>283</v>
      </c>
      <c r="G355" s="315" t="s">
        <v>284</v>
      </c>
      <c r="H355" s="315" t="s">
        <v>281</v>
      </c>
      <c r="I355" s="100"/>
      <c r="J355" s="11"/>
      <c r="R355" s="128" t="s">
        <v>272</v>
      </c>
      <c r="S355" s="128" t="s">
        <v>432</v>
      </c>
      <c r="T355" s="131" t="s">
        <v>408</v>
      </c>
      <c r="U355" s="131" t="s">
        <v>436</v>
      </c>
      <c r="V355" s="128" t="s">
        <v>431</v>
      </c>
      <c r="W355" s="257"/>
    </row>
    <row r="356" spans="1:23" hidden="1">
      <c r="B356" s="97"/>
      <c r="C356" s="98"/>
      <c r="D356" s="99"/>
      <c r="E356" s="444"/>
      <c r="F356" s="445"/>
      <c r="G356" s="441"/>
      <c r="H356" s="441"/>
      <c r="I356" s="100"/>
      <c r="J356" s="11"/>
      <c r="R356" s="131">
        <f>IF(AND(F356="実施済",G356="実施済",H356="完了"),3,0)</f>
        <v>0</v>
      </c>
      <c r="S356" s="131" t="str">
        <f>IF(OR(E356="〇〇(合意形成対象者名に書き換え)",E356=""),"",R356)</f>
        <v/>
      </c>
      <c r="T356" s="131">
        <f t="shared" ref="T356:T361" si="116">MIN($S$356:$S$361)+1</f>
        <v>1</v>
      </c>
      <c r="U356" s="131">
        <f>IF(E356="",1,IF(AND(E356="〇〇(合意形成対象者名に書き換え)",COUNTA($F356:$H356)=0),1,IF(AND(E356&lt;&gt;"〇〇(合意形成対象者名に書き換え)",COUNTA($F356:$H356)=3),1,0)))</f>
        <v>1</v>
      </c>
      <c r="V356" s="131" t="str" cm="1">
        <f t="array" ref="V356">_xlfn.IFS(T356=4,"A",T356=3,"B",T356=2,"C",T356=1,"D")</f>
        <v>D</v>
      </c>
      <c r="W356" s="257"/>
    </row>
    <row r="357" spans="1:23">
      <c r="B357" s="97"/>
      <c r="C357" s="98"/>
      <c r="D357" s="99"/>
      <c r="E357" s="102" t="s">
        <v>129</v>
      </c>
      <c r="F357" s="449"/>
      <c r="G357" s="443"/>
      <c r="H357" s="443"/>
      <c r="I357" s="100"/>
      <c r="J357" s="11"/>
      <c r="R357" s="131">
        <f t="shared" ref="R357:R361" si="117">IF(AND(F357="実施済",G357="実施済",H357="完了"),3,0)</f>
        <v>0</v>
      </c>
      <c r="S357" s="131" t="str">
        <f t="shared" ref="S357:S361" si="118">IF(OR(E357="〇〇(合意形成対象者名に書き換え)",E357=""),"",R357)</f>
        <v/>
      </c>
      <c r="T357" s="131">
        <f t="shared" si="116"/>
        <v>1</v>
      </c>
      <c r="U357" s="131">
        <f>IF(E357="",1,IF(AND(E357="〇〇(合意形成対象者名に書き換え)",COUNTA($F357:$H357)=0),1,IF(AND(E357&lt;&gt;"〇〇(合意形成対象者名に書き換え)",COUNTA($F357:$H357)=3),1,0)))</f>
        <v>1</v>
      </c>
      <c r="V357" s="131" t="str" cm="1">
        <f t="array" ref="V357">_xlfn.IFS(T357=4,"A",T357=3,"B",T357=2,"C",T357=1,"D")</f>
        <v>D</v>
      </c>
      <c r="W357" s="257"/>
    </row>
    <row r="358" spans="1:23">
      <c r="B358" s="97"/>
      <c r="C358" s="98"/>
      <c r="D358" s="99"/>
      <c r="E358" s="102" t="s">
        <v>129</v>
      </c>
      <c r="F358" s="449"/>
      <c r="G358" s="443"/>
      <c r="H358" s="443"/>
      <c r="I358" s="100"/>
      <c r="J358" s="11"/>
      <c r="R358" s="131">
        <f t="shared" si="117"/>
        <v>0</v>
      </c>
      <c r="S358" s="131" t="str">
        <f t="shared" si="118"/>
        <v/>
      </c>
      <c r="T358" s="131">
        <f t="shared" si="116"/>
        <v>1</v>
      </c>
      <c r="U358" s="131">
        <f>IF(E358="",1,IF(AND(E358="〇〇(合意形成対象者名に書き換え)",COUNTA($F358:$H358)=0),1,IF(AND(E358&lt;&gt;"〇〇(合意形成対象者名に書き換え)",COUNTA($F358:$H358)=3),1,0)))</f>
        <v>1</v>
      </c>
      <c r="V358" s="131" t="str" cm="1">
        <f t="array" ref="V358">_xlfn.IFS(T358=4,"A",T358=3,"B",T358=2,"C",T358=1,"D")</f>
        <v>D</v>
      </c>
      <c r="W358" s="257"/>
    </row>
    <row r="359" spans="1:23" s="101" customFormat="1">
      <c r="A359" s="11"/>
      <c r="B359" s="97"/>
      <c r="C359" s="98"/>
      <c r="D359" s="99"/>
      <c r="E359" s="102" t="s">
        <v>129</v>
      </c>
      <c r="F359" s="449"/>
      <c r="G359" s="443"/>
      <c r="H359" s="443"/>
      <c r="I359" s="100"/>
      <c r="J359" s="11"/>
      <c r="M359" s="11"/>
      <c r="N359" s="11"/>
      <c r="O359" s="11"/>
      <c r="P359" s="11"/>
      <c r="Q359" s="11"/>
      <c r="R359" s="131">
        <f t="shared" si="117"/>
        <v>0</v>
      </c>
      <c r="S359" s="131" t="str">
        <f t="shared" si="118"/>
        <v/>
      </c>
      <c r="T359" s="131">
        <f t="shared" si="116"/>
        <v>1</v>
      </c>
      <c r="U359" s="131">
        <f>IF(E359="",1,IF(AND(E359="〇〇(合意形成対象者名に書き換え)",COUNTA($F359:$H359)=0),1,IF(AND(E359&lt;&gt;"〇〇(合意形成対象者名に書き換え)",COUNTA($F359:$H359)=3),1,0)))</f>
        <v>1</v>
      </c>
      <c r="V359" s="131" t="str" cm="1">
        <f t="array" ref="V359">_xlfn.IFS(T359=4,"A",T359=3,"B",T359=2,"C",T359=1,"D")</f>
        <v>D</v>
      </c>
      <c r="W359" s="131"/>
    </row>
    <row r="360" spans="1:23" customFormat="1" ht="7.5" customHeight="1">
      <c r="B360" s="65"/>
      <c r="C360" s="4"/>
      <c r="D360" s="4"/>
      <c r="E360" s="4"/>
      <c r="F360" s="4"/>
      <c r="G360" s="4"/>
      <c r="H360" s="4"/>
      <c r="I360" s="9"/>
      <c r="J360" s="2"/>
      <c r="K360" s="2"/>
      <c r="L360" s="2"/>
      <c r="R360" s="131">
        <f t="shared" si="117"/>
        <v>0</v>
      </c>
      <c r="S360" s="131" t="str">
        <f t="shared" si="118"/>
        <v/>
      </c>
      <c r="T360" s="131">
        <f t="shared" si="116"/>
        <v>1</v>
      </c>
      <c r="U360" s="131">
        <f t="shared" ref="U360:U361" si="119">IF(E360="",1,IF(AND(E360="〇〇(合意形成対象者名に書き換え)",COUNTA($F360:$H360)=0),1,IF(AND(E360&lt;&gt;"〇〇(合意形成対象者名に書き換え)",COUNTA($F360:$H360)=3),1,0)))</f>
        <v>1</v>
      </c>
      <c r="V360" s="131" t="str" cm="1">
        <f t="array" ref="V360">_xlfn.IFS(T360=4,"A",T360=3,"B",T360=2,"C",T360=1,"D")</f>
        <v>D</v>
      </c>
      <c r="W360" s="177"/>
    </row>
    <row r="361" spans="1:23" customFormat="1" ht="6" customHeight="1">
      <c r="J361" s="2"/>
      <c r="K361" s="2"/>
      <c r="L361" s="2"/>
      <c r="R361" s="131">
        <f t="shared" si="117"/>
        <v>0</v>
      </c>
      <c r="S361" s="131" t="str">
        <f t="shared" si="118"/>
        <v/>
      </c>
      <c r="T361" s="131">
        <f t="shared" si="116"/>
        <v>1</v>
      </c>
      <c r="U361" s="131">
        <f t="shared" si="119"/>
        <v>1</v>
      </c>
      <c r="V361" s="131" t="str" cm="1">
        <f t="array" ref="V361">_xlfn.IFS(T361=4,"A",T361=3,"B",T361=2,"C",T361=1,"D")</f>
        <v>D</v>
      </c>
      <c r="W361" s="177"/>
    </row>
    <row r="362" spans="1:23" customFormat="1" ht="103.5" customHeight="1">
      <c r="C362" s="78"/>
      <c r="D362" s="79"/>
      <c r="E362" s="71" t="s">
        <v>238</v>
      </c>
      <c r="F362" s="1057"/>
      <c r="G362" s="1057"/>
      <c r="H362" s="1057"/>
      <c r="I362" s="80" t="s">
        <v>132</v>
      </c>
      <c r="J362" s="80"/>
    </row>
    <row r="363" spans="1:23" customFormat="1" ht="146.25" customHeight="1">
      <c r="C363" s="75"/>
      <c r="D363" s="68"/>
      <c r="E363" s="71" t="s">
        <v>237</v>
      </c>
      <c r="F363" s="1057"/>
      <c r="G363" s="1057"/>
      <c r="H363" s="1057"/>
      <c r="J363" s="2"/>
      <c r="K363" s="2"/>
      <c r="L363" s="2"/>
    </row>
    <row r="364" spans="1:23" customFormat="1" ht="13.5" customHeight="1" thickBot="1">
      <c r="A364" s="81"/>
      <c r="B364" s="81"/>
      <c r="C364" s="81"/>
      <c r="D364" s="81"/>
      <c r="E364" s="81"/>
      <c r="F364" s="81"/>
      <c r="G364" s="81"/>
      <c r="H364" s="81"/>
      <c r="I364" s="81"/>
      <c r="J364" s="82"/>
      <c r="K364" s="2"/>
      <c r="L364" s="2"/>
    </row>
    <row r="365" spans="1:23" customFormat="1" ht="13.5" customHeight="1">
      <c r="J365" s="2"/>
      <c r="K365" s="2"/>
      <c r="L365" s="2"/>
    </row>
    <row r="366" spans="1:23" customFormat="1" ht="15" customHeight="1">
      <c r="B366" s="10"/>
      <c r="C366" s="5"/>
      <c r="D366" s="5"/>
      <c r="E366" s="5"/>
      <c r="F366" s="5"/>
      <c r="G366" s="5"/>
      <c r="H366" s="5"/>
      <c r="I366" s="6"/>
      <c r="R366" s="11" t="str">
        <f>D367</f>
        <v>(選択してください)</v>
      </c>
    </row>
    <row r="367" spans="1:23" customFormat="1">
      <c r="B367" s="7"/>
      <c r="C367" s="77" t="str">
        <f ca="1">IFERROR(OFFSET('4.2民生電力需要量'!$C$8,MATCH(D367,'4.2民生電力需要量'!$E$9:$E$49,0),0),"")</f>
        <v/>
      </c>
      <c r="D367" s="96" t="s">
        <v>130</v>
      </c>
      <c r="E367" s="72" t="s">
        <v>131</v>
      </c>
      <c r="F367" s="1063" t="str">
        <f ca="1">IFERROR(OFFSET('4.2民生電力需要量'!$G$1,MATCH($D367,'4.2民生電力需要量'!$E:$E,0)-1,0),"")</f>
        <v/>
      </c>
      <c r="G367" s="1063"/>
      <c r="H367" s="1063"/>
      <c r="I367" s="8"/>
      <c r="R367" s="257" t="str">
        <f ca="1">IFERROR(OFFSET('4.2民生電力需要量'!$G$1,MATCH($D367,'4.2民生電力需要量'!$E:$E,0)-1,0),"")</f>
        <v/>
      </c>
      <c r="S367" s="177"/>
      <c r="T367" s="177"/>
      <c r="U367" s="177"/>
      <c r="V367" s="177"/>
      <c r="W367" s="177">
        <f ca="1">(F367=R367)*1</f>
        <v>1</v>
      </c>
    </row>
    <row r="368" spans="1:23" customFormat="1">
      <c r="B368" s="7"/>
      <c r="C368" s="74"/>
      <c r="D368" s="66"/>
      <c r="E368" s="72" t="s">
        <v>221</v>
      </c>
      <c r="F368" s="1062" t="str">
        <f ca="1">IFERROR(OFFSET('4.2民生電力需要量'!$I$1,MATCH($D367,'4.2民生電力需要量'!$E:$E,0)-1,0),"")</f>
        <v/>
      </c>
      <c r="G368" s="1062"/>
      <c r="H368" s="1062"/>
      <c r="I368" s="8"/>
      <c r="R368" s="177" t="str">
        <f ca="1">IFERROR(OFFSET('4.2民生電力需要量'!$I$1,MATCH($D367,'4.2民生電力需要量'!$E:$E,0)-1,0),"")</f>
        <v/>
      </c>
      <c r="S368" s="177"/>
      <c r="T368" s="177"/>
      <c r="U368" s="177"/>
      <c r="V368" s="177"/>
      <c r="W368" s="177">
        <f t="shared" ref="W368:W369" ca="1" si="120">(F368=R368)*1</f>
        <v>1</v>
      </c>
    </row>
    <row r="369" spans="1:23" customFormat="1">
      <c r="B369" s="7"/>
      <c r="C369" s="74"/>
      <c r="D369" s="66"/>
      <c r="E369" s="72" t="s">
        <v>176</v>
      </c>
      <c r="F369" s="1070" t="str">
        <f>_xlfn.IFNA(R369,"")</f>
        <v/>
      </c>
      <c r="G369" s="1071"/>
      <c r="H369" s="1072"/>
      <c r="I369" s="8"/>
      <c r="R369" s="131" t="str">
        <f>IF(OR(COUNTIF($E371:$E376,"&lt;&gt;〇〇(合意形成対象者名に書き換え)")=3,COUNTIF($E371:$E376,"")&gt;3),"",IF(PRODUCT($U371:$U376)=1,V371,""))</f>
        <v/>
      </c>
      <c r="S369" s="177"/>
      <c r="T369" s="177"/>
      <c r="U369" s="177"/>
      <c r="V369" s="177"/>
      <c r="W369" s="177">
        <f t="shared" si="120"/>
        <v>1</v>
      </c>
    </row>
    <row r="370" spans="1:23" ht="63.75" customHeight="1">
      <c r="B370" s="97"/>
      <c r="C370" s="98"/>
      <c r="D370" s="99"/>
      <c r="E370" s="374"/>
      <c r="F370" s="315" t="s">
        <v>283</v>
      </c>
      <c r="G370" s="315" t="s">
        <v>284</v>
      </c>
      <c r="H370" s="315" t="s">
        <v>281</v>
      </c>
      <c r="I370" s="100"/>
      <c r="J370" s="11"/>
      <c r="R370" s="128" t="s">
        <v>272</v>
      </c>
      <c r="S370" s="128" t="s">
        <v>432</v>
      </c>
      <c r="T370" s="131" t="s">
        <v>408</v>
      </c>
      <c r="U370" s="131" t="s">
        <v>436</v>
      </c>
      <c r="V370" s="128" t="s">
        <v>431</v>
      </c>
      <c r="W370" s="257"/>
    </row>
    <row r="371" spans="1:23" hidden="1">
      <c r="B371" s="97"/>
      <c r="C371" s="98"/>
      <c r="D371" s="99"/>
      <c r="E371" s="444"/>
      <c r="F371" s="445"/>
      <c r="G371" s="441"/>
      <c r="H371" s="441"/>
      <c r="I371" s="100"/>
      <c r="J371" s="11"/>
      <c r="R371" s="131">
        <f>IF(AND(F371="実施済",G371="実施済",H371="完了"),3,0)</f>
        <v>0</v>
      </c>
      <c r="S371" s="131" t="str">
        <f>IF(OR(E371="〇〇(合意形成対象者名に書き換え)",E371=""),"",R371)</f>
        <v/>
      </c>
      <c r="T371" s="131">
        <f t="shared" ref="T371:T376" si="121">MIN($S$371:$S$376)+1</f>
        <v>1</v>
      </c>
      <c r="U371" s="131">
        <f>IF(E371="",1,IF(AND(E371="〇〇(合意形成対象者名に書き換え)",COUNTA($F371:$H371)=0),1,IF(AND(E371&lt;&gt;"〇〇(合意形成対象者名に書き換え)",COUNTA($F371:$H371)=3),1,0)))</f>
        <v>1</v>
      </c>
      <c r="V371" s="131" t="str" cm="1">
        <f t="array" ref="V371">_xlfn.IFS(T371=4,"A",T371=3,"B",T371=2,"C",T371=1,"D")</f>
        <v>D</v>
      </c>
      <c r="W371" s="257"/>
    </row>
    <row r="372" spans="1:23">
      <c r="B372" s="97"/>
      <c r="C372" s="98"/>
      <c r="D372" s="99"/>
      <c r="E372" s="102" t="s">
        <v>129</v>
      </c>
      <c r="F372" s="449"/>
      <c r="G372" s="443"/>
      <c r="H372" s="443"/>
      <c r="I372" s="100"/>
      <c r="J372" s="11"/>
      <c r="R372" s="131">
        <f t="shared" ref="R372:R376" si="122">IF(AND(F372="実施済",G372="実施済",H372="完了"),3,0)</f>
        <v>0</v>
      </c>
      <c r="S372" s="131" t="str">
        <f t="shared" ref="S372:S376" si="123">IF(OR(E372="〇〇(合意形成対象者名に書き換え)",E372=""),"",R372)</f>
        <v/>
      </c>
      <c r="T372" s="131">
        <f t="shared" si="121"/>
        <v>1</v>
      </c>
      <c r="U372" s="131">
        <f>IF(E372="",1,IF(AND(E372="〇〇(合意形成対象者名に書き換え)",COUNTA($F372:$H372)=0),1,IF(AND(E372&lt;&gt;"〇〇(合意形成対象者名に書き換え)",COUNTA($F372:$H372)=3),1,0)))</f>
        <v>1</v>
      </c>
      <c r="V372" s="131" t="str" cm="1">
        <f t="array" ref="V372">_xlfn.IFS(T372=4,"A",T372=3,"B",T372=2,"C",T372=1,"D")</f>
        <v>D</v>
      </c>
      <c r="W372" s="257"/>
    </row>
    <row r="373" spans="1:23">
      <c r="B373" s="97"/>
      <c r="C373" s="98"/>
      <c r="D373" s="99"/>
      <c r="E373" s="102" t="s">
        <v>129</v>
      </c>
      <c r="F373" s="449"/>
      <c r="G373" s="443"/>
      <c r="H373" s="443"/>
      <c r="I373" s="100"/>
      <c r="J373" s="11"/>
      <c r="R373" s="131">
        <f t="shared" si="122"/>
        <v>0</v>
      </c>
      <c r="S373" s="131" t="str">
        <f t="shared" si="123"/>
        <v/>
      </c>
      <c r="T373" s="131">
        <f t="shared" si="121"/>
        <v>1</v>
      </c>
      <c r="U373" s="131">
        <f>IF(E373="",1,IF(AND(E373="〇〇(合意形成対象者名に書き換え)",COUNTA($F373:$H373)=0),1,IF(AND(E373&lt;&gt;"〇〇(合意形成対象者名に書き換え)",COUNTA($F373:$H373)=3),1,0)))</f>
        <v>1</v>
      </c>
      <c r="V373" s="131" t="str" cm="1">
        <f t="array" ref="V373">_xlfn.IFS(T373=4,"A",T373=3,"B",T373=2,"C",T373=1,"D")</f>
        <v>D</v>
      </c>
      <c r="W373" s="257"/>
    </row>
    <row r="374" spans="1:23" s="101" customFormat="1">
      <c r="A374" s="11"/>
      <c r="B374" s="97"/>
      <c r="C374" s="98"/>
      <c r="D374" s="99"/>
      <c r="E374" s="102" t="s">
        <v>129</v>
      </c>
      <c r="F374" s="449"/>
      <c r="G374" s="443"/>
      <c r="H374" s="443"/>
      <c r="I374" s="100"/>
      <c r="J374" s="11"/>
      <c r="M374" s="11"/>
      <c r="N374" s="11"/>
      <c r="O374" s="11"/>
      <c r="P374" s="11"/>
      <c r="Q374" s="11"/>
      <c r="R374" s="131">
        <f t="shared" si="122"/>
        <v>0</v>
      </c>
      <c r="S374" s="131" t="str">
        <f t="shared" si="123"/>
        <v/>
      </c>
      <c r="T374" s="131">
        <f t="shared" si="121"/>
        <v>1</v>
      </c>
      <c r="U374" s="131">
        <f>IF(E374="",1,IF(AND(E374="〇〇(合意形成対象者名に書き換え)",COUNTA($F374:$H374)=0),1,IF(AND(E374&lt;&gt;"〇〇(合意形成対象者名に書き換え)",COUNTA($F374:$H374)=3),1,0)))</f>
        <v>1</v>
      </c>
      <c r="V374" s="131" t="str" cm="1">
        <f t="array" ref="V374">_xlfn.IFS(T374=4,"A",T374=3,"B",T374=2,"C",T374=1,"D")</f>
        <v>D</v>
      </c>
      <c r="W374" s="131"/>
    </row>
    <row r="375" spans="1:23" customFormat="1" ht="7.5" customHeight="1">
      <c r="B375" s="65"/>
      <c r="C375" s="4"/>
      <c r="D375" s="4"/>
      <c r="E375" s="4"/>
      <c r="F375" s="4"/>
      <c r="G375" s="4"/>
      <c r="H375" s="4"/>
      <c r="I375" s="9"/>
      <c r="J375" s="2"/>
      <c r="K375" s="2"/>
      <c r="L375" s="2"/>
      <c r="R375" s="131">
        <f t="shared" si="122"/>
        <v>0</v>
      </c>
      <c r="S375" s="131" t="str">
        <f t="shared" si="123"/>
        <v/>
      </c>
      <c r="T375" s="131">
        <f t="shared" si="121"/>
        <v>1</v>
      </c>
      <c r="U375" s="131">
        <f t="shared" ref="U375:U376" si="124">IF(E375="",1,IF(AND(E375="〇〇(合意形成対象者名に書き換え)",COUNTA($F375:$H375)=0),1,IF(AND(E375&lt;&gt;"〇〇(合意形成対象者名に書き換え)",COUNTA($F375:$H375)=3),1,0)))</f>
        <v>1</v>
      </c>
      <c r="V375" s="131" t="str" cm="1">
        <f t="array" ref="V375">_xlfn.IFS(T375=4,"A",T375=3,"B",T375=2,"C",T375=1,"D")</f>
        <v>D</v>
      </c>
      <c r="W375" s="177"/>
    </row>
    <row r="376" spans="1:23" customFormat="1" ht="6" customHeight="1">
      <c r="J376" s="2"/>
      <c r="K376" s="2"/>
      <c r="L376" s="2"/>
      <c r="R376" s="131">
        <f t="shared" si="122"/>
        <v>0</v>
      </c>
      <c r="S376" s="131" t="str">
        <f t="shared" si="123"/>
        <v/>
      </c>
      <c r="T376" s="131">
        <f t="shared" si="121"/>
        <v>1</v>
      </c>
      <c r="U376" s="131">
        <f t="shared" si="124"/>
        <v>1</v>
      </c>
      <c r="V376" s="131" t="str" cm="1">
        <f t="array" ref="V376">_xlfn.IFS(T376=4,"A",T376=3,"B",T376=2,"C",T376=1,"D")</f>
        <v>D</v>
      </c>
      <c r="W376" s="177"/>
    </row>
    <row r="377" spans="1:23" customFormat="1" ht="103.5" customHeight="1">
      <c r="C377" s="78"/>
      <c r="D377" s="79"/>
      <c r="E377" s="71" t="s">
        <v>238</v>
      </c>
      <c r="F377" s="1057"/>
      <c r="G377" s="1057"/>
      <c r="H377" s="1057"/>
      <c r="I377" s="80" t="s">
        <v>132</v>
      </c>
      <c r="J377" s="80"/>
    </row>
    <row r="378" spans="1:23" customFormat="1" ht="146.25" customHeight="1">
      <c r="C378" s="75"/>
      <c r="D378" s="68"/>
      <c r="E378" s="71" t="s">
        <v>237</v>
      </c>
      <c r="F378" s="1057"/>
      <c r="G378" s="1057"/>
      <c r="H378" s="1057"/>
      <c r="J378" s="2"/>
      <c r="K378" s="2"/>
      <c r="L378" s="2"/>
    </row>
    <row r="379" spans="1:23" customFormat="1" ht="13.5" customHeight="1" thickBot="1">
      <c r="A379" s="81"/>
      <c r="B379" s="81"/>
      <c r="C379" s="81"/>
      <c r="D379" s="81"/>
      <c r="E379" s="81"/>
      <c r="F379" s="81"/>
      <c r="G379" s="81"/>
      <c r="H379" s="81"/>
      <c r="I379" s="81"/>
      <c r="J379" s="82"/>
      <c r="K379" s="2"/>
      <c r="L379" s="2"/>
    </row>
    <row r="380" spans="1:23" customFormat="1" ht="13.5" customHeight="1">
      <c r="J380" s="2"/>
      <c r="K380" s="2"/>
      <c r="L380" s="2"/>
    </row>
    <row r="381" spans="1:23" customFormat="1" ht="15" customHeight="1">
      <c r="B381" s="10"/>
      <c r="C381" s="5"/>
      <c r="D381" s="5"/>
      <c r="E381" s="5"/>
      <c r="F381" s="5"/>
      <c r="G381" s="5"/>
      <c r="H381" s="5"/>
      <c r="I381" s="6"/>
      <c r="R381" s="11" t="str">
        <f>D382</f>
        <v>(選択してください)</v>
      </c>
    </row>
    <row r="382" spans="1:23" customFormat="1">
      <c r="B382" s="7"/>
      <c r="C382" s="77" t="str">
        <f ca="1">IFERROR(OFFSET('4.2民生電力需要量'!$C$8,MATCH(D382,'4.2民生電力需要量'!$E$9:$E$49,0),0),"")</f>
        <v/>
      </c>
      <c r="D382" s="96" t="s">
        <v>130</v>
      </c>
      <c r="E382" s="72" t="s">
        <v>131</v>
      </c>
      <c r="F382" s="1063" t="str">
        <f ca="1">IFERROR(OFFSET('4.2民生電力需要量'!$G$1,MATCH($D382,'4.2民生電力需要量'!$E:$E,0)-1,0),"")</f>
        <v/>
      </c>
      <c r="G382" s="1063"/>
      <c r="H382" s="1063"/>
      <c r="I382" s="8"/>
      <c r="R382" s="257" t="str">
        <f ca="1">IFERROR(OFFSET('4.2民生電力需要量'!$G$1,MATCH($D382,'4.2民生電力需要量'!$E:$E,0)-1,0),"")</f>
        <v/>
      </c>
      <c r="S382" s="177"/>
      <c r="T382" s="177"/>
      <c r="U382" s="177"/>
      <c r="V382" s="177"/>
      <c r="W382" s="177">
        <f ca="1">(F382=R382)*1</f>
        <v>1</v>
      </c>
    </row>
    <row r="383" spans="1:23" customFormat="1">
      <c r="B383" s="7"/>
      <c r="C383" s="74"/>
      <c r="D383" s="66"/>
      <c r="E383" s="72" t="s">
        <v>221</v>
      </c>
      <c r="F383" s="1062" t="str">
        <f ca="1">IFERROR(OFFSET('4.2民生電力需要量'!$I$1,MATCH($D382,'4.2民生電力需要量'!$E:$E,0)-1,0),"")</f>
        <v/>
      </c>
      <c r="G383" s="1062"/>
      <c r="H383" s="1062"/>
      <c r="I383" s="8"/>
      <c r="R383" s="177" t="str">
        <f ca="1">IFERROR(OFFSET('4.2民生電力需要量'!$I$1,MATCH($D382,'4.2民生電力需要量'!$E:$E,0)-1,0),"")</f>
        <v/>
      </c>
      <c r="S383" s="177"/>
      <c r="T383" s="177"/>
      <c r="U383" s="177"/>
      <c r="V383" s="177"/>
      <c r="W383" s="177">
        <f t="shared" ref="W383:W384" ca="1" si="125">(F383=R383)*1</f>
        <v>1</v>
      </c>
    </row>
    <row r="384" spans="1:23" customFormat="1">
      <c r="B384" s="7"/>
      <c r="C384" s="74"/>
      <c r="D384" s="66"/>
      <c r="E384" s="72" t="s">
        <v>176</v>
      </c>
      <c r="F384" s="1070" t="str">
        <f>_xlfn.IFNA(R384,"")</f>
        <v/>
      </c>
      <c r="G384" s="1071"/>
      <c r="H384" s="1072"/>
      <c r="I384" s="8"/>
      <c r="R384" s="131" t="str">
        <f>IF(OR(COUNTIF($E386:$E391,"&lt;&gt;〇〇(合意形成対象者名に書き換え)")=3,COUNTIF($E386:$E391,"")&gt;3),"",IF(PRODUCT($U386:$U391)=1,V386,""))</f>
        <v/>
      </c>
      <c r="S384" s="177"/>
      <c r="T384" s="177"/>
      <c r="U384" s="177"/>
      <c r="V384" s="177"/>
      <c r="W384" s="177">
        <f t="shared" si="125"/>
        <v>1</v>
      </c>
    </row>
    <row r="385" spans="1:23" ht="63.75" customHeight="1">
      <c r="B385" s="97"/>
      <c r="C385" s="98"/>
      <c r="D385" s="99"/>
      <c r="E385" s="374"/>
      <c r="F385" s="315" t="s">
        <v>283</v>
      </c>
      <c r="G385" s="315" t="s">
        <v>284</v>
      </c>
      <c r="H385" s="315" t="s">
        <v>281</v>
      </c>
      <c r="I385" s="100"/>
      <c r="J385" s="11"/>
      <c r="R385" s="128" t="s">
        <v>272</v>
      </c>
      <c r="S385" s="128" t="s">
        <v>432</v>
      </c>
      <c r="T385" s="131" t="s">
        <v>408</v>
      </c>
      <c r="U385" s="131" t="s">
        <v>436</v>
      </c>
      <c r="V385" s="128" t="s">
        <v>431</v>
      </c>
      <c r="W385" s="257"/>
    </row>
    <row r="386" spans="1:23" hidden="1">
      <c r="B386" s="97"/>
      <c r="C386" s="98"/>
      <c r="D386" s="99"/>
      <c r="E386" s="444"/>
      <c r="F386" s="445"/>
      <c r="G386" s="441"/>
      <c r="H386" s="441"/>
      <c r="I386" s="100"/>
      <c r="J386" s="11"/>
      <c r="R386" s="131">
        <f>IF(AND(F386="実施済",G386="実施済",H386="完了"),3,0)</f>
        <v>0</v>
      </c>
      <c r="S386" s="131" t="str">
        <f>IF(OR(E386="〇〇(合意形成対象者名に書き換え)",E386=""),"",R386)</f>
        <v/>
      </c>
      <c r="T386" s="131">
        <f t="shared" ref="T386:T391" si="126">MIN($S$386:$S$391)+1</f>
        <v>1</v>
      </c>
      <c r="U386" s="131">
        <f>IF(E386="",1,IF(AND(E386="〇〇(合意形成対象者名に書き換え)",COUNTA($F386:$H386)=0),1,IF(AND(E386&lt;&gt;"〇〇(合意形成対象者名に書き換え)",COUNTA($F386:$H386)=3),1,0)))</f>
        <v>1</v>
      </c>
      <c r="V386" s="131" t="str" cm="1">
        <f t="array" ref="V386">_xlfn.IFS(T386=4,"A",T386=3,"B",T386=2,"C",T386=1,"D")</f>
        <v>D</v>
      </c>
      <c r="W386" s="257"/>
    </row>
    <row r="387" spans="1:23">
      <c r="B387" s="97"/>
      <c r="C387" s="98"/>
      <c r="D387" s="99"/>
      <c r="E387" s="102" t="s">
        <v>129</v>
      </c>
      <c r="F387" s="449"/>
      <c r="G387" s="443"/>
      <c r="H387" s="443"/>
      <c r="I387" s="100"/>
      <c r="J387" s="11"/>
      <c r="R387" s="131">
        <f t="shared" ref="R387:R391" si="127">IF(AND(F387="実施済",G387="実施済",H387="完了"),3,0)</f>
        <v>0</v>
      </c>
      <c r="S387" s="131" t="str">
        <f t="shared" ref="S387:S391" si="128">IF(OR(E387="〇〇(合意形成対象者名に書き換え)",E387=""),"",R387)</f>
        <v/>
      </c>
      <c r="T387" s="131">
        <f t="shared" si="126"/>
        <v>1</v>
      </c>
      <c r="U387" s="131">
        <f>IF(E387="",1,IF(AND(E387="〇〇(合意形成対象者名に書き換え)",COUNTA($F387:$H387)=0),1,IF(AND(E387&lt;&gt;"〇〇(合意形成対象者名に書き換え)",COUNTA($F387:$H387)=3),1,0)))</f>
        <v>1</v>
      </c>
      <c r="V387" s="131" t="str" cm="1">
        <f t="array" ref="V387">_xlfn.IFS(T387=4,"A",T387=3,"B",T387=2,"C",T387=1,"D")</f>
        <v>D</v>
      </c>
      <c r="W387" s="257"/>
    </row>
    <row r="388" spans="1:23">
      <c r="B388" s="97"/>
      <c r="C388" s="98"/>
      <c r="D388" s="99"/>
      <c r="E388" s="102" t="s">
        <v>129</v>
      </c>
      <c r="F388" s="449"/>
      <c r="G388" s="443"/>
      <c r="H388" s="443"/>
      <c r="I388" s="100"/>
      <c r="J388" s="11"/>
      <c r="R388" s="131">
        <f t="shared" si="127"/>
        <v>0</v>
      </c>
      <c r="S388" s="131" t="str">
        <f t="shared" si="128"/>
        <v/>
      </c>
      <c r="T388" s="131">
        <f t="shared" si="126"/>
        <v>1</v>
      </c>
      <c r="U388" s="131">
        <f>IF(E388="",1,IF(AND(E388="〇〇(合意形成対象者名に書き換え)",COUNTA($F388:$H388)=0),1,IF(AND(E388&lt;&gt;"〇〇(合意形成対象者名に書き換え)",COUNTA($F388:$H388)=3),1,0)))</f>
        <v>1</v>
      </c>
      <c r="V388" s="131" t="str" cm="1">
        <f t="array" ref="V388">_xlfn.IFS(T388=4,"A",T388=3,"B",T388=2,"C",T388=1,"D")</f>
        <v>D</v>
      </c>
      <c r="W388" s="257"/>
    </row>
    <row r="389" spans="1:23" s="101" customFormat="1">
      <c r="A389" s="11"/>
      <c r="B389" s="97"/>
      <c r="C389" s="98"/>
      <c r="D389" s="99"/>
      <c r="E389" s="102" t="s">
        <v>129</v>
      </c>
      <c r="F389" s="449"/>
      <c r="G389" s="443"/>
      <c r="H389" s="443"/>
      <c r="I389" s="100"/>
      <c r="J389" s="11"/>
      <c r="M389" s="11"/>
      <c r="N389" s="11"/>
      <c r="O389" s="11"/>
      <c r="P389" s="11"/>
      <c r="Q389" s="11"/>
      <c r="R389" s="131">
        <f t="shared" si="127"/>
        <v>0</v>
      </c>
      <c r="S389" s="131" t="str">
        <f t="shared" si="128"/>
        <v/>
      </c>
      <c r="T389" s="131">
        <f t="shared" si="126"/>
        <v>1</v>
      </c>
      <c r="U389" s="131">
        <f>IF(E389="",1,IF(AND(E389="〇〇(合意形成対象者名に書き換え)",COUNTA($F389:$H389)=0),1,IF(AND(E389&lt;&gt;"〇〇(合意形成対象者名に書き換え)",COUNTA($F389:$H389)=3),1,0)))</f>
        <v>1</v>
      </c>
      <c r="V389" s="131" t="str" cm="1">
        <f t="array" ref="V389">_xlfn.IFS(T389=4,"A",T389=3,"B",T389=2,"C",T389=1,"D")</f>
        <v>D</v>
      </c>
      <c r="W389" s="131"/>
    </row>
    <row r="390" spans="1:23" customFormat="1" ht="7.5" customHeight="1">
      <c r="B390" s="65"/>
      <c r="C390" s="4"/>
      <c r="D390" s="4"/>
      <c r="E390" s="4"/>
      <c r="F390" s="4"/>
      <c r="G390" s="4"/>
      <c r="H390" s="4"/>
      <c r="I390" s="9"/>
      <c r="J390" s="2"/>
      <c r="K390" s="2"/>
      <c r="L390" s="2"/>
      <c r="R390" s="131">
        <f t="shared" si="127"/>
        <v>0</v>
      </c>
      <c r="S390" s="131" t="str">
        <f t="shared" si="128"/>
        <v/>
      </c>
      <c r="T390" s="131">
        <f t="shared" si="126"/>
        <v>1</v>
      </c>
      <c r="U390" s="131">
        <f t="shared" ref="U390:U391" si="129">IF(E390="",1,IF(AND(E390="〇〇(合意形成対象者名に書き換え)",COUNTA($F390:$H390)=0),1,IF(AND(E390&lt;&gt;"〇〇(合意形成対象者名に書き換え)",COUNTA($F390:$H390)=3),1,0)))</f>
        <v>1</v>
      </c>
      <c r="V390" s="131" t="str" cm="1">
        <f t="array" ref="V390">_xlfn.IFS(T390=4,"A",T390=3,"B",T390=2,"C",T390=1,"D")</f>
        <v>D</v>
      </c>
      <c r="W390" s="177"/>
    </row>
    <row r="391" spans="1:23" customFormat="1" ht="6" customHeight="1">
      <c r="J391" s="2"/>
      <c r="K391" s="2"/>
      <c r="L391" s="2"/>
      <c r="R391" s="131">
        <f t="shared" si="127"/>
        <v>0</v>
      </c>
      <c r="S391" s="131" t="str">
        <f t="shared" si="128"/>
        <v/>
      </c>
      <c r="T391" s="131">
        <f t="shared" si="126"/>
        <v>1</v>
      </c>
      <c r="U391" s="131">
        <f t="shared" si="129"/>
        <v>1</v>
      </c>
      <c r="V391" s="131" t="str" cm="1">
        <f t="array" ref="V391">_xlfn.IFS(T391=4,"A",T391=3,"B",T391=2,"C",T391=1,"D")</f>
        <v>D</v>
      </c>
      <c r="W391" s="177"/>
    </row>
    <row r="392" spans="1:23" customFormat="1" ht="103.5" customHeight="1">
      <c r="C392" s="78"/>
      <c r="D392" s="79"/>
      <c r="E392" s="71" t="s">
        <v>238</v>
      </c>
      <c r="F392" s="1057"/>
      <c r="G392" s="1057"/>
      <c r="H392" s="1057"/>
      <c r="I392" s="80" t="s">
        <v>132</v>
      </c>
      <c r="J392" s="80"/>
    </row>
    <row r="393" spans="1:23" customFormat="1" ht="146.25" customHeight="1">
      <c r="C393" s="75"/>
      <c r="D393" s="68"/>
      <c r="E393" s="71" t="s">
        <v>237</v>
      </c>
      <c r="F393" s="1057"/>
      <c r="G393" s="1057"/>
      <c r="H393" s="1057"/>
      <c r="J393" s="2"/>
      <c r="K393" s="2"/>
      <c r="L393" s="2"/>
    </row>
    <row r="394" spans="1:23" customFormat="1" ht="13.5" customHeight="1" thickBot="1">
      <c r="A394" s="81"/>
      <c r="B394" s="81"/>
      <c r="C394" s="81"/>
      <c r="D394" s="81"/>
      <c r="E394" s="81"/>
      <c r="F394" s="81"/>
      <c r="G394" s="81"/>
      <c r="H394" s="81"/>
      <c r="I394" s="81"/>
      <c r="J394" s="82"/>
      <c r="K394" s="2"/>
      <c r="L394" s="2"/>
    </row>
    <row r="395" spans="1:23" customFormat="1" ht="13.5" customHeight="1">
      <c r="J395" s="2"/>
      <c r="K395" s="2"/>
      <c r="L395" s="2"/>
    </row>
    <row r="396" spans="1:23" customFormat="1" ht="15" customHeight="1">
      <c r="B396" s="10"/>
      <c r="C396" s="5"/>
      <c r="D396" s="5"/>
      <c r="E396" s="5"/>
      <c r="F396" s="5"/>
      <c r="G396" s="5"/>
      <c r="H396" s="5"/>
      <c r="I396" s="6"/>
      <c r="R396" s="11" t="str">
        <f>D397</f>
        <v>(選択してください)</v>
      </c>
    </row>
    <row r="397" spans="1:23" customFormat="1">
      <c r="B397" s="7"/>
      <c r="C397" s="77" t="str">
        <f ca="1">IFERROR(OFFSET('4.2民生電力需要量'!$C$8,MATCH(D397,'4.2民生電力需要量'!$E$9:$E$49,0),0),"")</f>
        <v/>
      </c>
      <c r="D397" s="96" t="s">
        <v>130</v>
      </c>
      <c r="E397" s="72" t="s">
        <v>131</v>
      </c>
      <c r="F397" s="1063" t="str">
        <f ca="1">IFERROR(OFFSET('4.2民生電力需要量'!$G$1,MATCH($D397,'4.2民生電力需要量'!$E:$E,0)-1,0),"")</f>
        <v/>
      </c>
      <c r="G397" s="1063"/>
      <c r="H397" s="1063"/>
      <c r="I397" s="8"/>
      <c r="R397" s="257" t="str">
        <f ca="1">IFERROR(OFFSET('4.2民生電力需要量'!$G$1,MATCH($D397,'4.2民生電力需要量'!$E:$E,0)-1,0),"")</f>
        <v/>
      </c>
      <c r="S397" s="177"/>
      <c r="T397" s="177"/>
      <c r="U397" s="177"/>
      <c r="V397" s="177"/>
      <c r="W397" s="177">
        <f ca="1">(F397=R397)*1</f>
        <v>1</v>
      </c>
    </row>
    <row r="398" spans="1:23" customFormat="1">
      <c r="B398" s="7"/>
      <c r="C398" s="74"/>
      <c r="D398" s="66"/>
      <c r="E398" s="72" t="s">
        <v>221</v>
      </c>
      <c r="F398" s="1062" t="str">
        <f ca="1">IFERROR(OFFSET('4.2民生電力需要量'!$I$1,MATCH($D397,'4.2民生電力需要量'!$E:$E,0)-1,0),"")</f>
        <v/>
      </c>
      <c r="G398" s="1062"/>
      <c r="H398" s="1062"/>
      <c r="I398" s="8"/>
      <c r="R398" s="177" t="str">
        <f ca="1">IFERROR(OFFSET('4.2民生電力需要量'!$I$1,MATCH($D397,'4.2民生電力需要量'!$E:$E,0)-1,0),"")</f>
        <v/>
      </c>
      <c r="S398" s="177"/>
      <c r="T398" s="177"/>
      <c r="U398" s="177"/>
      <c r="V398" s="177"/>
      <c r="W398" s="177">
        <f t="shared" ref="W398:W399" ca="1" si="130">(F398=R398)*1</f>
        <v>1</v>
      </c>
    </row>
    <row r="399" spans="1:23" customFormat="1">
      <c r="B399" s="7"/>
      <c r="C399" s="74"/>
      <c r="D399" s="66"/>
      <c r="E399" s="72" t="s">
        <v>176</v>
      </c>
      <c r="F399" s="1070" t="str">
        <f>_xlfn.IFNA(R399,"")</f>
        <v/>
      </c>
      <c r="G399" s="1071"/>
      <c r="H399" s="1072"/>
      <c r="I399" s="8"/>
      <c r="R399" s="131" t="str">
        <f>IF(OR(COUNTIF($E401:$E406,"&lt;&gt;〇〇(合意形成対象者名に書き換え)")=3,COUNTIF($E401:$E406,"")&gt;3),"",IF(PRODUCT($U401:$U406)=1,V401,""))</f>
        <v/>
      </c>
      <c r="S399" s="177"/>
      <c r="T399" s="177"/>
      <c r="U399" s="177"/>
      <c r="V399" s="177"/>
      <c r="W399" s="177">
        <f t="shared" si="130"/>
        <v>1</v>
      </c>
    </row>
    <row r="400" spans="1:23" ht="63.75" customHeight="1">
      <c r="B400" s="97"/>
      <c r="C400" s="98"/>
      <c r="D400" s="99"/>
      <c r="E400" s="374"/>
      <c r="F400" s="315" t="s">
        <v>283</v>
      </c>
      <c r="G400" s="315" t="s">
        <v>284</v>
      </c>
      <c r="H400" s="315" t="s">
        <v>281</v>
      </c>
      <c r="I400" s="100"/>
      <c r="J400" s="11"/>
      <c r="R400" s="128" t="s">
        <v>272</v>
      </c>
      <c r="S400" s="128" t="s">
        <v>432</v>
      </c>
      <c r="T400" s="131" t="s">
        <v>408</v>
      </c>
      <c r="U400" s="131" t="s">
        <v>436</v>
      </c>
      <c r="V400" s="128" t="s">
        <v>431</v>
      </c>
      <c r="W400" s="257"/>
    </row>
    <row r="401" spans="1:23" hidden="1">
      <c r="B401" s="97"/>
      <c r="C401" s="98"/>
      <c r="D401" s="99"/>
      <c r="E401" s="444"/>
      <c r="F401" s="445"/>
      <c r="G401" s="441"/>
      <c r="H401" s="441"/>
      <c r="I401" s="100"/>
      <c r="J401" s="11"/>
      <c r="R401" s="131">
        <f>IF(AND(F401="実施済",G401="実施済",H401="完了"),3,0)</f>
        <v>0</v>
      </c>
      <c r="S401" s="131" t="str">
        <f>IF(OR(E401="〇〇(合意形成対象者名に書き換え)",E401=""),"",R401)</f>
        <v/>
      </c>
      <c r="T401" s="131">
        <f t="shared" ref="T401:T406" si="131">MIN($S$401:$S$406)+1</f>
        <v>1</v>
      </c>
      <c r="U401" s="131">
        <f>IF(E401="",1,IF(AND(E401="〇〇(合意形成対象者名に書き換え)",COUNTA($F401:$H401)=0),1,IF(AND(E401&lt;&gt;"〇〇(合意形成対象者名に書き換え)",COUNTA($F401:$H401)=3),1,0)))</f>
        <v>1</v>
      </c>
      <c r="V401" s="131" t="str" cm="1">
        <f t="array" ref="V401">_xlfn.IFS(T401=4,"A",T401=3,"B",T401=2,"C",T401=1,"D")</f>
        <v>D</v>
      </c>
      <c r="W401" s="257"/>
    </row>
    <row r="402" spans="1:23">
      <c r="B402" s="97"/>
      <c r="C402" s="98"/>
      <c r="D402" s="99"/>
      <c r="E402" s="102" t="s">
        <v>129</v>
      </c>
      <c r="F402" s="449"/>
      <c r="G402" s="443"/>
      <c r="H402" s="443"/>
      <c r="I402" s="100"/>
      <c r="J402" s="11"/>
      <c r="R402" s="131">
        <f t="shared" ref="R402:R406" si="132">IF(AND(F402="実施済",G402="実施済",H402="完了"),3,0)</f>
        <v>0</v>
      </c>
      <c r="S402" s="131" t="str">
        <f t="shared" ref="S402:S406" si="133">IF(OR(E402="〇〇(合意形成対象者名に書き換え)",E402=""),"",R402)</f>
        <v/>
      </c>
      <c r="T402" s="131">
        <f t="shared" si="131"/>
        <v>1</v>
      </c>
      <c r="U402" s="131">
        <f>IF(E402="",1,IF(AND(E402="〇〇(合意形成対象者名に書き換え)",COUNTA($F402:$H402)=0),1,IF(AND(E402&lt;&gt;"〇〇(合意形成対象者名に書き換え)",COUNTA($F402:$H402)=3),1,0)))</f>
        <v>1</v>
      </c>
      <c r="V402" s="131" t="str" cm="1">
        <f t="array" ref="V402">_xlfn.IFS(T402=4,"A",T402=3,"B",T402=2,"C",T402=1,"D")</f>
        <v>D</v>
      </c>
      <c r="W402" s="257"/>
    </row>
    <row r="403" spans="1:23">
      <c r="B403" s="97"/>
      <c r="C403" s="98"/>
      <c r="D403" s="99"/>
      <c r="E403" s="102" t="s">
        <v>129</v>
      </c>
      <c r="F403" s="449"/>
      <c r="G403" s="443"/>
      <c r="H403" s="443"/>
      <c r="I403" s="100"/>
      <c r="J403" s="11"/>
      <c r="R403" s="131">
        <f t="shared" si="132"/>
        <v>0</v>
      </c>
      <c r="S403" s="131" t="str">
        <f t="shared" si="133"/>
        <v/>
      </c>
      <c r="T403" s="131">
        <f t="shared" si="131"/>
        <v>1</v>
      </c>
      <c r="U403" s="131">
        <f>IF(E403="",1,IF(AND(E403="〇〇(合意形成対象者名に書き換え)",COUNTA($F403:$H403)=0),1,IF(AND(E403&lt;&gt;"〇〇(合意形成対象者名に書き換え)",COUNTA($F403:$H403)=3),1,0)))</f>
        <v>1</v>
      </c>
      <c r="V403" s="131" t="str" cm="1">
        <f t="array" ref="V403">_xlfn.IFS(T403=4,"A",T403=3,"B",T403=2,"C",T403=1,"D")</f>
        <v>D</v>
      </c>
      <c r="W403" s="257"/>
    </row>
    <row r="404" spans="1:23" s="101" customFormat="1">
      <c r="A404" s="11"/>
      <c r="B404" s="97"/>
      <c r="C404" s="98"/>
      <c r="D404" s="99"/>
      <c r="E404" s="102" t="s">
        <v>129</v>
      </c>
      <c r="F404" s="449"/>
      <c r="G404" s="443"/>
      <c r="H404" s="443"/>
      <c r="I404" s="100"/>
      <c r="J404" s="11"/>
      <c r="M404" s="11"/>
      <c r="N404" s="11"/>
      <c r="O404" s="11"/>
      <c r="P404" s="11"/>
      <c r="Q404" s="11"/>
      <c r="R404" s="131">
        <f t="shared" si="132"/>
        <v>0</v>
      </c>
      <c r="S404" s="131" t="str">
        <f t="shared" si="133"/>
        <v/>
      </c>
      <c r="T404" s="131">
        <f t="shared" si="131"/>
        <v>1</v>
      </c>
      <c r="U404" s="131">
        <f>IF(E404="",1,IF(AND(E404="〇〇(合意形成対象者名に書き換え)",COUNTA($F404:$H404)=0),1,IF(AND(E404&lt;&gt;"〇〇(合意形成対象者名に書き換え)",COUNTA($F404:$H404)=3),1,0)))</f>
        <v>1</v>
      </c>
      <c r="V404" s="131" t="str" cm="1">
        <f t="array" ref="V404">_xlfn.IFS(T404=4,"A",T404=3,"B",T404=2,"C",T404=1,"D")</f>
        <v>D</v>
      </c>
      <c r="W404" s="131"/>
    </row>
    <row r="405" spans="1:23" customFormat="1" ht="7.5" customHeight="1">
      <c r="B405" s="65"/>
      <c r="C405" s="4"/>
      <c r="D405" s="4"/>
      <c r="E405" s="4"/>
      <c r="F405" s="4"/>
      <c r="G405" s="4"/>
      <c r="H405" s="4"/>
      <c r="I405" s="9"/>
      <c r="J405" s="2"/>
      <c r="K405" s="2"/>
      <c r="L405" s="2"/>
      <c r="R405" s="131">
        <f t="shared" si="132"/>
        <v>0</v>
      </c>
      <c r="S405" s="131" t="str">
        <f t="shared" si="133"/>
        <v/>
      </c>
      <c r="T405" s="131">
        <f t="shared" si="131"/>
        <v>1</v>
      </c>
      <c r="U405" s="131">
        <f t="shared" ref="U405:U406" si="134">IF(E405="",1,IF(AND(E405="〇〇(合意形成対象者名に書き換え)",COUNTA($F405:$H405)=0),1,IF(AND(E405&lt;&gt;"〇〇(合意形成対象者名に書き換え)",COUNTA($F405:$H405)=3),1,0)))</f>
        <v>1</v>
      </c>
      <c r="V405" s="131" t="str" cm="1">
        <f t="array" ref="V405">_xlfn.IFS(T405=4,"A",T405=3,"B",T405=2,"C",T405=1,"D")</f>
        <v>D</v>
      </c>
      <c r="W405" s="177"/>
    </row>
    <row r="406" spans="1:23" customFormat="1" ht="6" customHeight="1">
      <c r="J406" s="2"/>
      <c r="K406" s="2"/>
      <c r="L406" s="2"/>
      <c r="R406" s="131">
        <f t="shared" si="132"/>
        <v>0</v>
      </c>
      <c r="S406" s="131" t="str">
        <f t="shared" si="133"/>
        <v/>
      </c>
      <c r="T406" s="131">
        <f t="shared" si="131"/>
        <v>1</v>
      </c>
      <c r="U406" s="131">
        <f t="shared" si="134"/>
        <v>1</v>
      </c>
      <c r="V406" s="131" t="str" cm="1">
        <f t="array" ref="V406">_xlfn.IFS(T406=4,"A",T406=3,"B",T406=2,"C",T406=1,"D")</f>
        <v>D</v>
      </c>
      <c r="W406" s="177"/>
    </row>
    <row r="407" spans="1:23" customFormat="1" ht="103.5" customHeight="1">
      <c r="C407" s="78"/>
      <c r="D407" s="79"/>
      <c r="E407" s="71" t="s">
        <v>238</v>
      </c>
      <c r="F407" s="1057"/>
      <c r="G407" s="1057"/>
      <c r="H407" s="1057"/>
      <c r="I407" s="80" t="s">
        <v>132</v>
      </c>
      <c r="J407" s="80"/>
    </row>
    <row r="408" spans="1:23" customFormat="1" ht="146.25" customHeight="1">
      <c r="C408" s="75"/>
      <c r="D408" s="68"/>
      <c r="E408" s="71" t="s">
        <v>237</v>
      </c>
      <c r="F408" s="1057"/>
      <c r="G408" s="1057"/>
      <c r="H408" s="1057"/>
      <c r="J408" s="2"/>
      <c r="K408" s="2"/>
      <c r="L408" s="2"/>
    </row>
    <row r="409" spans="1:23" customFormat="1" ht="13.5" customHeight="1" thickBot="1">
      <c r="A409" s="81"/>
      <c r="B409" s="81"/>
      <c r="C409" s="81"/>
      <c r="D409" s="81"/>
      <c r="E409" s="81"/>
      <c r="F409" s="81"/>
      <c r="G409" s="81"/>
      <c r="H409" s="81"/>
      <c r="I409" s="81"/>
      <c r="J409" s="82"/>
      <c r="K409" s="2"/>
      <c r="L409" s="2"/>
    </row>
    <row r="410" spans="1:23" customFormat="1" ht="13.5" customHeight="1">
      <c r="J410" s="2"/>
      <c r="K410" s="2"/>
      <c r="L410" s="2"/>
    </row>
    <row r="411" spans="1:23" customFormat="1" ht="15" customHeight="1">
      <c r="B411" s="10"/>
      <c r="C411" s="5"/>
      <c r="D411" s="5"/>
      <c r="E411" s="5"/>
      <c r="F411" s="5"/>
      <c r="G411" s="5"/>
      <c r="H411" s="5"/>
      <c r="I411" s="6"/>
      <c r="R411" s="11" t="str">
        <f>D412</f>
        <v>(選択してください)</v>
      </c>
    </row>
    <row r="412" spans="1:23" customFormat="1">
      <c r="B412" s="7"/>
      <c r="C412" s="77" t="str">
        <f ca="1">IFERROR(OFFSET('4.2民生電力需要量'!$C$8,MATCH(D412,'4.2民生電力需要量'!$E$9:$E$49,0),0),"")</f>
        <v/>
      </c>
      <c r="D412" s="96" t="s">
        <v>130</v>
      </c>
      <c r="E412" s="72" t="s">
        <v>131</v>
      </c>
      <c r="F412" s="1063" t="str">
        <f ca="1">IFERROR(OFFSET('4.2民生電力需要量'!$G$1,MATCH($D412,'4.2民生電力需要量'!$E:$E,0)-1,0),"")</f>
        <v/>
      </c>
      <c r="G412" s="1063"/>
      <c r="H412" s="1063"/>
      <c r="I412" s="8"/>
      <c r="R412" s="257" t="str">
        <f ca="1">IFERROR(OFFSET('4.2民生電力需要量'!$G$1,MATCH($D412,'4.2民生電力需要量'!$E:$E,0)-1,0),"")</f>
        <v/>
      </c>
      <c r="S412" s="177"/>
      <c r="T412" s="177"/>
      <c r="U412" s="177"/>
      <c r="V412" s="177"/>
      <c r="W412" s="177">
        <f ca="1">(F412=R412)*1</f>
        <v>1</v>
      </c>
    </row>
    <row r="413" spans="1:23" customFormat="1">
      <c r="B413" s="7"/>
      <c r="C413" s="74"/>
      <c r="D413" s="66"/>
      <c r="E413" s="72" t="s">
        <v>221</v>
      </c>
      <c r="F413" s="1062" t="str">
        <f ca="1">IFERROR(OFFSET('4.2民生電力需要量'!$I$1,MATCH($D412,'4.2民生電力需要量'!$E:$E,0)-1,0),"")</f>
        <v/>
      </c>
      <c r="G413" s="1062"/>
      <c r="H413" s="1062"/>
      <c r="I413" s="8"/>
      <c r="R413" s="177" t="str">
        <f ca="1">IFERROR(OFFSET('4.2民生電力需要量'!$I$1,MATCH($D412,'4.2民生電力需要量'!$E:$E,0)-1,0),"")</f>
        <v/>
      </c>
      <c r="S413" s="177"/>
      <c r="T413" s="177"/>
      <c r="U413" s="177"/>
      <c r="V413" s="177"/>
      <c r="W413" s="177">
        <f t="shared" ref="W413:W414" ca="1" si="135">(F413=R413)*1</f>
        <v>1</v>
      </c>
    </row>
    <row r="414" spans="1:23" customFormat="1">
      <c r="B414" s="7"/>
      <c r="C414" s="74"/>
      <c r="D414" s="66"/>
      <c r="E414" s="72" t="s">
        <v>176</v>
      </c>
      <c r="F414" s="1070" t="str">
        <f>_xlfn.IFNA(R414,"")</f>
        <v/>
      </c>
      <c r="G414" s="1071"/>
      <c r="H414" s="1072"/>
      <c r="I414" s="8"/>
      <c r="R414" s="131" t="str">
        <f>IF(OR(COUNTIF($E416:$E421,"&lt;&gt;〇〇(合意形成対象者名に書き換え)")=3,COUNTIF($E416:$E421,"")&gt;3),"",IF(PRODUCT($U416:$U421)=1,V416,""))</f>
        <v/>
      </c>
      <c r="S414" s="177"/>
      <c r="T414" s="177"/>
      <c r="U414" s="177"/>
      <c r="V414" s="177"/>
      <c r="W414" s="177">
        <f t="shared" si="135"/>
        <v>1</v>
      </c>
    </row>
    <row r="415" spans="1:23" ht="63.75" customHeight="1">
      <c r="B415" s="97"/>
      <c r="C415" s="98"/>
      <c r="D415" s="99"/>
      <c r="E415" s="374"/>
      <c r="F415" s="315" t="s">
        <v>283</v>
      </c>
      <c r="G415" s="315" t="s">
        <v>284</v>
      </c>
      <c r="H415" s="315" t="s">
        <v>281</v>
      </c>
      <c r="I415" s="100"/>
      <c r="J415" s="11"/>
      <c r="R415" s="128" t="s">
        <v>272</v>
      </c>
      <c r="S415" s="128" t="s">
        <v>432</v>
      </c>
      <c r="T415" s="131" t="s">
        <v>408</v>
      </c>
      <c r="U415" s="131" t="s">
        <v>436</v>
      </c>
      <c r="V415" s="128" t="s">
        <v>431</v>
      </c>
      <c r="W415" s="257"/>
    </row>
    <row r="416" spans="1:23" hidden="1">
      <c r="B416" s="97"/>
      <c r="C416" s="98"/>
      <c r="D416" s="99"/>
      <c r="E416" s="444"/>
      <c r="F416" s="445"/>
      <c r="G416" s="441"/>
      <c r="H416" s="441"/>
      <c r="I416" s="100"/>
      <c r="J416" s="11"/>
      <c r="R416" s="131">
        <f>IF(AND(F416="実施済",G416="実施済",H416="完了"),3,0)</f>
        <v>0</v>
      </c>
      <c r="S416" s="131" t="str">
        <f>IF(OR(E416="〇〇(合意形成対象者名に書き換え)",E416=""),"",R416)</f>
        <v/>
      </c>
      <c r="T416" s="131">
        <f t="shared" ref="T416:T421" si="136">MIN($S$416:$S$421)+1</f>
        <v>1</v>
      </c>
      <c r="U416" s="131">
        <f>IF(E416="",1,IF(AND(E416="〇〇(合意形成対象者名に書き換え)",COUNTA($F416:$H416)=0),1,IF(AND(E416&lt;&gt;"〇〇(合意形成対象者名に書き換え)",COUNTA($F416:$H416)=3),1,0)))</f>
        <v>1</v>
      </c>
      <c r="V416" s="131" t="str" cm="1">
        <f t="array" ref="V416">_xlfn.IFS(T416=4,"A",T416=3,"B",T416=2,"C",T416=1,"D")</f>
        <v>D</v>
      </c>
      <c r="W416" s="257"/>
    </row>
    <row r="417" spans="1:23">
      <c r="B417" s="97"/>
      <c r="C417" s="98"/>
      <c r="D417" s="99"/>
      <c r="E417" s="102" t="s">
        <v>129</v>
      </c>
      <c r="F417" s="449"/>
      <c r="G417" s="443"/>
      <c r="H417" s="443"/>
      <c r="I417" s="100"/>
      <c r="J417" s="11"/>
      <c r="R417" s="131">
        <f t="shared" ref="R417:R421" si="137">IF(AND(F417="実施済",G417="実施済",H417="完了"),3,0)</f>
        <v>0</v>
      </c>
      <c r="S417" s="131" t="str">
        <f t="shared" ref="S417:S421" si="138">IF(OR(E417="〇〇(合意形成対象者名に書き換え)",E417=""),"",R417)</f>
        <v/>
      </c>
      <c r="T417" s="131">
        <f t="shared" si="136"/>
        <v>1</v>
      </c>
      <c r="U417" s="131">
        <f>IF(E417="",1,IF(AND(E417="〇〇(合意形成対象者名に書き換え)",COUNTA($F417:$H417)=0),1,IF(AND(E417&lt;&gt;"〇〇(合意形成対象者名に書き換え)",COUNTA($F417:$H417)=3),1,0)))</f>
        <v>1</v>
      </c>
      <c r="V417" s="131" t="str" cm="1">
        <f t="array" ref="V417">_xlfn.IFS(T417=4,"A",T417=3,"B",T417=2,"C",T417=1,"D")</f>
        <v>D</v>
      </c>
      <c r="W417" s="257"/>
    </row>
    <row r="418" spans="1:23">
      <c r="B418" s="97"/>
      <c r="C418" s="98"/>
      <c r="D418" s="99"/>
      <c r="E418" s="102" t="s">
        <v>129</v>
      </c>
      <c r="F418" s="449"/>
      <c r="G418" s="443"/>
      <c r="H418" s="443"/>
      <c r="I418" s="100"/>
      <c r="J418" s="11"/>
      <c r="R418" s="131">
        <f t="shared" si="137"/>
        <v>0</v>
      </c>
      <c r="S418" s="131" t="str">
        <f t="shared" si="138"/>
        <v/>
      </c>
      <c r="T418" s="131">
        <f t="shared" si="136"/>
        <v>1</v>
      </c>
      <c r="U418" s="131">
        <f>IF(E418="",1,IF(AND(E418="〇〇(合意形成対象者名に書き換え)",COUNTA($F418:$H418)=0),1,IF(AND(E418&lt;&gt;"〇〇(合意形成対象者名に書き換え)",COUNTA($F418:$H418)=3),1,0)))</f>
        <v>1</v>
      </c>
      <c r="V418" s="131" t="str" cm="1">
        <f t="array" ref="V418">_xlfn.IFS(T418=4,"A",T418=3,"B",T418=2,"C",T418=1,"D")</f>
        <v>D</v>
      </c>
      <c r="W418" s="257"/>
    </row>
    <row r="419" spans="1:23" s="101" customFormat="1">
      <c r="A419" s="11"/>
      <c r="B419" s="97"/>
      <c r="C419" s="98"/>
      <c r="D419" s="99"/>
      <c r="E419" s="102" t="s">
        <v>129</v>
      </c>
      <c r="F419" s="449"/>
      <c r="G419" s="443"/>
      <c r="H419" s="443"/>
      <c r="I419" s="100"/>
      <c r="J419" s="11"/>
      <c r="M419" s="11"/>
      <c r="N419" s="11"/>
      <c r="O419" s="11"/>
      <c r="P419" s="11"/>
      <c r="Q419" s="11"/>
      <c r="R419" s="131">
        <f t="shared" si="137"/>
        <v>0</v>
      </c>
      <c r="S419" s="131" t="str">
        <f t="shared" si="138"/>
        <v/>
      </c>
      <c r="T419" s="131">
        <f t="shared" si="136"/>
        <v>1</v>
      </c>
      <c r="U419" s="131">
        <f>IF(E419="",1,IF(AND(E419="〇〇(合意形成対象者名に書き換え)",COUNTA($F419:$H419)=0),1,IF(AND(E419&lt;&gt;"〇〇(合意形成対象者名に書き換え)",COUNTA($F419:$H419)=3),1,0)))</f>
        <v>1</v>
      </c>
      <c r="V419" s="131" t="str" cm="1">
        <f t="array" ref="V419">_xlfn.IFS(T419=4,"A",T419=3,"B",T419=2,"C",T419=1,"D")</f>
        <v>D</v>
      </c>
      <c r="W419" s="131"/>
    </row>
    <row r="420" spans="1:23" customFormat="1" ht="7.5" customHeight="1">
      <c r="B420" s="65"/>
      <c r="C420" s="4"/>
      <c r="D420" s="4"/>
      <c r="E420" s="4"/>
      <c r="F420" s="4"/>
      <c r="G420" s="4"/>
      <c r="H420" s="4"/>
      <c r="I420" s="9"/>
      <c r="J420" s="2"/>
      <c r="K420" s="2"/>
      <c r="L420" s="2"/>
      <c r="R420" s="131">
        <f t="shared" si="137"/>
        <v>0</v>
      </c>
      <c r="S420" s="131" t="str">
        <f t="shared" si="138"/>
        <v/>
      </c>
      <c r="T420" s="131">
        <f t="shared" si="136"/>
        <v>1</v>
      </c>
      <c r="U420" s="131">
        <f t="shared" ref="U420:U421" si="139">IF(E420="",1,IF(AND(E420="〇〇(合意形成対象者名に書き換え)",COUNTA($F420:$H420)=0),1,IF(AND(E420&lt;&gt;"〇〇(合意形成対象者名に書き換え)",COUNTA($F420:$H420)=3),1,0)))</f>
        <v>1</v>
      </c>
      <c r="V420" s="131" t="str" cm="1">
        <f t="array" ref="V420">_xlfn.IFS(T420=4,"A",T420=3,"B",T420=2,"C",T420=1,"D")</f>
        <v>D</v>
      </c>
      <c r="W420" s="177"/>
    </row>
    <row r="421" spans="1:23" customFormat="1" ht="6" customHeight="1">
      <c r="J421" s="2"/>
      <c r="K421" s="2"/>
      <c r="L421" s="2"/>
      <c r="R421" s="131">
        <f t="shared" si="137"/>
        <v>0</v>
      </c>
      <c r="S421" s="131" t="str">
        <f t="shared" si="138"/>
        <v/>
      </c>
      <c r="T421" s="131">
        <f t="shared" si="136"/>
        <v>1</v>
      </c>
      <c r="U421" s="131">
        <f t="shared" si="139"/>
        <v>1</v>
      </c>
      <c r="V421" s="131" t="str" cm="1">
        <f t="array" ref="V421">_xlfn.IFS(T421=4,"A",T421=3,"B",T421=2,"C",T421=1,"D")</f>
        <v>D</v>
      </c>
      <c r="W421" s="177"/>
    </row>
    <row r="422" spans="1:23" customFormat="1" ht="103.5" customHeight="1">
      <c r="C422" s="78"/>
      <c r="D422" s="79"/>
      <c r="E422" s="71" t="s">
        <v>238</v>
      </c>
      <c r="F422" s="1057"/>
      <c r="G422" s="1057"/>
      <c r="H422" s="1057"/>
      <c r="I422" s="80" t="s">
        <v>132</v>
      </c>
      <c r="J422" s="80"/>
    </row>
    <row r="423" spans="1:23" customFormat="1" ht="146.25" customHeight="1">
      <c r="C423" s="75"/>
      <c r="D423" s="68"/>
      <c r="E423" s="71" t="s">
        <v>237</v>
      </c>
      <c r="F423" s="1057"/>
      <c r="G423" s="1057"/>
      <c r="H423" s="1057"/>
      <c r="J423" s="2"/>
      <c r="K423" s="2"/>
      <c r="L423" s="2"/>
    </row>
    <row r="424" spans="1:23" customFormat="1" ht="13.5" customHeight="1" thickBot="1">
      <c r="A424" s="81"/>
      <c r="B424" s="81"/>
      <c r="C424" s="81"/>
      <c r="D424" s="81"/>
      <c r="E424" s="81"/>
      <c r="F424" s="81"/>
      <c r="G424" s="81"/>
      <c r="H424" s="81"/>
      <c r="I424" s="81"/>
      <c r="J424" s="82"/>
      <c r="K424" s="2"/>
      <c r="L424" s="2"/>
    </row>
    <row r="425" spans="1:23" customFormat="1" ht="13.5" customHeight="1">
      <c r="J425" s="2"/>
      <c r="K425" s="2"/>
      <c r="L425" s="2"/>
    </row>
    <row r="426" spans="1:23" customFormat="1" ht="15" customHeight="1">
      <c r="B426" s="10"/>
      <c r="C426" s="5"/>
      <c r="D426" s="5"/>
      <c r="E426" s="5"/>
      <c r="F426" s="5"/>
      <c r="G426" s="5"/>
      <c r="H426" s="5"/>
      <c r="I426" s="6"/>
      <c r="R426" s="11" t="str">
        <f>D427</f>
        <v>(選択してください)</v>
      </c>
    </row>
    <row r="427" spans="1:23" customFormat="1">
      <c r="B427" s="7"/>
      <c r="C427" s="77" t="str">
        <f ca="1">IFERROR(OFFSET('4.2民生電力需要量'!$C$8,MATCH(D427,'4.2民生電力需要量'!$E$9:$E$49,0),0),"")</f>
        <v/>
      </c>
      <c r="D427" s="96" t="s">
        <v>130</v>
      </c>
      <c r="E427" s="72" t="s">
        <v>131</v>
      </c>
      <c r="F427" s="1063" t="str">
        <f ca="1">IFERROR(OFFSET('4.2民生電力需要量'!$G$1,MATCH($D427,'4.2民生電力需要量'!$E:$E,0)-1,0),"")</f>
        <v/>
      </c>
      <c r="G427" s="1063"/>
      <c r="H427" s="1063"/>
      <c r="I427" s="8"/>
      <c r="R427" s="257" t="str">
        <f ca="1">IFERROR(OFFSET('4.2民生電力需要量'!$G$1,MATCH($D427,'4.2民生電力需要量'!$E:$E,0)-1,0),"")</f>
        <v/>
      </c>
      <c r="S427" s="177"/>
      <c r="T427" s="177"/>
      <c r="U427" s="177"/>
      <c r="V427" s="177"/>
      <c r="W427" s="177">
        <f ca="1">(F427=R427)*1</f>
        <v>1</v>
      </c>
    </row>
    <row r="428" spans="1:23" customFormat="1">
      <c r="B428" s="7"/>
      <c r="C428" s="74"/>
      <c r="D428" s="66"/>
      <c r="E428" s="72" t="s">
        <v>221</v>
      </c>
      <c r="F428" s="1062" t="str">
        <f ca="1">IFERROR(OFFSET('4.2民生電力需要量'!$I$1,MATCH($D427,'4.2民生電力需要量'!$E:$E,0)-1,0),"")</f>
        <v/>
      </c>
      <c r="G428" s="1062"/>
      <c r="H428" s="1062"/>
      <c r="I428" s="8"/>
      <c r="R428" s="177" t="str">
        <f ca="1">IFERROR(OFFSET('4.2民生電力需要量'!$I$1,MATCH($D427,'4.2民生電力需要量'!$E:$E,0)-1,0),"")</f>
        <v/>
      </c>
      <c r="S428" s="177"/>
      <c r="T428" s="177"/>
      <c r="U428" s="177"/>
      <c r="V428" s="177"/>
      <c r="W428" s="177">
        <f t="shared" ref="W428:W429" ca="1" si="140">(F428=R428)*1</f>
        <v>1</v>
      </c>
    </row>
    <row r="429" spans="1:23" customFormat="1">
      <c r="B429" s="7"/>
      <c r="C429" s="74"/>
      <c r="D429" s="66"/>
      <c r="E429" s="72" t="s">
        <v>176</v>
      </c>
      <c r="F429" s="1070" t="str">
        <f>_xlfn.IFNA(R429,"")</f>
        <v/>
      </c>
      <c r="G429" s="1071"/>
      <c r="H429" s="1072"/>
      <c r="I429" s="8"/>
      <c r="R429" s="131" t="str">
        <f>IF(OR(COUNTIF($E431:$E436,"&lt;&gt;〇〇(合意形成対象者名に書き換え)")=3,COUNTIF($E431:$E436,"")&gt;3),"",IF(PRODUCT($U431:$U436)=1,V431,""))</f>
        <v/>
      </c>
      <c r="S429" s="177"/>
      <c r="T429" s="177"/>
      <c r="U429" s="177"/>
      <c r="V429" s="177"/>
      <c r="W429" s="177">
        <f t="shared" si="140"/>
        <v>1</v>
      </c>
    </row>
    <row r="430" spans="1:23" ht="63.75" customHeight="1">
      <c r="B430" s="97"/>
      <c r="C430" s="98"/>
      <c r="D430" s="99"/>
      <c r="E430" s="374"/>
      <c r="F430" s="315" t="s">
        <v>283</v>
      </c>
      <c r="G430" s="315" t="s">
        <v>284</v>
      </c>
      <c r="H430" s="315" t="s">
        <v>281</v>
      </c>
      <c r="I430" s="100"/>
      <c r="J430" s="11"/>
      <c r="R430" s="128" t="s">
        <v>272</v>
      </c>
      <c r="S430" s="128" t="s">
        <v>432</v>
      </c>
      <c r="T430" s="131" t="s">
        <v>408</v>
      </c>
      <c r="U430" s="131" t="s">
        <v>436</v>
      </c>
      <c r="V430" s="128" t="s">
        <v>431</v>
      </c>
      <c r="W430" s="257"/>
    </row>
    <row r="431" spans="1:23" hidden="1">
      <c r="B431" s="97"/>
      <c r="C431" s="98"/>
      <c r="D431" s="99"/>
      <c r="E431" s="444"/>
      <c r="F431" s="445"/>
      <c r="G431" s="441"/>
      <c r="H431" s="441"/>
      <c r="I431" s="100"/>
      <c r="J431" s="11"/>
      <c r="R431" s="131">
        <f>IF(AND(F431="実施済",G431="実施済",H431="完了"),3,0)</f>
        <v>0</v>
      </c>
      <c r="S431" s="131" t="str">
        <f>IF(OR(E431="〇〇(合意形成対象者名に書き換え)",E431=""),"",R431)</f>
        <v/>
      </c>
      <c r="T431" s="131">
        <f t="shared" ref="T431:T436" si="141">MIN($S$431:$S$436)+1</f>
        <v>1</v>
      </c>
      <c r="U431" s="131">
        <f>IF(E431="",1,IF(AND(E431="〇〇(合意形成対象者名に書き換え)",COUNTA($F431:$H431)=0),1,IF(AND(E431&lt;&gt;"〇〇(合意形成対象者名に書き換え)",COUNTA($F431:$H431)=3),1,0)))</f>
        <v>1</v>
      </c>
      <c r="V431" s="131" t="str" cm="1">
        <f t="array" ref="V431">_xlfn.IFS(T431=4,"A",T431=3,"B",T431=2,"C",T431=1,"D")</f>
        <v>D</v>
      </c>
      <c r="W431" s="257"/>
    </row>
    <row r="432" spans="1:23">
      <c r="B432" s="97"/>
      <c r="C432" s="98"/>
      <c r="D432" s="99"/>
      <c r="E432" s="102" t="s">
        <v>129</v>
      </c>
      <c r="F432" s="449"/>
      <c r="G432" s="443"/>
      <c r="H432" s="443"/>
      <c r="I432" s="100"/>
      <c r="J432" s="11"/>
      <c r="R432" s="131">
        <f t="shared" ref="R432:R436" si="142">IF(AND(F432="実施済",G432="実施済",H432="完了"),3,0)</f>
        <v>0</v>
      </c>
      <c r="S432" s="131" t="str">
        <f t="shared" ref="S432:S436" si="143">IF(OR(E432="〇〇(合意形成対象者名に書き換え)",E432=""),"",R432)</f>
        <v/>
      </c>
      <c r="T432" s="131">
        <f t="shared" si="141"/>
        <v>1</v>
      </c>
      <c r="U432" s="131">
        <f>IF(E432="",1,IF(AND(E432="〇〇(合意形成対象者名に書き換え)",COUNTA($F432:$H432)=0),1,IF(AND(E432&lt;&gt;"〇〇(合意形成対象者名に書き換え)",COUNTA($F432:$H432)=3),1,0)))</f>
        <v>1</v>
      </c>
      <c r="V432" s="131" t="str" cm="1">
        <f t="array" ref="V432">_xlfn.IFS(T432=4,"A",T432=3,"B",T432=2,"C",T432=1,"D")</f>
        <v>D</v>
      </c>
      <c r="W432" s="257"/>
    </row>
    <row r="433" spans="1:23">
      <c r="B433" s="97"/>
      <c r="C433" s="98"/>
      <c r="D433" s="99"/>
      <c r="E433" s="102" t="s">
        <v>129</v>
      </c>
      <c r="F433" s="449"/>
      <c r="G433" s="443"/>
      <c r="H433" s="443"/>
      <c r="I433" s="100"/>
      <c r="J433" s="11"/>
      <c r="R433" s="131">
        <f t="shared" si="142"/>
        <v>0</v>
      </c>
      <c r="S433" s="131" t="str">
        <f t="shared" si="143"/>
        <v/>
      </c>
      <c r="T433" s="131">
        <f t="shared" si="141"/>
        <v>1</v>
      </c>
      <c r="U433" s="131">
        <f>IF(E433="",1,IF(AND(E433="〇〇(合意形成対象者名に書き換え)",COUNTA($F433:$H433)=0),1,IF(AND(E433&lt;&gt;"〇〇(合意形成対象者名に書き換え)",COUNTA($F433:$H433)=3),1,0)))</f>
        <v>1</v>
      </c>
      <c r="V433" s="131" t="str" cm="1">
        <f t="array" ref="V433">_xlfn.IFS(T433=4,"A",T433=3,"B",T433=2,"C",T433=1,"D")</f>
        <v>D</v>
      </c>
      <c r="W433" s="257"/>
    </row>
    <row r="434" spans="1:23" s="101" customFormat="1">
      <c r="A434" s="11"/>
      <c r="B434" s="97"/>
      <c r="C434" s="98"/>
      <c r="D434" s="99"/>
      <c r="E434" s="102" t="s">
        <v>129</v>
      </c>
      <c r="F434" s="449"/>
      <c r="G434" s="443"/>
      <c r="H434" s="443"/>
      <c r="I434" s="100"/>
      <c r="J434" s="11"/>
      <c r="M434" s="11"/>
      <c r="N434" s="11"/>
      <c r="O434" s="11"/>
      <c r="P434" s="11"/>
      <c r="Q434" s="11"/>
      <c r="R434" s="131">
        <f t="shared" si="142"/>
        <v>0</v>
      </c>
      <c r="S434" s="131" t="str">
        <f t="shared" si="143"/>
        <v/>
      </c>
      <c r="T434" s="131">
        <f t="shared" si="141"/>
        <v>1</v>
      </c>
      <c r="U434" s="131">
        <f>IF(E434="",1,IF(AND(E434="〇〇(合意形成対象者名に書き換え)",COUNTA($F434:$H434)=0),1,IF(AND(E434&lt;&gt;"〇〇(合意形成対象者名に書き換え)",COUNTA($F434:$H434)=3),1,0)))</f>
        <v>1</v>
      </c>
      <c r="V434" s="131" t="str" cm="1">
        <f t="array" ref="V434">_xlfn.IFS(T434=4,"A",T434=3,"B",T434=2,"C",T434=1,"D")</f>
        <v>D</v>
      </c>
      <c r="W434" s="131"/>
    </row>
    <row r="435" spans="1:23" customFormat="1" ht="7.5" customHeight="1">
      <c r="B435" s="65"/>
      <c r="C435" s="4"/>
      <c r="D435" s="4"/>
      <c r="E435" s="4"/>
      <c r="F435" s="4"/>
      <c r="G435" s="4"/>
      <c r="H435" s="4"/>
      <c r="I435" s="9"/>
      <c r="J435" s="2"/>
      <c r="K435" s="2"/>
      <c r="L435" s="2"/>
      <c r="R435" s="131">
        <f t="shared" si="142"/>
        <v>0</v>
      </c>
      <c r="S435" s="131" t="str">
        <f t="shared" si="143"/>
        <v/>
      </c>
      <c r="T435" s="131">
        <f t="shared" si="141"/>
        <v>1</v>
      </c>
      <c r="U435" s="131">
        <f t="shared" ref="U435:U436" si="144">IF(E435="",1,IF(AND(E435="〇〇(合意形成対象者名に書き換え)",COUNTA($F435:$H435)=0),1,IF(AND(E435&lt;&gt;"〇〇(合意形成対象者名に書き換え)",COUNTA($F435:$H435)=3),1,0)))</f>
        <v>1</v>
      </c>
      <c r="V435" s="131" t="str" cm="1">
        <f t="array" ref="V435">_xlfn.IFS(T435=4,"A",T435=3,"B",T435=2,"C",T435=1,"D")</f>
        <v>D</v>
      </c>
      <c r="W435" s="177"/>
    </row>
    <row r="436" spans="1:23" customFormat="1" ht="6" customHeight="1">
      <c r="J436" s="2"/>
      <c r="K436" s="2"/>
      <c r="L436" s="2"/>
      <c r="R436" s="131">
        <f t="shared" si="142"/>
        <v>0</v>
      </c>
      <c r="S436" s="131" t="str">
        <f t="shared" si="143"/>
        <v/>
      </c>
      <c r="T436" s="131">
        <f t="shared" si="141"/>
        <v>1</v>
      </c>
      <c r="U436" s="131">
        <f t="shared" si="144"/>
        <v>1</v>
      </c>
      <c r="V436" s="131" t="str" cm="1">
        <f t="array" ref="V436">_xlfn.IFS(T436=4,"A",T436=3,"B",T436=2,"C",T436=1,"D")</f>
        <v>D</v>
      </c>
      <c r="W436" s="177"/>
    </row>
    <row r="437" spans="1:23" customFormat="1" ht="103.5" customHeight="1">
      <c r="C437" s="78"/>
      <c r="D437" s="79"/>
      <c r="E437" s="71" t="s">
        <v>238</v>
      </c>
      <c r="F437" s="1057"/>
      <c r="G437" s="1057"/>
      <c r="H437" s="1057"/>
      <c r="I437" s="80" t="s">
        <v>132</v>
      </c>
      <c r="J437" s="80"/>
    </row>
    <row r="438" spans="1:23" customFormat="1" ht="146.25" customHeight="1">
      <c r="C438" s="75"/>
      <c r="D438" s="68"/>
      <c r="E438" s="71" t="s">
        <v>237</v>
      </c>
      <c r="F438" s="1057"/>
      <c r="G438" s="1057"/>
      <c r="H438" s="1057"/>
      <c r="J438" s="2"/>
      <c r="K438" s="2"/>
      <c r="L438" s="2"/>
    </row>
    <row r="439" spans="1:23" customFormat="1" ht="13.5" customHeight="1" thickBot="1">
      <c r="A439" s="81"/>
      <c r="B439" s="81"/>
      <c r="C439" s="81"/>
      <c r="D439" s="81"/>
      <c r="E439" s="81"/>
      <c r="F439" s="81"/>
      <c r="G439" s="81"/>
      <c r="H439" s="81"/>
      <c r="I439" s="81"/>
      <c r="J439" s="82"/>
      <c r="K439" s="2"/>
      <c r="L439" s="2"/>
    </row>
    <row r="440" spans="1:23" customFormat="1" ht="13.5" customHeight="1">
      <c r="J440" s="2"/>
      <c r="K440" s="2"/>
      <c r="L440" s="2"/>
    </row>
    <row r="441" spans="1:23" customFormat="1" ht="15" customHeight="1">
      <c r="B441" s="10"/>
      <c r="C441" s="5"/>
      <c r="D441" s="5"/>
      <c r="E441" s="5"/>
      <c r="F441" s="5"/>
      <c r="G441" s="5"/>
      <c r="H441" s="5"/>
      <c r="I441" s="6"/>
      <c r="R441" s="11" t="str">
        <f>D442</f>
        <v>(選択してください)</v>
      </c>
    </row>
    <row r="442" spans="1:23" customFormat="1">
      <c r="B442" s="7"/>
      <c r="C442" s="77" t="str">
        <f ca="1">IFERROR(OFFSET('4.2民生電力需要量'!$C$8,MATCH(D442,'4.2民生電力需要量'!$E$9:$E$49,0),0),"")</f>
        <v/>
      </c>
      <c r="D442" s="96" t="s">
        <v>130</v>
      </c>
      <c r="E442" s="72" t="s">
        <v>131</v>
      </c>
      <c r="F442" s="1063" t="str">
        <f ca="1">IFERROR(OFFSET('4.2民生電力需要量'!$G$1,MATCH($D442,'4.2民生電力需要量'!$E:$E,0)-1,0),"")</f>
        <v/>
      </c>
      <c r="G442" s="1063"/>
      <c r="H442" s="1063"/>
      <c r="I442" s="8"/>
      <c r="R442" s="257" t="str">
        <f ca="1">IFERROR(OFFSET('4.2民生電力需要量'!$G$1,MATCH($D442,'4.2民生電力需要量'!$E:$E,0)-1,0),"")</f>
        <v/>
      </c>
      <c r="S442" s="177"/>
      <c r="T442" s="177"/>
      <c r="U442" s="177"/>
      <c r="V442" s="177"/>
      <c r="W442" s="177">
        <f ca="1">(F442=R442)*1</f>
        <v>1</v>
      </c>
    </row>
    <row r="443" spans="1:23" customFormat="1">
      <c r="B443" s="7"/>
      <c r="C443" s="74"/>
      <c r="D443" s="66"/>
      <c r="E443" s="72" t="s">
        <v>221</v>
      </c>
      <c r="F443" s="1062" t="str">
        <f ca="1">IFERROR(OFFSET('4.2民生電力需要量'!$I$1,MATCH($D442,'4.2民生電力需要量'!$E:$E,0)-1,0),"")</f>
        <v/>
      </c>
      <c r="G443" s="1062"/>
      <c r="H443" s="1062"/>
      <c r="I443" s="8"/>
      <c r="R443" s="177" t="str">
        <f ca="1">IFERROR(OFFSET('4.2民生電力需要量'!$I$1,MATCH($D442,'4.2民生電力需要量'!$E:$E,0)-1,0),"")</f>
        <v/>
      </c>
      <c r="S443" s="177"/>
      <c r="T443" s="177"/>
      <c r="U443" s="177"/>
      <c r="V443" s="177"/>
      <c r="W443" s="177">
        <f t="shared" ref="W443:W444" ca="1" si="145">(F443=R443)*1</f>
        <v>1</v>
      </c>
    </row>
    <row r="444" spans="1:23" customFormat="1">
      <c r="B444" s="7"/>
      <c r="C444" s="74"/>
      <c r="D444" s="66"/>
      <c r="E444" s="72" t="s">
        <v>176</v>
      </c>
      <c r="F444" s="1070" t="str">
        <f>_xlfn.IFNA(R444,"")</f>
        <v/>
      </c>
      <c r="G444" s="1071"/>
      <c r="H444" s="1072"/>
      <c r="I444" s="8"/>
      <c r="R444" s="131" t="str">
        <f>IF(OR(COUNTIF($E446:$E451,"&lt;&gt;〇〇(合意形成対象者名に書き換え)")=3,COUNTIF($E446:$E451,"")&gt;3),"",IF(PRODUCT($U446:$U451)=1,V446,""))</f>
        <v/>
      </c>
      <c r="S444" s="177"/>
      <c r="T444" s="177"/>
      <c r="U444" s="177"/>
      <c r="V444" s="177"/>
      <c r="W444" s="177">
        <f t="shared" si="145"/>
        <v>1</v>
      </c>
    </row>
    <row r="445" spans="1:23" ht="63.75" customHeight="1">
      <c r="B445" s="97"/>
      <c r="C445" s="98"/>
      <c r="D445" s="99"/>
      <c r="E445" s="374"/>
      <c r="F445" s="315" t="s">
        <v>283</v>
      </c>
      <c r="G445" s="315" t="s">
        <v>284</v>
      </c>
      <c r="H445" s="315" t="s">
        <v>281</v>
      </c>
      <c r="I445" s="100"/>
      <c r="J445" s="11"/>
      <c r="R445" s="128" t="s">
        <v>272</v>
      </c>
      <c r="S445" s="128" t="s">
        <v>432</v>
      </c>
      <c r="T445" s="131" t="s">
        <v>408</v>
      </c>
      <c r="U445" s="131" t="s">
        <v>436</v>
      </c>
      <c r="V445" s="128" t="s">
        <v>431</v>
      </c>
      <c r="W445" s="257"/>
    </row>
    <row r="446" spans="1:23" hidden="1">
      <c r="B446" s="97"/>
      <c r="C446" s="98"/>
      <c r="D446" s="99"/>
      <c r="E446" s="444"/>
      <c r="F446" s="445"/>
      <c r="G446" s="441"/>
      <c r="H446" s="441"/>
      <c r="I446" s="100"/>
      <c r="J446" s="11"/>
      <c r="R446" s="131">
        <f>IF(AND(F446="実施済",G446="実施済",H446="完了"),3,0)</f>
        <v>0</v>
      </c>
      <c r="S446" s="131" t="str">
        <f>IF(OR(E446="〇〇(合意形成対象者名に書き換え)",E446=""),"",R446)</f>
        <v/>
      </c>
      <c r="T446" s="131">
        <f t="shared" ref="T446:T451" si="146">MIN($S$446:$S$451)+1</f>
        <v>1</v>
      </c>
      <c r="U446" s="131">
        <f>IF(E446="",1,IF(AND(E446="〇〇(合意形成対象者名に書き換え)",COUNTA($F446:$H446)=0),1,IF(AND(E446&lt;&gt;"〇〇(合意形成対象者名に書き換え)",COUNTA($F446:$H446)=3),1,0)))</f>
        <v>1</v>
      </c>
      <c r="V446" s="131" t="str" cm="1">
        <f t="array" ref="V446">_xlfn.IFS(T446=4,"A",T446=3,"B",T446=2,"C",T446=1,"D")</f>
        <v>D</v>
      </c>
      <c r="W446" s="257"/>
    </row>
    <row r="447" spans="1:23">
      <c r="B447" s="97"/>
      <c r="C447" s="98"/>
      <c r="D447" s="99"/>
      <c r="E447" s="102" t="s">
        <v>129</v>
      </c>
      <c r="F447" s="449"/>
      <c r="G447" s="443"/>
      <c r="H447" s="443"/>
      <c r="I447" s="100"/>
      <c r="J447" s="11"/>
      <c r="R447" s="131">
        <f t="shared" ref="R447:R451" si="147">IF(AND(F447="実施済",G447="実施済",H447="完了"),3,0)</f>
        <v>0</v>
      </c>
      <c r="S447" s="131" t="str">
        <f t="shared" ref="S447:S451" si="148">IF(OR(E447="〇〇(合意形成対象者名に書き換え)",E447=""),"",R447)</f>
        <v/>
      </c>
      <c r="T447" s="131">
        <f t="shared" si="146"/>
        <v>1</v>
      </c>
      <c r="U447" s="131">
        <f>IF(E447="",1,IF(AND(E447="〇〇(合意形成対象者名に書き換え)",COUNTA($F447:$H447)=0),1,IF(AND(E447&lt;&gt;"〇〇(合意形成対象者名に書き換え)",COUNTA($F447:$H447)=3),1,0)))</f>
        <v>1</v>
      </c>
      <c r="V447" s="131" t="str" cm="1">
        <f t="array" ref="V447">_xlfn.IFS(T447=4,"A",T447=3,"B",T447=2,"C",T447=1,"D")</f>
        <v>D</v>
      </c>
      <c r="W447" s="257"/>
    </row>
    <row r="448" spans="1:23">
      <c r="B448" s="97"/>
      <c r="C448" s="98"/>
      <c r="D448" s="99"/>
      <c r="E448" s="102" t="s">
        <v>129</v>
      </c>
      <c r="F448" s="449"/>
      <c r="G448" s="443"/>
      <c r="H448" s="443"/>
      <c r="I448" s="100"/>
      <c r="J448" s="11"/>
      <c r="R448" s="131">
        <f t="shared" si="147"/>
        <v>0</v>
      </c>
      <c r="S448" s="131" t="str">
        <f t="shared" si="148"/>
        <v/>
      </c>
      <c r="T448" s="131">
        <f t="shared" si="146"/>
        <v>1</v>
      </c>
      <c r="U448" s="131">
        <f>IF(E448="",1,IF(AND(E448="〇〇(合意形成対象者名に書き換え)",COUNTA($F448:$H448)=0),1,IF(AND(E448&lt;&gt;"〇〇(合意形成対象者名に書き換え)",COUNTA($F448:$H448)=3),1,0)))</f>
        <v>1</v>
      </c>
      <c r="V448" s="131" t="str" cm="1">
        <f t="array" ref="V448">_xlfn.IFS(T448=4,"A",T448=3,"B",T448=2,"C",T448=1,"D")</f>
        <v>D</v>
      </c>
      <c r="W448" s="257"/>
    </row>
    <row r="449" spans="1:23" s="101" customFormat="1">
      <c r="A449" s="11"/>
      <c r="B449" s="97"/>
      <c r="C449" s="98"/>
      <c r="D449" s="99"/>
      <c r="E449" s="102" t="s">
        <v>129</v>
      </c>
      <c r="F449" s="449"/>
      <c r="G449" s="443"/>
      <c r="H449" s="443"/>
      <c r="I449" s="100"/>
      <c r="J449" s="11"/>
      <c r="M449" s="11"/>
      <c r="N449" s="11"/>
      <c r="O449" s="11"/>
      <c r="P449" s="11"/>
      <c r="Q449" s="11"/>
      <c r="R449" s="131">
        <f t="shared" si="147"/>
        <v>0</v>
      </c>
      <c r="S449" s="131" t="str">
        <f t="shared" si="148"/>
        <v/>
      </c>
      <c r="T449" s="131">
        <f t="shared" si="146"/>
        <v>1</v>
      </c>
      <c r="U449" s="131">
        <f>IF(E449="",1,IF(AND(E449="〇〇(合意形成対象者名に書き換え)",COUNTA($F449:$H449)=0),1,IF(AND(E449&lt;&gt;"〇〇(合意形成対象者名に書き換え)",COUNTA($F449:$H449)=3),1,0)))</f>
        <v>1</v>
      </c>
      <c r="V449" s="131" t="str" cm="1">
        <f t="array" ref="V449">_xlfn.IFS(T449=4,"A",T449=3,"B",T449=2,"C",T449=1,"D")</f>
        <v>D</v>
      </c>
      <c r="W449" s="131"/>
    </row>
    <row r="450" spans="1:23" customFormat="1" ht="7.5" customHeight="1">
      <c r="B450" s="65"/>
      <c r="C450" s="4"/>
      <c r="D450" s="4"/>
      <c r="E450" s="4"/>
      <c r="F450" s="4"/>
      <c r="G450" s="4"/>
      <c r="H450" s="4"/>
      <c r="I450" s="9"/>
      <c r="J450" s="2"/>
      <c r="K450" s="2"/>
      <c r="L450" s="2"/>
      <c r="R450" s="131">
        <f t="shared" si="147"/>
        <v>0</v>
      </c>
      <c r="S450" s="131" t="str">
        <f t="shared" si="148"/>
        <v/>
      </c>
      <c r="T450" s="131">
        <f t="shared" si="146"/>
        <v>1</v>
      </c>
      <c r="U450" s="131">
        <f t="shared" ref="U450:U451" si="149">IF(E450="",1,IF(AND(E450="〇〇(合意形成対象者名に書き換え)",COUNTA($F450:$H450)=0),1,IF(AND(E450&lt;&gt;"〇〇(合意形成対象者名に書き換え)",COUNTA($F450:$H450)=3),1,0)))</f>
        <v>1</v>
      </c>
      <c r="V450" s="131" t="str" cm="1">
        <f t="array" ref="V450">_xlfn.IFS(T450=4,"A",T450=3,"B",T450=2,"C",T450=1,"D")</f>
        <v>D</v>
      </c>
      <c r="W450" s="177"/>
    </row>
    <row r="451" spans="1:23" customFormat="1" ht="6" customHeight="1">
      <c r="J451" s="2"/>
      <c r="K451" s="2"/>
      <c r="L451" s="2"/>
      <c r="R451" s="131">
        <f t="shared" si="147"/>
        <v>0</v>
      </c>
      <c r="S451" s="131" t="str">
        <f t="shared" si="148"/>
        <v/>
      </c>
      <c r="T451" s="131">
        <f t="shared" si="146"/>
        <v>1</v>
      </c>
      <c r="U451" s="131">
        <f t="shared" si="149"/>
        <v>1</v>
      </c>
      <c r="V451" s="131" t="str" cm="1">
        <f t="array" ref="V451">_xlfn.IFS(T451=4,"A",T451=3,"B",T451=2,"C",T451=1,"D")</f>
        <v>D</v>
      </c>
      <c r="W451" s="177"/>
    </row>
    <row r="452" spans="1:23" customFormat="1" ht="103.5" customHeight="1">
      <c r="C452" s="78"/>
      <c r="D452" s="79"/>
      <c r="E452" s="71" t="s">
        <v>238</v>
      </c>
      <c r="F452" s="1057"/>
      <c r="G452" s="1057"/>
      <c r="H452" s="1057"/>
      <c r="I452" s="80" t="s">
        <v>132</v>
      </c>
      <c r="J452" s="80"/>
    </row>
    <row r="453" spans="1:23" customFormat="1" ht="146.25" customHeight="1">
      <c r="C453" s="75"/>
      <c r="D453" s="68"/>
      <c r="E453" s="71" t="s">
        <v>237</v>
      </c>
      <c r="F453" s="1057"/>
      <c r="G453" s="1057"/>
      <c r="H453" s="1057"/>
      <c r="J453" s="2"/>
      <c r="K453" s="2"/>
      <c r="L453" s="2"/>
    </row>
    <row r="454" spans="1:23" customFormat="1" ht="13.5" customHeight="1" thickBot="1">
      <c r="A454" s="81"/>
      <c r="B454" s="81"/>
      <c r="C454" s="81"/>
      <c r="D454" s="81"/>
      <c r="E454" s="81"/>
      <c r="F454" s="81"/>
      <c r="G454" s="81"/>
      <c r="H454" s="81"/>
      <c r="I454" s="81"/>
      <c r="J454" s="82"/>
      <c r="K454" s="2"/>
      <c r="L454" s="2"/>
    </row>
  </sheetData>
  <sheetProtection algorithmName="SHA-512" hashValue="ElilaijxNyOgmw20qSJ5vkllGgt/H4G2Hu9Pqsv/1/DBx5bPdE53mNPdhLlDHSeZQWMXbrHP+BOvCErzleV8Zw==" saltValue="IkEL/izhyz0d0ntQ2filww==" spinCount="100000" sheet="1" formatCells="0" insertRows="0" deleteRows="0"/>
  <mergeCells count="150">
    <mergeCell ref="F22:H22"/>
    <mergeCell ref="F23:H23"/>
    <mergeCell ref="F32:H32"/>
    <mergeCell ref="F24:H24"/>
    <mergeCell ref="F18:H18"/>
    <mergeCell ref="F7:H7"/>
    <mergeCell ref="F8:H8"/>
    <mergeCell ref="F9:H9"/>
    <mergeCell ref="F17:H17"/>
    <mergeCell ref="F48:H48"/>
    <mergeCell ref="F52:H52"/>
    <mergeCell ref="F53:H53"/>
    <mergeCell ref="F54:H54"/>
    <mergeCell ref="F62:H62"/>
    <mergeCell ref="F33:H33"/>
    <mergeCell ref="F37:H37"/>
    <mergeCell ref="F38:H38"/>
    <mergeCell ref="F39:H39"/>
    <mergeCell ref="F47:H47"/>
    <mergeCell ref="F78:H78"/>
    <mergeCell ref="F82:H82"/>
    <mergeCell ref="F83:H83"/>
    <mergeCell ref="F84:H84"/>
    <mergeCell ref="F92:H92"/>
    <mergeCell ref="F63:H63"/>
    <mergeCell ref="F67:H67"/>
    <mergeCell ref="F68:H68"/>
    <mergeCell ref="F69:H69"/>
    <mergeCell ref="F77:H77"/>
    <mergeCell ref="F108:H108"/>
    <mergeCell ref="F112:H112"/>
    <mergeCell ref="F113:H113"/>
    <mergeCell ref="F114:H114"/>
    <mergeCell ref="F122:H122"/>
    <mergeCell ref="F93:H93"/>
    <mergeCell ref="F97:H97"/>
    <mergeCell ref="F98:H98"/>
    <mergeCell ref="F99:H99"/>
    <mergeCell ref="F107:H107"/>
    <mergeCell ref="F138:H138"/>
    <mergeCell ref="F142:H142"/>
    <mergeCell ref="F143:H143"/>
    <mergeCell ref="F144:H144"/>
    <mergeCell ref="F152:H152"/>
    <mergeCell ref="F123:H123"/>
    <mergeCell ref="F127:H127"/>
    <mergeCell ref="F128:H128"/>
    <mergeCell ref="F129:H129"/>
    <mergeCell ref="F137:H137"/>
    <mergeCell ref="F168:H168"/>
    <mergeCell ref="F172:H172"/>
    <mergeCell ref="F173:H173"/>
    <mergeCell ref="F174:H174"/>
    <mergeCell ref="F182:H182"/>
    <mergeCell ref="F153:H153"/>
    <mergeCell ref="F157:H157"/>
    <mergeCell ref="F158:H158"/>
    <mergeCell ref="F159:H159"/>
    <mergeCell ref="F167:H167"/>
    <mergeCell ref="F198:H198"/>
    <mergeCell ref="F202:H202"/>
    <mergeCell ref="F203:H203"/>
    <mergeCell ref="F204:H204"/>
    <mergeCell ref="F212:H212"/>
    <mergeCell ref="F183:H183"/>
    <mergeCell ref="F187:H187"/>
    <mergeCell ref="F188:H188"/>
    <mergeCell ref="F189:H189"/>
    <mergeCell ref="F197:H197"/>
    <mergeCell ref="F228:H228"/>
    <mergeCell ref="F232:H232"/>
    <mergeCell ref="F233:H233"/>
    <mergeCell ref="F234:H234"/>
    <mergeCell ref="F242:H242"/>
    <mergeCell ref="F213:H213"/>
    <mergeCell ref="F217:H217"/>
    <mergeCell ref="F218:H218"/>
    <mergeCell ref="F219:H219"/>
    <mergeCell ref="F227:H227"/>
    <mergeCell ref="F258:H258"/>
    <mergeCell ref="F262:H262"/>
    <mergeCell ref="F263:H263"/>
    <mergeCell ref="F264:H264"/>
    <mergeCell ref="F272:H272"/>
    <mergeCell ref="F243:H243"/>
    <mergeCell ref="F247:H247"/>
    <mergeCell ref="F248:H248"/>
    <mergeCell ref="F249:H249"/>
    <mergeCell ref="F257:H257"/>
    <mergeCell ref="F288:H288"/>
    <mergeCell ref="F292:H292"/>
    <mergeCell ref="F293:H293"/>
    <mergeCell ref="F294:H294"/>
    <mergeCell ref="F302:H302"/>
    <mergeCell ref="F273:H273"/>
    <mergeCell ref="F277:H277"/>
    <mergeCell ref="F278:H278"/>
    <mergeCell ref="F279:H279"/>
    <mergeCell ref="F287:H287"/>
    <mergeCell ref="F318:H318"/>
    <mergeCell ref="F322:H322"/>
    <mergeCell ref="F323:H323"/>
    <mergeCell ref="F324:H324"/>
    <mergeCell ref="F332:H332"/>
    <mergeCell ref="F303:H303"/>
    <mergeCell ref="F307:H307"/>
    <mergeCell ref="F308:H308"/>
    <mergeCell ref="F309:H309"/>
    <mergeCell ref="F317:H317"/>
    <mergeCell ref="F348:H348"/>
    <mergeCell ref="F352:H352"/>
    <mergeCell ref="F353:H353"/>
    <mergeCell ref="F354:H354"/>
    <mergeCell ref="F362:H362"/>
    <mergeCell ref="F333:H333"/>
    <mergeCell ref="F337:H337"/>
    <mergeCell ref="F338:H338"/>
    <mergeCell ref="F339:H339"/>
    <mergeCell ref="F347:H347"/>
    <mergeCell ref="F378:H378"/>
    <mergeCell ref="F382:H382"/>
    <mergeCell ref="F383:H383"/>
    <mergeCell ref="F384:H384"/>
    <mergeCell ref="F392:H392"/>
    <mergeCell ref="F363:H363"/>
    <mergeCell ref="F367:H367"/>
    <mergeCell ref="F368:H368"/>
    <mergeCell ref="F369:H369"/>
    <mergeCell ref="F377:H377"/>
    <mergeCell ref="F408:H408"/>
    <mergeCell ref="F412:H412"/>
    <mergeCell ref="F413:H413"/>
    <mergeCell ref="F414:H414"/>
    <mergeCell ref="F422:H422"/>
    <mergeCell ref="F393:H393"/>
    <mergeCell ref="F397:H397"/>
    <mergeCell ref="F398:H398"/>
    <mergeCell ref="F399:H399"/>
    <mergeCell ref="F407:H407"/>
    <mergeCell ref="F453:H453"/>
    <mergeCell ref="F438:H438"/>
    <mergeCell ref="F442:H442"/>
    <mergeCell ref="F443:H443"/>
    <mergeCell ref="F444:H444"/>
    <mergeCell ref="F452:H452"/>
    <mergeCell ref="F423:H423"/>
    <mergeCell ref="F427:H427"/>
    <mergeCell ref="F428:H428"/>
    <mergeCell ref="F429:H429"/>
    <mergeCell ref="F437:H437"/>
  </mergeCells>
  <phoneticPr fontId="1"/>
  <conditionalFormatting sqref="C15:D15">
    <cfRule type="expression" dxfId="626" priority="179">
      <formula>$E17="懸念事項"</formula>
    </cfRule>
  </conditionalFormatting>
  <conditionalFormatting sqref="C30:D30">
    <cfRule type="expression" dxfId="625" priority="113">
      <formula>$E32="懸念事項"</formula>
    </cfRule>
  </conditionalFormatting>
  <conditionalFormatting sqref="C45:D45">
    <cfRule type="expression" dxfId="624" priority="109">
      <formula>$E47="懸念事項"</formula>
    </cfRule>
  </conditionalFormatting>
  <conditionalFormatting sqref="C60:D60">
    <cfRule type="expression" dxfId="623" priority="105">
      <formula>$E62="懸念事項"</formula>
    </cfRule>
  </conditionalFormatting>
  <conditionalFormatting sqref="C75:D75">
    <cfRule type="expression" dxfId="622" priority="101">
      <formula>$E77="懸念事項"</formula>
    </cfRule>
  </conditionalFormatting>
  <conditionalFormatting sqref="C90:D90">
    <cfRule type="expression" dxfId="621" priority="97">
      <formula>$E92="懸念事項"</formula>
    </cfRule>
  </conditionalFormatting>
  <conditionalFormatting sqref="C105:D105">
    <cfRule type="expression" dxfId="620" priority="93">
      <formula>$E107="懸念事項"</formula>
    </cfRule>
  </conditionalFormatting>
  <conditionalFormatting sqref="C120:D120">
    <cfRule type="expression" dxfId="619" priority="89">
      <formula>$E122="懸念事項"</formula>
    </cfRule>
  </conditionalFormatting>
  <conditionalFormatting sqref="C135:D135">
    <cfRule type="expression" dxfId="618" priority="85">
      <formula>$E137="懸念事項"</formula>
    </cfRule>
  </conditionalFormatting>
  <conditionalFormatting sqref="C150:D150">
    <cfRule type="expression" dxfId="617" priority="81">
      <formula>$E152="懸念事項"</formula>
    </cfRule>
  </conditionalFormatting>
  <conditionalFormatting sqref="C165:D165">
    <cfRule type="expression" dxfId="616" priority="77">
      <formula>$E167="懸念事項"</formula>
    </cfRule>
  </conditionalFormatting>
  <conditionalFormatting sqref="C180:D180">
    <cfRule type="expression" dxfId="615" priority="73">
      <formula>$E182="懸念事項"</formula>
    </cfRule>
  </conditionalFormatting>
  <conditionalFormatting sqref="C195:D195">
    <cfRule type="expression" dxfId="614" priority="69">
      <formula>$E197="懸念事項"</formula>
    </cfRule>
  </conditionalFormatting>
  <conditionalFormatting sqref="C210:D210">
    <cfRule type="expression" dxfId="613" priority="65">
      <formula>$E212="懸念事項"</formula>
    </cfRule>
  </conditionalFormatting>
  <conditionalFormatting sqref="C225:D225">
    <cfRule type="expression" dxfId="612" priority="61">
      <formula>$E227="懸念事項"</formula>
    </cfRule>
  </conditionalFormatting>
  <conditionalFormatting sqref="C240:D240">
    <cfRule type="expression" dxfId="611" priority="57">
      <formula>$E242="懸念事項"</formula>
    </cfRule>
  </conditionalFormatting>
  <conditionalFormatting sqref="C255:D255">
    <cfRule type="expression" dxfId="610" priority="53">
      <formula>$E257="懸念事項"</formula>
    </cfRule>
  </conditionalFormatting>
  <conditionalFormatting sqref="C270:D270">
    <cfRule type="expression" dxfId="609" priority="49">
      <formula>$E272="懸念事項"</formula>
    </cfRule>
  </conditionalFormatting>
  <conditionalFormatting sqref="C285:D285">
    <cfRule type="expression" dxfId="608" priority="45">
      <formula>$E287="懸念事項"</formula>
    </cfRule>
  </conditionalFormatting>
  <conditionalFormatting sqref="C300:D300">
    <cfRule type="expression" dxfId="607" priority="41">
      <formula>$E302="懸念事項"</formula>
    </cfRule>
  </conditionalFormatting>
  <conditionalFormatting sqref="C315:D315">
    <cfRule type="expression" dxfId="606" priority="37">
      <formula>$E317="懸念事項"</formula>
    </cfRule>
  </conditionalFormatting>
  <conditionalFormatting sqref="C330:D330">
    <cfRule type="expression" dxfId="605" priority="33">
      <formula>$E332="懸念事項"</formula>
    </cfRule>
  </conditionalFormatting>
  <conditionalFormatting sqref="C345:D345">
    <cfRule type="expression" dxfId="604" priority="29">
      <formula>$E347="懸念事項"</formula>
    </cfRule>
  </conditionalFormatting>
  <conditionalFormatting sqref="C360:D360">
    <cfRule type="expression" dxfId="603" priority="25">
      <formula>$E362="懸念事項"</formula>
    </cfRule>
  </conditionalFormatting>
  <conditionalFormatting sqref="C375:D375">
    <cfRule type="expression" dxfId="602" priority="21">
      <formula>$E377="懸念事項"</formula>
    </cfRule>
  </conditionalFormatting>
  <conditionalFormatting sqref="C390:D390">
    <cfRule type="expression" dxfId="601" priority="17">
      <formula>$E392="懸念事項"</formula>
    </cfRule>
  </conditionalFormatting>
  <conditionalFormatting sqref="C405:D405">
    <cfRule type="expression" dxfId="600" priority="13">
      <formula>$E407="懸念事項"</formula>
    </cfRule>
  </conditionalFormatting>
  <conditionalFormatting sqref="C420:D420">
    <cfRule type="expression" dxfId="599" priority="9">
      <formula>$E422="懸念事項"</formula>
    </cfRule>
  </conditionalFormatting>
  <conditionalFormatting sqref="C435:D435">
    <cfRule type="expression" dxfId="598" priority="5">
      <formula>$E437="懸念事項"</formula>
    </cfRule>
  </conditionalFormatting>
  <conditionalFormatting sqref="C450:D450">
    <cfRule type="expression" dxfId="597" priority="1">
      <formula>$E452="懸念事項"</formula>
    </cfRule>
  </conditionalFormatting>
  <conditionalFormatting sqref="C10:H15">
    <cfRule type="expression" dxfId="596" priority="718">
      <formula>$R10=""</formula>
    </cfRule>
  </conditionalFormatting>
  <conditionalFormatting sqref="C25:H30">
    <cfRule type="expression" dxfId="595" priority="114">
      <formula>$R25=""</formula>
    </cfRule>
  </conditionalFormatting>
  <conditionalFormatting sqref="C40:H45">
    <cfRule type="expression" dxfId="594" priority="110">
      <formula>$R40=""</formula>
    </cfRule>
  </conditionalFormatting>
  <conditionalFormatting sqref="C55:H60">
    <cfRule type="expression" dxfId="593" priority="106">
      <formula>$R55=""</formula>
    </cfRule>
  </conditionalFormatting>
  <conditionalFormatting sqref="C70:H75">
    <cfRule type="expression" dxfId="592" priority="102">
      <formula>$R70=""</formula>
    </cfRule>
  </conditionalFormatting>
  <conditionalFormatting sqref="C85:H90">
    <cfRule type="expression" dxfId="591" priority="98">
      <formula>$R85=""</formula>
    </cfRule>
  </conditionalFormatting>
  <conditionalFormatting sqref="C100:H105">
    <cfRule type="expression" dxfId="590" priority="94">
      <formula>$R100=""</formula>
    </cfRule>
  </conditionalFormatting>
  <conditionalFormatting sqref="C115:H120">
    <cfRule type="expression" dxfId="589" priority="90">
      <formula>$R115=""</formula>
    </cfRule>
  </conditionalFormatting>
  <conditionalFormatting sqref="C130:H135">
    <cfRule type="expression" dxfId="588" priority="86">
      <formula>$R130=""</formula>
    </cfRule>
  </conditionalFormatting>
  <conditionalFormatting sqref="C145:H150">
    <cfRule type="expression" dxfId="587" priority="82">
      <formula>$R145=""</formula>
    </cfRule>
  </conditionalFormatting>
  <conditionalFormatting sqref="C160:H165">
    <cfRule type="expression" dxfId="586" priority="78">
      <formula>$R160=""</formula>
    </cfRule>
  </conditionalFormatting>
  <conditionalFormatting sqref="C175:H180">
    <cfRule type="expression" dxfId="585" priority="74">
      <formula>$R175=""</formula>
    </cfRule>
  </conditionalFormatting>
  <conditionalFormatting sqref="C190:H195">
    <cfRule type="expression" dxfId="584" priority="70">
      <formula>$R190=""</formula>
    </cfRule>
  </conditionalFormatting>
  <conditionalFormatting sqref="C205:H210">
    <cfRule type="expression" dxfId="583" priority="66">
      <formula>$R205=""</formula>
    </cfRule>
  </conditionalFormatting>
  <conditionalFormatting sqref="C220:H225">
    <cfRule type="expression" dxfId="582" priority="62">
      <formula>$R220=""</formula>
    </cfRule>
  </conditionalFormatting>
  <conditionalFormatting sqref="C235:H240">
    <cfRule type="expression" dxfId="581" priority="58">
      <formula>$R235=""</formula>
    </cfRule>
  </conditionalFormatting>
  <conditionalFormatting sqref="C250:H255">
    <cfRule type="expression" dxfId="580" priority="54">
      <formula>$R250=""</formula>
    </cfRule>
  </conditionalFormatting>
  <conditionalFormatting sqref="C265:H270">
    <cfRule type="expression" dxfId="579" priority="50">
      <formula>$R265=""</formula>
    </cfRule>
  </conditionalFormatting>
  <conditionalFormatting sqref="C280:H285">
    <cfRule type="expression" dxfId="578" priority="46">
      <formula>$R280=""</formula>
    </cfRule>
  </conditionalFormatting>
  <conditionalFormatting sqref="C295:H300">
    <cfRule type="expression" dxfId="577" priority="42">
      <formula>$R295=""</formula>
    </cfRule>
  </conditionalFormatting>
  <conditionalFormatting sqref="C310:H315">
    <cfRule type="expression" dxfId="576" priority="38">
      <formula>$R310=""</formula>
    </cfRule>
  </conditionalFormatting>
  <conditionalFormatting sqref="C325:H330">
    <cfRule type="expression" dxfId="575" priority="34">
      <formula>$R325=""</formula>
    </cfRule>
  </conditionalFormatting>
  <conditionalFormatting sqref="C340:H345">
    <cfRule type="expression" dxfId="574" priority="30">
      <formula>$R340=""</formula>
    </cfRule>
  </conditionalFormatting>
  <conditionalFormatting sqref="C355:H360">
    <cfRule type="expression" dxfId="573" priority="26">
      <formula>$R355=""</formula>
    </cfRule>
  </conditionalFormatting>
  <conditionalFormatting sqref="C370:H375">
    <cfRule type="expression" dxfId="572" priority="22">
      <formula>$R370=""</formula>
    </cfRule>
  </conditionalFormatting>
  <conditionalFormatting sqref="C385:H390">
    <cfRule type="expression" dxfId="571" priority="18">
      <formula>$R385=""</formula>
    </cfRule>
  </conditionalFormatting>
  <conditionalFormatting sqref="C400:H405">
    <cfRule type="expression" dxfId="570" priority="14">
      <formula>$R400=""</formula>
    </cfRule>
  </conditionalFormatting>
  <conditionalFormatting sqref="C415:H420">
    <cfRule type="expression" dxfId="569" priority="10">
      <formula>$R415=""</formula>
    </cfRule>
  </conditionalFormatting>
  <conditionalFormatting sqref="C430:H435">
    <cfRule type="expression" dxfId="568" priority="6">
      <formula>$R430=""</formula>
    </cfRule>
  </conditionalFormatting>
  <conditionalFormatting sqref="C445:H450">
    <cfRule type="expression" dxfId="567" priority="2">
      <formula>$R445=""</formula>
    </cfRule>
  </conditionalFormatting>
  <conditionalFormatting sqref="D7">
    <cfRule type="containsText" dxfId="566" priority="745" operator="containsText" text="選択してください">
      <formula>NOT(ISERROR(SEARCH("選択してください",D7)))</formula>
    </cfRule>
  </conditionalFormatting>
  <conditionalFormatting sqref="D22">
    <cfRule type="containsText" dxfId="565" priority="746" operator="containsText" text="選択してください">
      <formula>NOT(ISERROR(SEARCH("選択してください",D22)))</formula>
    </cfRule>
  </conditionalFormatting>
  <conditionalFormatting sqref="D37">
    <cfRule type="containsText" dxfId="564" priority="747" operator="containsText" text="選択してください">
      <formula>NOT(ISERROR(SEARCH("選択してください",D37)))</formula>
    </cfRule>
  </conditionalFormatting>
  <conditionalFormatting sqref="D52">
    <cfRule type="containsText" dxfId="563" priority="748" operator="containsText" text="選択してください">
      <formula>NOT(ISERROR(SEARCH("選択してください",D52)))</formula>
    </cfRule>
  </conditionalFormatting>
  <conditionalFormatting sqref="D67">
    <cfRule type="containsText" dxfId="562" priority="1453" operator="containsText" text="選択してください">
      <formula>NOT(ISERROR(SEARCH("選択してください",D67)))</formula>
    </cfRule>
  </conditionalFormatting>
  <conditionalFormatting sqref="D82">
    <cfRule type="containsText" dxfId="561" priority="1452" operator="containsText" text="選択してください">
      <formula>NOT(ISERROR(SEARCH("選択してください",D82)))</formula>
    </cfRule>
  </conditionalFormatting>
  <conditionalFormatting sqref="D97">
    <cfRule type="containsText" dxfId="560" priority="1451" operator="containsText" text="選択してください">
      <formula>NOT(ISERROR(SEARCH("選択してください",D97)))</formula>
    </cfRule>
  </conditionalFormatting>
  <conditionalFormatting sqref="D112">
    <cfRule type="containsText" dxfId="559" priority="1450" operator="containsText" text="選択してください">
      <formula>NOT(ISERROR(SEARCH("選択してください",D112)))</formula>
    </cfRule>
  </conditionalFormatting>
  <conditionalFormatting sqref="D127">
    <cfRule type="containsText" dxfId="558" priority="1449" operator="containsText" text="選択してください">
      <formula>NOT(ISERROR(SEARCH("選択してください",D127)))</formula>
    </cfRule>
  </conditionalFormatting>
  <conditionalFormatting sqref="D142">
    <cfRule type="containsText" dxfId="557" priority="1448" operator="containsText" text="選択してください">
      <formula>NOT(ISERROR(SEARCH("選択してください",D142)))</formula>
    </cfRule>
  </conditionalFormatting>
  <conditionalFormatting sqref="D157">
    <cfRule type="containsText" dxfId="556" priority="1447" operator="containsText" text="選択してください">
      <formula>NOT(ISERROR(SEARCH("選択してください",D157)))</formula>
    </cfRule>
  </conditionalFormatting>
  <conditionalFormatting sqref="D172">
    <cfRule type="containsText" dxfId="555" priority="1446" operator="containsText" text="選択してください">
      <formula>NOT(ISERROR(SEARCH("選択してください",D172)))</formula>
    </cfRule>
  </conditionalFormatting>
  <conditionalFormatting sqref="D187">
    <cfRule type="containsText" dxfId="554" priority="1445" operator="containsText" text="選択してください">
      <formula>NOT(ISERROR(SEARCH("選択してください",D187)))</formula>
    </cfRule>
  </conditionalFormatting>
  <conditionalFormatting sqref="D202">
    <cfRule type="containsText" dxfId="553" priority="1444" operator="containsText" text="選択してください">
      <formula>NOT(ISERROR(SEARCH("選択してください",D202)))</formula>
    </cfRule>
  </conditionalFormatting>
  <conditionalFormatting sqref="D217">
    <cfRule type="containsText" dxfId="552" priority="1443" operator="containsText" text="選択してください">
      <formula>NOT(ISERROR(SEARCH("選択してください",D217)))</formula>
    </cfRule>
  </conditionalFormatting>
  <conditionalFormatting sqref="D232">
    <cfRule type="containsText" dxfId="551" priority="1442" operator="containsText" text="選択してください">
      <formula>NOT(ISERROR(SEARCH("選択してください",D232)))</formula>
    </cfRule>
  </conditionalFormatting>
  <conditionalFormatting sqref="D247">
    <cfRule type="containsText" dxfId="550" priority="1441" operator="containsText" text="選択してください">
      <formula>NOT(ISERROR(SEARCH("選択してください",D247)))</formula>
    </cfRule>
  </conditionalFormatting>
  <conditionalFormatting sqref="D262">
    <cfRule type="containsText" dxfId="549" priority="1440" operator="containsText" text="選択してください">
      <formula>NOT(ISERROR(SEARCH("選択してください",D262)))</formula>
    </cfRule>
  </conditionalFormatting>
  <conditionalFormatting sqref="D277">
    <cfRule type="containsText" dxfId="548" priority="1439" operator="containsText" text="選択してください">
      <formula>NOT(ISERROR(SEARCH("選択してください",D277)))</formula>
    </cfRule>
  </conditionalFormatting>
  <conditionalFormatting sqref="D292">
    <cfRule type="containsText" dxfId="547" priority="1438" operator="containsText" text="選択してください">
      <formula>NOT(ISERROR(SEARCH("選択してください",D292)))</formula>
    </cfRule>
  </conditionalFormatting>
  <conditionalFormatting sqref="D307">
    <cfRule type="containsText" dxfId="546" priority="1437" operator="containsText" text="選択してください">
      <formula>NOT(ISERROR(SEARCH("選択してください",D307)))</formula>
    </cfRule>
  </conditionalFormatting>
  <conditionalFormatting sqref="D322">
    <cfRule type="containsText" dxfId="545" priority="1436" operator="containsText" text="選択してください">
      <formula>NOT(ISERROR(SEARCH("選択してください",D322)))</formula>
    </cfRule>
  </conditionalFormatting>
  <conditionalFormatting sqref="D337">
    <cfRule type="containsText" dxfId="544" priority="1214" operator="containsText" text="選択してください">
      <formula>NOT(ISERROR(SEARCH("選択してください",D337)))</formula>
    </cfRule>
  </conditionalFormatting>
  <conditionalFormatting sqref="D352">
    <cfRule type="containsText" dxfId="543" priority="1213" operator="containsText" text="選択してください">
      <formula>NOT(ISERROR(SEARCH("選択してください",D352)))</formula>
    </cfRule>
  </conditionalFormatting>
  <conditionalFormatting sqref="D367">
    <cfRule type="containsText" dxfId="542" priority="1212" operator="containsText" text="選択してください">
      <formula>NOT(ISERROR(SEARCH("選択してください",D367)))</formula>
    </cfRule>
  </conditionalFormatting>
  <conditionalFormatting sqref="D382">
    <cfRule type="containsText" dxfId="541" priority="1211" operator="containsText" text="選択してください">
      <formula>NOT(ISERROR(SEARCH("選択してください",D382)))</formula>
    </cfRule>
  </conditionalFormatting>
  <conditionalFormatting sqref="D397">
    <cfRule type="containsText" dxfId="540" priority="1210" operator="containsText" text="選択してください">
      <formula>NOT(ISERROR(SEARCH("選択してください",D397)))</formula>
    </cfRule>
  </conditionalFormatting>
  <conditionalFormatting sqref="D412">
    <cfRule type="containsText" dxfId="539" priority="1209" operator="containsText" text="選択してください">
      <formula>NOT(ISERROR(SEARCH("選択してください",D412)))</formula>
    </cfRule>
  </conditionalFormatting>
  <conditionalFormatting sqref="D427">
    <cfRule type="containsText" dxfId="538" priority="1208" operator="containsText" text="選択してください">
      <formula>NOT(ISERROR(SEARCH("選択してください",D427)))</formula>
    </cfRule>
  </conditionalFormatting>
  <conditionalFormatting sqref="D442">
    <cfRule type="containsText" dxfId="537" priority="1207" operator="containsText" text="選択してください">
      <formula>NOT(ISERROR(SEARCH("選択してください",D442)))</formula>
    </cfRule>
  </conditionalFormatting>
  <conditionalFormatting sqref="E11:E15">
    <cfRule type="containsText" dxfId="536" priority="725" operator="containsText" text="合意形成対象者">
      <formula>NOT(ISERROR(SEARCH("合意形成対象者",E11)))</formula>
    </cfRule>
  </conditionalFormatting>
  <conditionalFormatting sqref="E26:E30">
    <cfRule type="containsText" dxfId="535" priority="115" operator="containsText" text="合意形成対象者">
      <formula>NOT(ISERROR(SEARCH("合意形成対象者",E26)))</formula>
    </cfRule>
  </conditionalFormatting>
  <conditionalFormatting sqref="E41:E45">
    <cfRule type="containsText" dxfId="534" priority="111" operator="containsText" text="合意形成対象者">
      <formula>NOT(ISERROR(SEARCH("合意形成対象者",E41)))</formula>
    </cfRule>
  </conditionalFormatting>
  <conditionalFormatting sqref="E56:E60">
    <cfRule type="containsText" dxfId="533" priority="107" operator="containsText" text="合意形成対象者">
      <formula>NOT(ISERROR(SEARCH("合意形成対象者",E56)))</formula>
    </cfRule>
  </conditionalFormatting>
  <conditionalFormatting sqref="E71:E75">
    <cfRule type="containsText" dxfId="532" priority="103" operator="containsText" text="合意形成対象者">
      <formula>NOT(ISERROR(SEARCH("合意形成対象者",E71)))</formula>
    </cfRule>
  </conditionalFormatting>
  <conditionalFormatting sqref="E86:E90">
    <cfRule type="containsText" dxfId="531" priority="99" operator="containsText" text="合意形成対象者">
      <formula>NOT(ISERROR(SEARCH("合意形成対象者",E86)))</formula>
    </cfRule>
  </conditionalFormatting>
  <conditionalFormatting sqref="E101:E105">
    <cfRule type="containsText" dxfId="530" priority="95" operator="containsText" text="合意形成対象者">
      <formula>NOT(ISERROR(SEARCH("合意形成対象者",E101)))</formula>
    </cfRule>
  </conditionalFormatting>
  <conditionalFormatting sqref="E116:E120">
    <cfRule type="containsText" dxfId="529" priority="91" operator="containsText" text="合意形成対象者">
      <formula>NOT(ISERROR(SEARCH("合意形成対象者",E116)))</formula>
    </cfRule>
  </conditionalFormatting>
  <conditionalFormatting sqref="E131:E135">
    <cfRule type="containsText" dxfId="528" priority="87" operator="containsText" text="合意形成対象者">
      <formula>NOT(ISERROR(SEARCH("合意形成対象者",E131)))</formula>
    </cfRule>
  </conditionalFormatting>
  <conditionalFormatting sqref="E146:E150">
    <cfRule type="containsText" dxfId="527" priority="83" operator="containsText" text="合意形成対象者">
      <formula>NOT(ISERROR(SEARCH("合意形成対象者",E146)))</formula>
    </cfRule>
  </conditionalFormatting>
  <conditionalFormatting sqref="E161:E165">
    <cfRule type="containsText" dxfId="526" priority="79" operator="containsText" text="合意形成対象者">
      <formula>NOT(ISERROR(SEARCH("合意形成対象者",E161)))</formula>
    </cfRule>
  </conditionalFormatting>
  <conditionalFormatting sqref="E176:E180">
    <cfRule type="containsText" dxfId="525" priority="75" operator="containsText" text="合意形成対象者">
      <formula>NOT(ISERROR(SEARCH("合意形成対象者",E176)))</formula>
    </cfRule>
  </conditionalFormatting>
  <conditionalFormatting sqref="E191:E195">
    <cfRule type="containsText" dxfId="524" priority="71" operator="containsText" text="合意形成対象者">
      <formula>NOT(ISERROR(SEARCH("合意形成対象者",E191)))</formula>
    </cfRule>
  </conditionalFormatting>
  <conditionalFormatting sqref="E206:E210">
    <cfRule type="containsText" dxfId="523" priority="67" operator="containsText" text="合意形成対象者">
      <formula>NOT(ISERROR(SEARCH("合意形成対象者",E206)))</formula>
    </cfRule>
  </conditionalFormatting>
  <conditionalFormatting sqref="E221:E225">
    <cfRule type="containsText" dxfId="522" priority="63" operator="containsText" text="合意形成対象者">
      <formula>NOT(ISERROR(SEARCH("合意形成対象者",E221)))</formula>
    </cfRule>
  </conditionalFormatting>
  <conditionalFormatting sqref="E236:E240">
    <cfRule type="containsText" dxfId="521" priority="59" operator="containsText" text="合意形成対象者">
      <formula>NOT(ISERROR(SEARCH("合意形成対象者",E236)))</formula>
    </cfRule>
  </conditionalFormatting>
  <conditionalFormatting sqref="E251:E255">
    <cfRule type="containsText" dxfId="520" priority="55" operator="containsText" text="合意形成対象者">
      <formula>NOT(ISERROR(SEARCH("合意形成対象者",E251)))</formula>
    </cfRule>
  </conditionalFormatting>
  <conditionalFormatting sqref="E266:E270">
    <cfRule type="containsText" dxfId="519" priority="51" operator="containsText" text="合意形成対象者">
      <formula>NOT(ISERROR(SEARCH("合意形成対象者",E266)))</formula>
    </cfRule>
  </conditionalFormatting>
  <conditionalFormatting sqref="E281:E285">
    <cfRule type="containsText" dxfId="518" priority="47" operator="containsText" text="合意形成対象者">
      <formula>NOT(ISERROR(SEARCH("合意形成対象者",E281)))</formula>
    </cfRule>
  </conditionalFormatting>
  <conditionalFormatting sqref="E296:E300">
    <cfRule type="containsText" dxfId="517" priority="43" operator="containsText" text="合意形成対象者">
      <formula>NOT(ISERROR(SEARCH("合意形成対象者",E296)))</formula>
    </cfRule>
  </conditionalFormatting>
  <conditionalFormatting sqref="E311:E315">
    <cfRule type="containsText" dxfId="516" priority="39" operator="containsText" text="合意形成対象者">
      <formula>NOT(ISERROR(SEARCH("合意形成対象者",E311)))</formula>
    </cfRule>
  </conditionalFormatting>
  <conditionalFormatting sqref="E326:E330">
    <cfRule type="containsText" dxfId="515" priority="35" operator="containsText" text="合意形成対象者">
      <formula>NOT(ISERROR(SEARCH("合意形成対象者",E326)))</formula>
    </cfRule>
  </conditionalFormatting>
  <conditionalFormatting sqref="E341:E345">
    <cfRule type="containsText" dxfId="514" priority="31" operator="containsText" text="合意形成対象者">
      <formula>NOT(ISERROR(SEARCH("合意形成対象者",E341)))</formula>
    </cfRule>
  </conditionalFormatting>
  <conditionalFormatting sqref="E356:E360">
    <cfRule type="containsText" dxfId="513" priority="27" operator="containsText" text="合意形成対象者">
      <formula>NOT(ISERROR(SEARCH("合意形成対象者",E356)))</formula>
    </cfRule>
  </conditionalFormatting>
  <conditionalFormatting sqref="E371:E375">
    <cfRule type="containsText" dxfId="512" priority="23" operator="containsText" text="合意形成対象者">
      <formula>NOT(ISERROR(SEARCH("合意形成対象者",E371)))</formula>
    </cfRule>
  </conditionalFormatting>
  <conditionalFormatting sqref="E386:E390">
    <cfRule type="containsText" dxfId="511" priority="19" operator="containsText" text="合意形成対象者">
      <formula>NOT(ISERROR(SEARCH("合意形成対象者",E386)))</formula>
    </cfRule>
  </conditionalFormatting>
  <conditionalFormatting sqref="E401:E405">
    <cfRule type="containsText" dxfId="510" priority="15" operator="containsText" text="合意形成対象者">
      <formula>NOT(ISERROR(SEARCH("合意形成対象者",E401)))</formula>
    </cfRule>
  </conditionalFormatting>
  <conditionalFormatting sqref="E416:E420">
    <cfRule type="containsText" dxfId="509" priority="11" operator="containsText" text="合意形成対象者">
      <formula>NOT(ISERROR(SEARCH("合意形成対象者",E416)))</formula>
    </cfRule>
  </conditionalFormatting>
  <conditionalFormatting sqref="E431:E435">
    <cfRule type="containsText" dxfId="508" priority="7" operator="containsText" text="合意形成対象者">
      <formula>NOT(ISERROR(SEARCH("合意形成対象者",E431)))</formula>
    </cfRule>
  </conditionalFormatting>
  <conditionalFormatting sqref="E446:E450">
    <cfRule type="containsText" dxfId="507" priority="3" operator="containsText" text="合意形成対象者">
      <formula>NOT(ISERROR(SEARCH("合意形成対象者",E446)))</formula>
    </cfRule>
  </conditionalFormatting>
  <conditionalFormatting sqref="E11:H15">
    <cfRule type="notContainsBlanks" dxfId="506" priority="1867">
      <formula>LEN(TRIM(E11))&gt;0</formula>
    </cfRule>
  </conditionalFormatting>
  <conditionalFormatting sqref="E26:H30">
    <cfRule type="notContainsBlanks" dxfId="505" priority="116">
      <formula>LEN(TRIM(E26))&gt;0</formula>
    </cfRule>
  </conditionalFormatting>
  <conditionalFormatting sqref="E41:H45">
    <cfRule type="notContainsBlanks" dxfId="504" priority="112">
      <formula>LEN(TRIM(E41))&gt;0</formula>
    </cfRule>
  </conditionalFormatting>
  <conditionalFormatting sqref="E56:H60">
    <cfRule type="notContainsBlanks" dxfId="503" priority="108">
      <formula>LEN(TRIM(E56))&gt;0</formula>
    </cfRule>
  </conditionalFormatting>
  <conditionalFormatting sqref="E71:H75">
    <cfRule type="notContainsBlanks" dxfId="502" priority="104">
      <formula>LEN(TRIM(E71))&gt;0</formula>
    </cfRule>
  </conditionalFormatting>
  <conditionalFormatting sqref="E86:H90">
    <cfRule type="notContainsBlanks" dxfId="501" priority="100">
      <formula>LEN(TRIM(E86))&gt;0</formula>
    </cfRule>
  </conditionalFormatting>
  <conditionalFormatting sqref="E101:H105">
    <cfRule type="notContainsBlanks" dxfId="500" priority="96">
      <formula>LEN(TRIM(E101))&gt;0</formula>
    </cfRule>
  </conditionalFormatting>
  <conditionalFormatting sqref="E116:H120">
    <cfRule type="notContainsBlanks" dxfId="499" priority="92">
      <formula>LEN(TRIM(E116))&gt;0</formula>
    </cfRule>
  </conditionalFormatting>
  <conditionalFormatting sqref="E131:H135">
    <cfRule type="notContainsBlanks" dxfId="498" priority="88">
      <formula>LEN(TRIM(E131))&gt;0</formula>
    </cfRule>
  </conditionalFormatting>
  <conditionalFormatting sqref="E146:H150">
    <cfRule type="notContainsBlanks" dxfId="497" priority="84">
      <formula>LEN(TRIM(E146))&gt;0</formula>
    </cfRule>
  </conditionalFormatting>
  <conditionalFormatting sqref="E161:H165">
    <cfRule type="notContainsBlanks" dxfId="496" priority="80">
      <formula>LEN(TRIM(E161))&gt;0</formula>
    </cfRule>
  </conditionalFormatting>
  <conditionalFormatting sqref="E176:H180">
    <cfRule type="notContainsBlanks" dxfId="495" priority="76">
      <formula>LEN(TRIM(E176))&gt;0</formula>
    </cfRule>
  </conditionalFormatting>
  <conditionalFormatting sqref="E191:H195">
    <cfRule type="notContainsBlanks" dxfId="494" priority="72">
      <formula>LEN(TRIM(E191))&gt;0</formula>
    </cfRule>
  </conditionalFormatting>
  <conditionalFormatting sqref="E206:H210">
    <cfRule type="notContainsBlanks" dxfId="493" priority="68">
      <formula>LEN(TRIM(E206))&gt;0</formula>
    </cfRule>
  </conditionalFormatting>
  <conditionalFormatting sqref="E221:H225">
    <cfRule type="notContainsBlanks" dxfId="492" priority="64">
      <formula>LEN(TRIM(E221))&gt;0</formula>
    </cfRule>
  </conditionalFormatting>
  <conditionalFormatting sqref="E236:H240">
    <cfRule type="notContainsBlanks" dxfId="491" priority="60">
      <formula>LEN(TRIM(E236))&gt;0</formula>
    </cfRule>
  </conditionalFormatting>
  <conditionalFormatting sqref="E251:H255">
    <cfRule type="notContainsBlanks" dxfId="490" priority="56">
      <formula>LEN(TRIM(E251))&gt;0</formula>
    </cfRule>
  </conditionalFormatting>
  <conditionalFormatting sqref="E266:H270">
    <cfRule type="notContainsBlanks" dxfId="489" priority="52">
      <formula>LEN(TRIM(E266))&gt;0</formula>
    </cfRule>
  </conditionalFormatting>
  <conditionalFormatting sqref="E281:H285">
    <cfRule type="notContainsBlanks" dxfId="488" priority="48">
      <formula>LEN(TRIM(E281))&gt;0</formula>
    </cfRule>
  </conditionalFormatting>
  <conditionalFormatting sqref="E296:H300">
    <cfRule type="notContainsBlanks" dxfId="487" priority="44">
      <formula>LEN(TRIM(E296))&gt;0</formula>
    </cfRule>
  </conditionalFormatting>
  <conditionalFormatting sqref="E311:H315">
    <cfRule type="notContainsBlanks" dxfId="486" priority="40">
      <formula>LEN(TRIM(E311))&gt;0</formula>
    </cfRule>
  </conditionalFormatting>
  <conditionalFormatting sqref="E326:H330">
    <cfRule type="notContainsBlanks" dxfId="485" priority="36">
      <formula>LEN(TRIM(E326))&gt;0</formula>
    </cfRule>
  </conditionalFormatting>
  <conditionalFormatting sqref="E341:H345">
    <cfRule type="notContainsBlanks" dxfId="484" priority="32">
      <formula>LEN(TRIM(E341))&gt;0</formula>
    </cfRule>
  </conditionalFormatting>
  <conditionalFormatting sqref="E356:H360">
    <cfRule type="notContainsBlanks" dxfId="483" priority="28">
      <formula>LEN(TRIM(E356))&gt;0</formula>
    </cfRule>
  </conditionalFormatting>
  <conditionalFormatting sqref="E371:H375">
    <cfRule type="notContainsBlanks" dxfId="482" priority="24">
      <formula>LEN(TRIM(E371))&gt;0</formula>
    </cfRule>
  </conditionalFormatting>
  <conditionalFormatting sqref="E386:H390">
    <cfRule type="notContainsBlanks" dxfId="481" priority="20">
      <formula>LEN(TRIM(E386))&gt;0</formula>
    </cfRule>
  </conditionalFormatting>
  <conditionalFormatting sqref="E401:H405">
    <cfRule type="notContainsBlanks" dxfId="480" priority="16">
      <formula>LEN(TRIM(E401))&gt;0</formula>
    </cfRule>
  </conditionalFormatting>
  <conditionalFormatting sqref="E416:H420">
    <cfRule type="notContainsBlanks" dxfId="479" priority="12">
      <formula>LEN(TRIM(E416))&gt;0</formula>
    </cfRule>
  </conditionalFormatting>
  <conditionalFormatting sqref="E431:H435">
    <cfRule type="notContainsBlanks" dxfId="478" priority="8">
      <formula>LEN(TRIM(E431))&gt;0</formula>
    </cfRule>
  </conditionalFormatting>
  <conditionalFormatting sqref="E446:H450">
    <cfRule type="notContainsBlanks" dxfId="477" priority="4">
      <formula>LEN(TRIM(E446))&gt;0</formula>
    </cfRule>
  </conditionalFormatting>
  <conditionalFormatting sqref="F7:H9 C7">
    <cfRule type="containsBlanks" dxfId="476" priority="1866">
      <formula>LEN(TRIM(C7))=0</formula>
    </cfRule>
  </conditionalFormatting>
  <conditionalFormatting sqref="F7:H9 F22:H24 F37:H39 F52:H54 F67:H69 F82:H84 F97:H99 F112:H114 F127:H129 F142:H144 F157:H159 F172:H174 F187:H189 F202:H204 F217:H219 F232:H234 F247:H249 F262:H264 F277:H279 F292:H294 F307:H309 F322:H324 F337:H339 F352:H354 F367:H369 F382:H384 F397:H399 F412:H414 F427:H429 F442:H444">
    <cfRule type="expression" dxfId="475" priority="1201">
      <formula>$F7&lt;&gt;$R7</formula>
    </cfRule>
  </conditionalFormatting>
  <conditionalFormatting sqref="F17:H17">
    <cfRule type="expression" dxfId="474" priority="1856">
      <formula>$C7&lt;&gt;""</formula>
    </cfRule>
  </conditionalFormatting>
  <conditionalFormatting sqref="F17:H18">
    <cfRule type="notContainsBlanks" dxfId="473" priority="1853">
      <formula>LEN(TRIM(F17))&gt;0</formula>
    </cfRule>
  </conditionalFormatting>
  <conditionalFormatting sqref="F18:H18">
    <cfRule type="expression" dxfId="472" priority="1855">
      <formula>$C7&lt;&gt;""</formula>
    </cfRule>
  </conditionalFormatting>
  <conditionalFormatting sqref="F22:H24 C22">
    <cfRule type="containsBlanks" dxfId="471" priority="1831">
      <formula>LEN(TRIM(C22))=0</formula>
    </cfRule>
  </conditionalFormatting>
  <conditionalFormatting sqref="F32:H32">
    <cfRule type="expression" dxfId="470" priority="1828">
      <formula>$C22&lt;&gt;""</formula>
    </cfRule>
  </conditionalFormatting>
  <conditionalFormatting sqref="F32:H33">
    <cfRule type="notContainsBlanks" dxfId="469" priority="1825">
      <formula>LEN(TRIM(F32))&gt;0</formula>
    </cfRule>
  </conditionalFormatting>
  <conditionalFormatting sqref="F33:H33">
    <cfRule type="expression" dxfId="468" priority="1827">
      <formula>$C22&lt;&gt;""</formula>
    </cfRule>
  </conditionalFormatting>
  <conditionalFormatting sqref="F37:H39 C37">
    <cfRule type="containsBlanks" dxfId="467" priority="1813">
      <formula>LEN(TRIM(C37))=0</formula>
    </cfRule>
  </conditionalFormatting>
  <conditionalFormatting sqref="F47:H47">
    <cfRule type="expression" dxfId="466" priority="1810">
      <formula>$C37&lt;&gt;""</formula>
    </cfRule>
  </conditionalFormatting>
  <conditionalFormatting sqref="F47:H48">
    <cfRule type="notContainsBlanks" dxfId="465" priority="1807">
      <formula>LEN(TRIM(F47))&gt;0</formula>
    </cfRule>
  </conditionalFormatting>
  <conditionalFormatting sqref="F48:H48">
    <cfRule type="expression" dxfId="464" priority="1809">
      <formula>$C37&lt;&gt;""</formula>
    </cfRule>
  </conditionalFormatting>
  <conditionalFormatting sqref="F52:H54 C52">
    <cfRule type="containsBlanks" dxfId="463" priority="1795">
      <formula>LEN(TRIM(C52))=0</formula>
    </cfRule>
  </conditionalFormatting>
  <conditionalFormatting sqref="F62:H62">
    <cfRule type="expression" dxfId="462" priority="1792">
      <formula>$C52&lt;&gt;""</formula>
    </cfRule>
  </conditionalFormatting>
  <conditionalFormatting sqref="F62:H63">
    <cfRule type="notContainsBlanks" dxfId="461" priority="1789">
      <formula>LEN(TRIM(F62))&gt;0</formula>
    </cfRule>
  </conditionalFormatting>
  <conditionalFormatting sqref="F63:H63">
    <cfRule type="expression" dxfId="460" priority="1791">
      <formula>$C52&lt;&gt;""</formula>
    </cfRule>
  </conditionalFormatting>
  <conditionalFormatting sqref="F67:H69 C67">
    <cfRule type="containsBlanks" dxfId="459" priority="1777">
      <formula>LEN(TRIM(C67))=0</formula>
    </cfRule>
  </conditionalFormatting>
  <conditionalFormatting sqref="F77:H77">
    <cfRule type="expression" dxfId="458" priority="1774">
      <formula>$C67&lt;&gt;""</formula>
    </cfRule>
  </conditionalFormatting>
  <conditionalFormatting sqref="F77:H78">
    <cfRule type="notContainsBlanks" dxfId="457" priority="1771">
      <formula>LEN(TRIM(F77))&gt;0</formula>
    </cfRule>
  </conditionalFormatting>
  <conditionalFormatting sqref="F78:H78">
    <cfRule type="expression" dxfId="456" priority="1773">
      <formula>$C67&lt;&gt;""</formula>
    </cfRule>
  </conditionalFormatting>
  <conditionalFormatting sqref="F82:H84 C82">
    <cfRule type="containsBlanks" dxfId="455" priority="1759">
      <formula>LEN(TRIM(C82))=0</formula>
    </cfRule>
  </conditionalFormatting>
  <conditionalFormatting sqref="F92:H92">
    <cfRule type="expression" dxfId="454" priority="1756">
      <formula>$C82&lt;&gt;""</formula>
    </cfRule>
  </conditionalFormatting>
  <conditionalFormatting sqref="F92:H93">
    <cfRule type="notContainsBlanks" dxfId="453" priority="1753">
      <formula>LEN(TRIM(F92))&gt;0</formula>
    </cfRule>
  </conditionalFormatting>
  <conditionalFormatting sqref="F93:H93">
    <cfRule type="expression" dxfId="452" priority="1755">
      <formula>$C82&lt;&gt;""</formula>
    </cfRule>
  </conditionalFormatting>
  <conditionalFormatting sqref="F97:H99 C97">
    <cfRule type="containsBlanks" dxfId="451" priority="1741">
      <formula>LEN(TRIM(C97))=0</formula>
    </cfRule>
  </conditionalFormatting>
  <conditionalFormatting sqref="F107:H107">
    <cfRule type="expression" dxfId="450" priority="1738">
      <formula>$C97&lt;&gt;""</formula>
    </cfRule>
  </conditionalFormatting>
  <conditionalFormatting sqref="F107:H108">
    <cfRule type="notContainsBlanks" dxfId="449" priority="1735">
      <formula>LEN(TRIM(F107))&gt;0</formula>
    </cfRule>
  </conditionalFormatting>
  <conditionalFormatting sqref="F108:H108">
    <cfRule type="expression" dxfId="448" priority="1737">
      <formula>$C97&lt;&gt;""</formula>
    </cfRule>
  </conditionalFormatting>
  <conditionalFormatting sqref="F112:H114 C112">
    <cfRule type="containsBlanks" dxfId="447" priority="1723">
      <formula>LEN(TRIM(C112))=0</formula>
    </cfRule>
  </conditionalFormatting>
  <conditionalFormatting sqref="F122:H122">
    <cfRule type="expression" dxfId="446" priority="1720">
      <formula>$C112&lt;&gt;""</formula>
    </cfRule>
  </conditionalFormatting>
  <conditionalFormatting sqref="F122:H123">
    <cfRule type="notContainsBlanks" dxfId="445" priority="1717">
      <formula>LEN(TRIM(F122))&gt;0</formula>
    </cfRule>
  </conditionalFormatting>
  <conditionalFormatting sqref="F123:H123">
    <cfRule type="expression" dxfId="444" priority="1719">
      <formula>$C112&lt;&gt;""</formula>
    </cfRule>
  </conditionalFormatting>
  <conditionalFormatting sqref="F127:H129 C127">
    <cfRule type="containsBlanks" dxfId="443" priority="1705">
      <formula>LEN(TRIM(C127))=0</formula>
    </cfRule>
  </conditionalFormatting>
  <conditionalFormatting sqref="F137:H137">
    <cfRule type="expression" dxfId="442" priority="1702">
      <formula>$C127&lt;&gt;""</formula>
    </cfRule>
  </conditionalFormatting>
  <conditionalFormatting sqref="F137:H138">
    <cfRule type="notContainsBlanks" dxfId="441" priority="1699">
      <formula>LEN(TRIM(F137))&gt;0</formula>
    </cfRule>
  </conditionalFormatting>
  <conditionalFormatting sqref="F138:H138">
    <cfRule type="expression" dxfId="440" priority="1701">
      <formula>$C127&lt;&gt;""</formula>
    </cfRule>
  </conditionalFormatting>
  <conditionalFormatting sqref="F142:H144 C142">
    <cfRule type="containsBlanks" dxfId="439" priority="1687">
      <formula>LEN(TRIM(C142))=0</formula>
    </cfRule>
  </conditionalFormatting>
  <conditionalFormatting sqref="F152:H152">
    <cfRule type="expression" dxfId="438" priority="1684">
      <formula>$C142&lt;&gt;""</formula>
    </cfRule>
  </conditionalFormatting>
  <conditionalFormatting sqref="F152:H153">
    <cfRule type="notContainsBlanks" dxfId="437" priority="1681">
      <formula>LEN(TRIM(F152))&gt;0</formula>
    </cfRule>
  </conditionalFormatting>
  <conditionalFormatting sqref="F153:H153">
    <cfRule type="expression" dxfId="436" priority="1683">
      <formula>$C142&lt;&gt;""</formula>
    </cfRule>
  </conditionalFormatting>
  <conditionalFormatting sqref="F157:H159 C157">
    <cfRule type="containsBlanks" dxfId="435" priority="1669">
      <formula>LEN(TRIM(C157))=0</formula>
    </cfRule>
  </conditionalFormatting>
  <conditionalFormatting sqref="F167:H167">
    <cfRule type="expression" dxfId="434" priority="1666">
      <formula>$C157&lt;&gt;""</formula>
    </cfRule>
  </conditionalFormatting>
  <conditionalFormatting sqref="F167:H168">
    <cfRule type="notContainsBlanks" dxfId="433" priority="1663">
      <formula>LEN(TRIM(F167))&gt;0</formula>
    </cfRule>
  </conditionalFormatting>
  <conditionalFormatting sqref="F168:H168">
    <cfRule type="expression" dxfId="432" priority="1665">
      <formula>$C157&lt;&gt;""</formula>
    </cfRule>
  </conditionalFormatting>
  <conditionalFormatting sqref="F172:H174 C172">
    <cfRule type="containsBlanks" dxfId="431" priority="1651">
      <formula>LEN(TRIM(C172))=0</formula>
    </cfRule>
  </conditionalFormatting>
  <conditionalFormatting sqref="F182:H182">
    <cfRule type="expression" dxfId="430" priority="1648">
      <formula>$C172&lt;&gt;""</formula>
    </cfRule>
  </conditionalFormatting>
  <conditionalFormatting sqref="F182:H183">
    <cfRule type="notContainsBlanks" dxfId="429" priority="1645">
      <formula>LEN(TRIM(F182))&gt;0</formula>
    </cfRule>
  </conditionalFormatting>
  <conditionalFormatting sqref="F183:H183">
    <cfRule type="expression" dxfId="428" priority="1647">
      <formula>$C172&lt;&gt;""</formula>
    </cfRule>
  </conditionalFormatting>
  <conditionalFormatting sqref="F187:H189 C187">
    <cfRule type="containsBlanks" dxfId="427" priority="1633">
      <formula>LEN(TRIM(C187))=0</formula>
    </cfRule>
  </conditionalFormatting>
  <conditionalFormatting sqref="F197:H197">
    <cfRule type="expression" dxfId="426" priority="1630">
      <formula>$C187&lt;&gt;""</formula>
    </cfRule>
  </conditionalFormatting>
  <conditionalFormatting sqref="F197:H198">
    <cfRule type="notContainsBlanks" dxfId="425" priority="1627">
      <formula>LEN(TRIM(F197))&gt;0</formula>
    </cfRule>
  </conditionalFormatting>
  <conditionalFormatting sqref="F198:H198">
    <cfRule type="expression" dxfId="424" priority="1629">
      <formula>$C187&lt;&gt;""</formula>
    </cfRule>
  </conditionalFormatting>
  <conditionalFormatting sqref="F202:H204 C202">
    <cfRule type="containsBlanks" dxfId="423" priority="1615">
      <formula>LEN(TRIM(C202))=0</formula>
    </cfRule>
  </conditionalFormatting>
  <conditionalFormatting sqref="F212:H212">
    <cfRule type="expression" dxfId="422" priority="1612">
      <formula>$C202&lt;&gt;""</formula>
    </cfRule>
  </conditionalFormatting>
  <conditionalFormatting sqref="F212:H213">
    <cfRule type="notContainsBlanks" dxfId="421" priority="1609">
      <formula>LEN(TRIM(F212))&gt;0</formula>
    </cfRule>
  </conditionalFormatting>
  <conditionalFormatting sqref="F213:H213">
    <cfRule type="expression" dxfId="420" priority="1611">
      <formula>$C202&lt;&gt;""</formula>
    </cfRule>
  </conditionalFormatting>
  <conditionalFormatting sqref="F217:H219 C217">
    <cfRule type="containsBlanks" dxfId="419" priority="1597">
      <formula>LEN(TRIM(C217))=0</formula>
    </cfRule>
  </conditionalFormatting>
  <conditionalFormatting sqref="F227:H227">
    <cfRule type="expression" dxfId="418" priority="1594">
      <formula>$C217&lt;&gt;""</formula>
    </cfRule>
  </conditionalFormatting>
  <conditionalFormatting sqref="F227:H228">
    <cfRule type="notContainsBlanks" dxfId="417" priority="1591">
      <formula>LEN(TRIM(F227))&gt;0</formula>
    </cfRule>
  </conditionalFormatting>
  <conditionalFormatting sqref="F228:H228">
    <cfRule type="expression" dxfId="416" priority="1593">
      <formula>$C217&lt;&gt;""</formula>
    </cfRule>
  </conditionalFormatting>
  <conditionalFormatting sqref="F232:H234 C232">
    <cfRule type="containsBlanks" dxfId="415" priority="1579">
      <formula>LEN(TRIM(C232))=0</formula>
    </cfRule>
  </conditionalFormatting>
  <conditionalFormatting sqref="F242:H242">
    <cfRule type="expression" dxfId="414" priority="1576">
      <formula>$C232&lt;&gt;""</formula>
    </cfRule>
  </conditionalFormatting>
  <conditionalFormatting sqref="F242:H243">
    <cfRule type="notContainsBlanks" dxfId="413" priority="1573">
      <formula>LEN(TRIM(F242))&gt;0</formula>
    </cfRule>
  </conditionalFormatting>
  <conditionalFormatting sqref="F243:H243">
    <cfRule type="expression" dxfId="412" priority="1575">
      <formula>$C232&lt;&gt;""</formula>
    </cfRule>
  </conditionalFormatting>
  <conditionalFormatting sqref="F247:H249 C247">
    <cfRule type="containsBlanks" dxfId="411" priority="1561">
      <formula>LEN(TRIM(C247))=0</formula>
    </cfRule>
  </conditionalFormatting>
  <conditionalFormatting sqref="F257:H257">
    <cfRule type="expression" dxfId="410" priority="1558">
      <formula>$C247&lt;&gt;""</formula>
    </cfRule>
  </conditionalFormatting>
  <conditionalFormatting sqref="F257:H258">
    <cfRule type="notContainsBlanks" dxfId="409" priority="1555">
      <formula>LEN(TRIM(F257))&gt;0</formula>
    </cfRule>
  </conditionalFormatting>
  <conditionalFormatting sqref="F258:H258">
    <cfRule type="expression" dxfId="408" priority="1557">
      <formula>$C247&lt;&gt;""</formula>
    </cfRule>
  </conditionalFormatting>
  <conditionalFormatting sqref="F262:H264 C262">
    <cfRule type="containsBlanks" dxfId="407" priority="1543">
      <formula>LEN(TRIM(C262))=0</formula>
    </cfRule>
  </conditionalFormatting>
  <conditionalFormatting sqref="F272:H272">
    <cfRule type="expression" dxfId="406" priority="1540">
      <formula>$C262&lt;&gt;""</formula>
    </cfRule>
  </conditionalFormatting>
  <conditionalFormatting sqref="F272:H273">
    <cfRule type="notContainsBlanks" dxfId="405" priority="1537">
      <formula>LEN(TRIM(F272))&gt;0</formula>
    </cfRule>
  </conditionalFormatting>
  <conditionalFormatting sqref="F273:H273">
    <cfRule type="expression" dxfId="404" priority="1539">
      <formula>$C262&lt;&gt;""</formula>
    </cfRule>
  </conditionalFormatting>
  <conditionalFormatting sqref="F277:H279 C277">
    <cfRule type="containsBlanks" dxfId="403" priority="1525">
      <formula>LEN(TRIM(C277))=0</formula>
    </cfRule>
  </conditionalFormatting>
  <conditionalFormatting sqref="F287:H287">
    <cfRule type="expression" dxfId="402" priority="1522">
      <formula>$C277&lt;&gt;""</formula>
    </cfRule>
  </conditionalFormatting>
  <conditionalFormatting sqref="F287:H288">
    <cfRule type="notContainsBlanks" dxfId="401" priority="1519">
      <formula>LEN(TRIM(F287))&gt;0</formula>
    </cfRule>
  </conditionalFormatting>
  <conditionalFormatting sqref="F288:H288">
    <cfRule type="expression" dxfId="400" priority="1521">
      <formula>$C277&lt;&gt;""</formula>
    </cfRule>
  </conditionalFormatting>
  <conditionalFormatting sqref="F292:H294 C292">
    <cfRule type="containsBlanks" dxfId="399" priority="1507">
      <formula>LEN(TRIM(C292))=0</formula>
    </cfRule>
  </conditionalFormatting>
  <conditionalFormatting sqref="F302:H302">
    <cfRule type="expression" dxfId="398" priority="1504">
      <formula>$C292&lt;&gt;""</formula>
    </cfRule>
  </conditionalFormatting>
  <conditionalFormatting sqref="F302:H303">
    <cfRule type="notContainsBlanks" dxfId="397" priority="1501">
      <formula>LEN(TRIM(F302))&gt;0</formula>
    </cfRule>
  </conditionalFormatting>
  <conditionalFormatting sqref="F303:H303">
    <cfRule type="expression" dxfId="396" priority="1503">
      <formula>$C292&lt;&gt;""</formula>
    </cfRule>
  </conditionalFormatting>
  <conditionalFormatting sqref="F307:H309 C307">
    <cfRule type="containsBlanks" dxfId="395" priority="1489">
      <formula>LEN(TRIM(C307))=0</formula>
    </cfRule>
  </conditionalFormatting>
  <conditionalFormatting sqref="F317:H317">
    <cfRule type="expression" dxfId="394" priority="1486">
      <formula>$C307&lt;&gt;""</formula>
    </cfRule>
  </conditionalFormatting>
  <conditionalFormatting sqref="F317:H318">
    <cfRule type="notContainsBlanks" dxfId="393" priority="1483">
      <formula>LEN(TRIM(F317))&gt;0</formula>
    </cfRule>
  </conditionalFormatting>
  <conditionalFormatting sqref="F318:H318">
    <cfRule type="expression" dxfId="392" priority="1485">
      <formula>$C307&lt;&gt;""</formula>
    </cfRule>
  </conditionalFormatting>
  <conditionalFormatting sqref="F322:H324 C322">
    <cfRule type="containsBlanks" dxfId="391" priority="1471">
      <formula>LEN(TRIM(C322))=0</formula>
    </cfRule>
  </conditionalFormatting>
  <conditionalFormatting sqref="F332:H332">
    <cfRule type="expression" dxfId="390" priority="1468">
      <formula>$C322&lt;&gt;""</formula>
    </cfRule>
  </conditionalFormatting>
  <conditionalFormatting sqref="F332:H333">
    <cfRule type="notContainsBlanks" dxfId="389" priority="1465">
      <formula>LEN(TRIM(F332))&gt;0</formula>
    </cfRule>
  </conditionalFormatting>
  <conditionalFormatting sqref="F333:H333">
    <cfRule type="expression" dxfId="388" priority="1467">
      <formula>$C322&lt;&gt;""</formula>
    </cfRule>
  </conditionalFormatting>
  <conditionalFormatting sqref="F337:H339 C337">
    <cfRule type="containsBlanks" dxfId="387" priority="1433">
      <formula>LEN(TRIM(C337))=0</formula>
    </cfRule>
  </conditionalFormatting>
  <conditionalFormatting sqref="F347:H347">
    <cfRule type="expression" dxfId="386" priority="1431">
      <formula>$C337&lt;&gt;""</formula>
    </cfRule>
  </conditionalFormatting>
  <conditionalFormatting sqref="F347:H348">
    <cfRule type="notContainsBlanks" dxfId="385" priority="1428">
      <formula>LEN(TRIM(F347))&gt;0</formula>
    </cfRule>
  </conditionalFormatting>
  <conditionalFormatting sqref="F348:H348">
    <cfRule type="expression" dxfId="384" priority="1430">
      <formula>$C337&lt;&gt;""</formula>
    </cfRule>
  </conditionalFormatting>
  <conditionalFormatting sqref="F352:H354 C352">
    <cfRule type="containsBlanks" dxfId="383" priority="1416">
      <formula>LEN(TRIM(C352))=0</formula>
    </cfRule>
  </conditionalFormatting>
  <conditionalFormatting sqref="F362:H362">
    <cfRule type="expression" dxfId="382" priority="1414">
      <formula>$C352&lt;&gt;""</formula>
    </cfRule>
  </conditionalFormatting>
  <conditionalFormatting sqref="F362:H363">
    <cfRule type="notContainsBlanks" dxfId="381" priority="1411">
      <formula>LEN(TRIM(F362))&gt;0</formula>
    </cfRule>
  </conditionalFormatting>
  <conditionalFormatting sqref="F363:H363">
    <cfRule type="expression" dxfId="380" priority="1413">
      <formula>$C352&lt;&gt;""</formula>
    </cfRule>
  </conditionalFormatting>
  <conditionalFormatting sqref="F367:H369 C367">
    <cfRule type="containsBlanks" dxfId="379" priority="1399">
      <formula>LEN(TRIM(C367))=0</formula>
    </cfRule>
  </conditionalFormatting>
  <conditionalFormatting sqref="F377:H377">
    <cfRule type="expression" dxfId="378" priority="1397">
      <formula>$C367&lt;&gt;""</formula>
    </cfRule>
  </conditionalFormatting>
  <conditionalFormatting sqref="F377:H378">
    <cfRule type="notContainsBlanks" dxfId="377" priority="1394">
      <formula>LEN(TRIM(F377))&gt;0</formula>
    </cfRule>
  </conditionalFormatting>
  <conditionalFormatting sqref="F378:H378">
    <cfRule type="expression" dxfId="376" priority="1396">
      <formula>$C367&lt;&gt;""</formula>
    </cfRule>
  </conditionalFormatting>
  <conditionalFormatting sqref="F382:H384 C382">
    <cfRule type="containsBlanks" dxfId="375" priority="1382">
      <formula>LEN(TRIM(C382))=0</formula>
    </cfRule>
  </conditionalFormatting>
  <conditionalFormatting sqref="F392:H392">
    <cfRule type="expression" dxfId="374" priority="1380">
      <formula>$C382&lt;&gt;""</formula>
    </cfRule>
  </conditionalFormatting>
  <conditionalFormatting sqref="F392:H393">
    <cfRule type="notContainsBlanks" dxfId="373" priority="1377">
      <formula>LEN(TRIM(F392))&gt;0</formula>
    </cfRule>
  </conditionalFormatting>
  <conditionalFormatting sqref="F393:H393">
    <cfRule type="expression" dxfId="372" priority="1379">
      <formula>$C382&lt;&gt;""</formula>
    </cfRule>
  </conditionalFormatting>
  <conditionalFormatting sqref="F397:H399 C397">
    <cfRule type="containsBlanks" dxfId="371" priority="1365">
      <formula>LEN(TRIM(C397))=0</formula>
    </cfRule>
  </conditionalFormatting>
  <conditionalFormatting sqref="F407:H407">
    <cfRule type="expression" dxfId="370" priority="1363">
      <formula>$C397&lt;&gt;""</formula>
    </cfRule>
  </conditionalFormatting>
  <conditionalFormatting sqref="F407:H408">
    <cfRule type="notContainsBlanks" dxfId="369" priority="1360">
      <formula>LEN(TRIM(F407))&gt;0</formula>
    </cfRule>
  </conditionalFormatting>
  <conditionalFormatting sqref="F408:H408">
    <cfRule type="expression" dxfId="368" priority="1362">
      <formula>$C397&lt;&gt;""</formula>
    </cfRule>
  </conditionalFormatting>
  <conditionalFormatting sqref="F412:H414 C412">
    <cfRule type="containsBlanks" dxfId="367" priority="1348">
      <formula>LEN(TRIM(C412))=0</formula>
    </cfRule>
  </conditionalFormatting>
  <conditionalFormatting sqref="F422:H422">
    <cfRule type="expression" dxfId="366" priority="1346">
      <formula>$C412&lt;&gt;""</formula>
    </cfRule>
  </conditionalFormatting>
  <conditionalFormatting sqref="F422:H423">
    <cfRule type="notContainsBlanks" dxfId="365" priority="1343">
      <formula>LEN(TRIM(F422))&gt;0</formula>
    </cfRule>
  </conditionalFormatting>
  <conditionalFormatting sqref="F423:H423">
    <cfRule type="expression" dxfId="364" priority="1345">
      <formula>$C412&lt;&gt;""</formula>
    </cfRule>
  </conditionalFormatting>
  <conditionalFormatting sqref="F427:H429 C427">
    <cfRule type="containsBlanks" dxfId="363" priority="1331">
      <formula>LEN(TRIM(C427))=0</formula>
    </cfRule>
  </conditionalFormatting>
  <conditionalFormatting sqref="F437:H437">
    <cfRule type="expression" dxfId="362" priority="1329">
      <formula>$C427&lt;&gt;""</formula>
    </cfRule>
  </conditionalFormatting>
  <conditionalFormatting sqref="F437:H438">
    <cfRule type="notContainsBlanks" dxfId="361" priority="1326">
      <formula>LEN(TRIM(F437))&gt;0</formula>
    </cfRule>
  </conditionalFormatting>
  <conditionalFormatting sqref="F438:H438">
    <cfRule type="expression" dxfId="360" priority="1328">
      <formula>$C427&lt;&gt;""</formula>
    </cfRule>
  </conditionalFormatting>
  <conditionalFormatting sqref="F442:H444 C442">
    <cfRule type="containsBlanks" dxfId="359" priority="1314">
      <formula>LEN(TRIM(C442))=0</formula>
    </cfRule>
  </conditionalFormatting>
  <conditionalFormatting sqref="F452:H452">
    <cfRule type="expression" dxfId="358" priority="1312">
      <formula>$C442&lt;&gt;""</formula>
    </cfRule>
  </conditionalFormatting>
  <conditionalFormatting sqref="F452:H453">
    <cfRule type="notContainsBlanks" dxfId="357" priority="1309">
      <formula>LEN(TRIM(F452))&gt;0</formula>
    </cfRule>
  </conditionalFormatting>
  <conditionalFormatting sqref="F453:H453">
    <cfRule type="expression" dxfId="356" priority="1311">
      <formula>$C442&lt;&gt;""</formula>
    </cfRule>
  </conditionalFormatting>
  <dataValidations disablePrompts="1" count="2">
    <dataValidation type="list" allowBlank="1" showInputMessage="1" showErrorMessage="1" sqref="H416:H419 H371:H374 H11:H14 H401:H404 H431:H434 H26:H29 H41:H44 H56:H59 H71:H74 H86:H89 H101:H104 H116:H119 H131:H134 H146:H149 H161:H164 H176:H179 H191:H194 H206:H209 H221:H224 H236:H239 H251:H254 H266:H269 H281:H284 H296:H299 H311:H314 H326:H329 H341:H344 H356:H359 H386:H389 H446:H449" xr:uid="{85917A3D-5141-4E02-8EF7-CB75956A05BC}">
      <formula1>"未完了,完了"</formula1>
    </dataValidation>
    <dataValidation type="list" allowBlank="1" showInputMessage="1" showErrorMessage="1" sqref="F416:G419 F371:G374 F11:G14 F401:G404 F431:G434 F26:G29 F41:G44 F56:G59 F71:G74 F86:G89 F101:G104 F116:G119 F131:G134 F146:G149 F161:G164 F176:G179 F191:G194 F206:G209 F221:G224 F236:G239 F251:G254 F266:G269 F281:G284 F296:G299 F311:G314 F326:G329 F341:G344 F356:G359 F386:G389 F446:G449" xr:uid="{DAD736D6-C6CF-4BA0-9A57-02C595A31A39}">
      <formula1>"未実施,実施中,実施済"</formula1>
    </dataValidation>
  </dataValidations>
  <pageMargins left="0.7" right="0.7" top="0.75" bottom="0.75" header="0.3" footer="0.3"/>
  <pageSetup paperSize="9" scale="37" fitToHeight="0" orientation="portrait"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disablePrompts="1" count="1">
        <x14:dataValidation type="list" showInputMessage="1" xr:uid="{08E9E66F-16A0-4FF9-BD8A-A01BAE4B3FF0}">
          <x14:formula1>
            <xm:f>IF('4.2民生電力需要量'!$T$2=1,OFFSET('4.2民生電力需要量'!$Z$8,1,0,'4.2民生電力需要量'!$T$5,1),OFFSET('4.2民生電力需要量'!$V$8,1,0,'4.2民生電力需要量'!$Q$5,1))</xm:f>
          </x14:formula1>
          <xm:sqref>D427 D7 D307 D52 D442 D67 D82 D97 D112 D127 D142 D157 D172 D187 D202 D217 D232 D247 D262 D277 D292 D322 D337 D352 D367 D382 D397 D412 D37 D22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AF16-7563-47B9-B856-CBF0D74F50E5}">
  <sheetPr codeName="Sheet2">
    <tabColor rgb="FFFFFF00"/>
    <pageSetUpPr fitToPage="1"/>
  </sheetPr>
  <dimension ref="B1:G106"/>
  <sheetViews>
    <sheetView showGridLines="0" tabSelected="1" zoomScaleNormal="100" workbookViewId="0"/>
  </sheetViews>
  <sheetFormatPr defaultRowHeight="18"/>
  <cols>
    <col min="1" max="1" width="2.83203125" customWidth="1"/>
    <col min="3" max="3" width="14.58203125" customWidth="1"/>
    <col min="4" max="4" width="6" style="2" customWidth="1"/>
    <col min="5" max="5" width="50.25" customWidth="1"/>
    <col min="6" max="6" width="21.83203125" customWidth="1"/>
    <col min="7" max="7" width="86.33203125" customWidth="1"/>
  </cols>
  <sheetData>
    <row r="1" spans="2:7" ht="18.5" thickBot="1"/>
    <row r="2" spans="2:7">
      <c r="B2" s="922" t="s">
        <v>522</v>
      </c>
      <c r="C2" s="923"/>
      <c r="D2" s="451"/>
      <c r="E2" s="452"/>
      <c r="F2" s="452"/>
      <c r="G2" s="453"/>
    </row>
    <row r="3" spans="2:7" ht="18.5" thickBot="1">
      <c r="B3" s="924"/>
      <c r="C3" s="925"/>
      <c r="G3" s="454"/>
    </row>
    <row r="4" spans="2:7">
      <c r="B4" s="455"/>
      <c r="G4" s="454"/>
    </row>
    <row r="5" spans="2:7" ht="27" customHeight="1">
      <c r="B5" s="455"/>
      <c r="C5" s="695" t="s">
        <v>526</v>
      </c>
      <c r="D5"/>
      <c r="G5" s="454"/>
    </row>
    <row r="6" spans="2:7" ht="27" customHeight="1">
      <c r="B6" s="455"/>
      <c r="C6" s="696"/>
      <c r="D6" s="694" t="s">
        <v>523</v>
      </c>
      <c r="G6" s="454"/>
    </row>
    <row r="7" spans="2:7" ht="27" customHeight="1">
      <c r="B7" s="455"/>
      <c r="C7" s="697"/>
      <c r="D7" s="694" t="s">
        <v>524</v>
      </c>
      <c r="G7" s="454"/>
    </row>
    <row r="8" spans="2:7">
      <c r="B8" s="455"/>
      <c r="G8" s="454"/>
    </row>
    <row r="9" spans="2:7" ht="26.5">
      <c r="B9" s="455"/>
      <c r="C9" s="695" t="s">
        <v>525</v>
      </c>
      <c r="G9" s="456"/>
    </row>
    <row r="10" spans="2:7" ht="26.5">
      <c r="B10" s="455"/>
      <c r="C10" s="695" t="s">
        <v>528</v>
      </c>
      <c r="G10" s="456"/>
    </row>
    <row r="11" spans="2:7" ht="18.5" thickBot="1">
      <c r="B11" s="457"/>
      <c r="C11" s="458"/>
      <c r="D11" s="459"/>
      <c r="E11" s="458"/>
      <c r="F11" s="458"/>
      <c r="G11" s="460"/>
    </row>
    <row r="12" spans="2:7" ht="18.5" thickBot="1"/>
    <row r="13" spans="2:7" ht="18.75" customHeight="1">
      <c r="B13" s="922" t="s">
        <v>518</v>
      </c>
      <c r="C13" s="926"/>
      <c r="D13" s="923"/>
      <c r="E13" s="452"/>
      <c r="F13" s="452"/>
      <c r="G13" s="453"/>
    </row>
    <row r="14" spans="2:7" ht="19.5" customHeight="1" thickBot="1">
      <c r="B14" s="924"/>
      <c r="C14" s="927"/>
      <c r="D14" s="925"/>
      <c r="G14" s="454"/>
    </row>
    <row r="15" spans="2:7" ht="19.5" customHeight="1">
      <c r="B15" s="691"/>
      <c r="C15" s="692"/>
      <c r="D15" s="692"/>
      <c r="G15" s="454"/>
    </row>
    <row r="16" spans="2:7" ht="26.5">
      <c r="B16" s="688" t="s">
        <v>529</v>
      </c>
      <c r="G16" s="454"/>
    </row>
    <row r="17" spans="2:7">
      <c r="B17" s="455"/>
      <c r="G17" s="454"/>
    </row>
    <row r="18" spans="2:7" ht="26.5">
      <c r="B18" s="689" t="s">
        <v>520</v>
      </c>
      <c r="G18" s="454"/>
    </row>
    <row r="19" spans="2:7">
      <c r="B19" s="455"/>
      <c r="G19" s="454"/>
    </row>
    <row r="20" spans="2:7">
      <c r="B20" s="455"/>
      <c r="G20" s="454"/>
    </row>
    <row r="21" spans="2:7">
      <c r="B21" s="455"/>
      <c r="G21" s="454"/>
    </row>
    <row r="22" spans="2:7">
      <c r="B22" s="455"/>
      <c r="G22" s="454"/>
    </row>
    <row r="23" spans="2:7">
      <c r="B23" s="455"/>
      <c r="G23" s="454"/>
    </row>
    <row r="24" spans="2:7">
      <c r="B24" s="455"/>
      <c r="G24" s="454"/>
    </row>
    <row r="25" spans="2:7">
      <c r="B25" s="455"/>
      <c r="G25" s="454"/>
    </row>
    <row r="26" spans="2:7">
      <c r="B26" s="455"/>
      <c r="G26" s="454"/>
    </row>
    <row r="27" spans="2:7">
      <c r="B27" s="455"/>
      <c r="G27" s="454"/>
    </row>
    <row r="28" spans="2:7" ht="26.5">
      <c r="B28" s="689" t="s">
        <v>519</v>
      </c>
      <c r="F28" s="690"/>
      <c r="G28" s="454"/>
    </row>
    <row r="29" spans="2:7">
      <c r="B29" s="455"/>
      <c r="G29" s="454"/>
    </row>
    <row r="30" spans="2:7">
      <c r="B30" s="455"/>
      <c r="G30" s="454"/>
    </row>
    <row r="31" spans="2:7">
      <c r="B31" s="455"/>
      <c r="G31" s="454"/>
    </row>
    <row r="32" spans="2:7">
      <c r="B32" s="455"/>
      <c r="G32" s="454"/>
    </row>
    <row r="33" spans="2:7">
      <c r="B33" s="455"/>
      <c r="G33" s="454"/>
    </row>
    <row r="34" spans="2:7">
      <c r="B34" s="455"/>
      <c r="G34" s="454"/>
    </row>
    <row r="35" spans="2:7">
      <c r="B35" s="455"/>
      <c r="G35" s="454"/>
    </row>
    <row r="36" spans="2:7">
      <c r="B36" s="455"/>
      <c r="G36" s="454"/>
    </row>
    <row r="37" spans="2:7">
      <c r="B37" s="455"/>
      <c r="G37" s="454"/>
    </row>
    <row r="38" spans="2:7">
      <c r="B38" s="455"/>
      <c r="G38" s="454"/>
    </row>
    <row r="39" spans="2:7">
      <c r="B39" s="455"/>
      <c r="G39" s="454"/>
    </row>
    <row r="40" spans="2:7">
      <c r="B40" s="455"/>
      <c r="G40" s="454"/>
    </row>
    <row r="41" spans="2:7">
      <c r="B41" s="455"/>
      <c r="G41" s="454"/>
    </row>
    <row r="42" spans="2:7">
      <c r="B42" s="455"/>
      <c r="G42" s="454"/>
    </row>
    <row r="43" spans="2:7">
      <c r="B43" s="455"/>
      <c r="G43" s="454"/>
    </row>
    <row r="44" spans="2:7">
      <c r="B44" s="455"/>
      <c r="G44" s="454"/>
    </row>
    <row r="45" spans="2:7">
      <c r="B45" s="455"/>
      <c r="G45" s="454"/>
    </row>
    <row r="46" spans="2:7">
      <c r="B46" s="455"/>
      <c r="G46" s="454"/>
    </row>
    <row r="47" spans="2:7">
      <c r="B47" s="455"/>
      <c r="G47" s="454"/>
    </row>
    <row r="48" spans="2:7">
      <c r="B48" s="455"/>
      <c r="G48" s="454"/>
    </row>
    <row r="49" spans="2:7">
      <c r="B49" s="455"/>
      <c r="G49" s="454"/>
    </row>
    <row r="50" spans="2:7">
      <c r="B50" s="455"/>
      <c r="G50" s="454"/>
    </row>
    <row r="51" spans="2:7" ht="26.5">
      <c r="B51" s="689" t="s">
        <v>521</v>
      </c>
      <c r="G51" s="454"/>
    </row>
    <row r="52" spans="2:7">
      <c r="B52" s="455"/>
      <c r="G52" s="454"/>
    </row>
    <row r="53" spans="2:7">
      <c r="B53" s="455"/>
      <c r="G53" s="454"/>
    </row>
    <row r="54" spans="2:7">
      <c r="B54" s="455"/>
      <c r="G54" s="454"/>
    </row>
    <row r="55" spans="2:7">
      <c r="B55" s="455"/>
      <c r="G55" s="454"/>
    </row>
    <row r="56" spans="2:7">
      <c r="B56" s="455"/>
      <c r="G56" s="454"/>
    </row>
    <row r="57" spans="2:7">
      <c r="B57" s="455"/>
      <c r="G57" s="454"/>
    </row>
    <row r="58" spans="2:7">
      <c r="B58" s="455"/>
      <c r="G58" s="454"/>
    </row>
    <row r="59" spans="2:7">
      <c r="B59" s="455"/>
      <c r="G59" s="454"/>
    </row>
    <row r="60" spans="2:7">
      <c r="B60" s="455"/>
      <c r="G60" s="454"/>
    </row>
    <row r="61" spans="2:7">
      <c r="B61" s="455"/>
      <c r="G61" s="454"/>
    </row>
    <row r="62" spans="2:7">
      <c r="B62" s="455"/>
      <c r="G62" s="454"/>
    </row>
    <row r="63" spans="2:7">
      <c r="B63" s="455"/>
      <c r="G63" s="454"/>
    </row>
    <row r="64" spans="2:7">
      <c r="B64" s="455"/>
      <c r="G64" s="454"/>
    </row>
    <row r="65" spans="2:7">
      <c r="B65" s="455"/>
      <c r="G65" s="454"/>
    </row>
    <row r="66" spans="2:7">
      <c r="B66" s="455"/>
      <c r="G66" s="454"/>
    </row>
    <row r="67" spans="2:7">
      <c r="B67" s="455"/>
      <c r="G67" s="454"/>
    </row>
    <row r="68" spans="2:7">
      <c r="B68" s="455"/>
      <c r="G68" s="454"/>
    </row>
    <row r="69" spans="2:7">
      <c r="B69" s="455"/>
      <c r="G69" s="454"/>
    </row>
    <row r="70" spans="2:7">
      <c r="B70" s="455"/>
      <c r="G70" s="454"/>
    </row>
    <row r="71" spans="2:7">
      <c r="B71" s="455"/>
      <c r="G71" s="454"/>
    </row>
    <row r="72" spans="2:7">
      <c r="B72" s="455"/>
      <c r="G72" s="454"/>
    </row>
    <row r="73" spans="2:7">
      <c r="B73" s="455"/>
      <c r="G73" s="454"/>
    </row>
    <row r="74" spans="2:7" ht="26.5">
      <c r="B74" s="693" t="s">
        <v>531</v>
      </c>
      <c r="G74" s="454"/>
    </row>
    <row r="75" spans="2:7" ht="26.5">
      <c r="B75" s="693" t="s">
        <v>532</v>
      </c>
      <c r="G75" s="454"/>
    </row>
    <row r="76" spans="2:7">
      <c r="B76" s="455"/>
      <c r="G76" s="454"/>
    </row>
    <row r="77" spans="2:7">
      <c r="B77" s="455"/>
      <c r="G77" s="454"/>
    </row>
    <row r="78" spans="2:7">
      <c r="B78" s="455"/>
      <c r="G78" s="454"/>
    </row>
    <row r="79" spans="2:7">
      <c r="B79" s="455"/>
      <c r="G79" s="454"/>
    </row>
    <row r="80" spans="2:7">
      <c r="B80" s="455"/>
      <c r="G80" s="454"/>
    </row>
    <row r="81" spans="2:7">
      <c r="B81" s="455"/>
      <c r="G81" s="454"/>
    </row>
    <row r="82" spans="2:7">
      <c r="B82" s="455"/>
      <c r="G82" s="454"/>
    </row>
    <row r="83" spans="2:7">
      <c r="B83" s="455"/>
      <c r="G83" s="454"/>
    </row>
    <row r="84" spans="2:7">
      <c r="B84" s="455"/>
      <c r="G84" s="454"/>
    </row>
    <row r="85" spans="2:7" ht="18.5" thickBot="1">
      <c r="B85" s="457"/>
      <c r="C85" s="458"/>
      <c r="D85" s="459"/>
      <c r="E85" s="458"/>
      <c r="F85" s="458"/>
      <c r="G85" s="460"/>
    </row>
    <row r="86" spans="2:7" ht="18.5" thickBot="1"/>
    <row r="87" spans="2:7">
      <c r="B87" s="922" t="s">
        <v>509</v>
      </c>
      <c r="C87" s="923"/>
      <c r="D87" s="451"/>
      <c r="E87" s="452"/>
      <c r="F87" s="452"/>
      <c r="G87" s="453"/>
    </row>
    <row r="88" spans="2:7" ht="18.5" thickBot="1">
      <c r="B88" s="924"/>
      <c r="C88" s="925"/>
      <c r="G88" s="454"/>
    </row>
    <row r="89" spans="2:7">
      <c r="B89" s="455"/>
      <c r="G89" s="454"/>
    </row>
    <row r="90" spans="2:7">
      <c r="B90" s="455"/>
      <c r="G90" s="454"/>
    </row>
    <row r="91" spans="2:7">
      <c r="B91" s="455"/>
      <c r="G91" s="454"/>
    </row>
    <row r="92" spans="2:7">
      <c r="B92" s="455"/>
      <c r="G92" s="454"/>
    </row>
    <row r="93" spans="2:7">
      <c r="B93" s="455"/>
      <c r="G93" s="454"/>
    </row>
    <row r="94" spans="2:7" ht="22.5">
      <c r="B94" s="455"/>
      <c r="G94" s="456" t="s">
        <v>510</v>
      </c>
    </row>
    <row r="95" spans="2:7" ht="22.5">
      <c r="B95" s="455"/>
      <c r="G95" s="456" t="s">
        <v>511</v>
      </c>
    </row>
    <row r="96" spans="2:7" ht="22.5">
      <c r="B96" s="455"/>
      <c r="G96" s="456" t="s">
        <v>512</v>
      </c>
    </row>
    <row r="97" spans="2:7">
      <c r="B97" s="455"/>
      <c r="G97" s="454"/>
    </row>
    <row r="98" spans="2:7">
      <c r="B98" s="455"/>
      <c r="G98" s="454"/>
    </row>
    <row r="99" spans="2:7">
      <c r="B99" s="455"/>
      <c r="G99" s="454"/>
    </row>
    <row r="100" spans="2:7">
      <c r="B100" s="455"/>
      <c r="G100" s="454"/>
    </row>
    <row r="101" spans="2:7">
      <c r="B101" s="455"/>
      <c r="G101" s="454"/>
    </row>
    <row r="102" spans="2:7">
      <c r="B102" s="455"/>
      <c r="G102" s="454"/>
    </row>
    <row r="103" spans="2:7">
      <c r="B103" s="455"/>
      <c r="G103" s="454"/>
    </row>
    <row r="104" spans="2:7">
      <c r="B104" s="455"/>
      <c r="G104" s="454"/>
    </row>
    <row r="105" spans="2:7">
      <c r="B105" s="455"/>
      <c r="G105" s="454"/>
    </row>
    <row r="106" spans="2:7" ht="18.5" thickBot="1">
      <c r="B106" s="457"/>
      <c r="C106" s="458"/>
      <c r="D106" s="459"/>
      <c r="E106" s="458"/>
      <c r="F106" s="458"/>
      <c r="G106" s="460"/>
    </row>
  </sheetData>
  <mergeCells count="3">
    <mergeCell ref="B87:C88"/>
    <mergeCell ref="B13:D14"/>
    <mergeCell ref="B2:C3"/>
  </mergeCells>
  <phoneticPr fontId="1"/>
  <pageMargins left="0.7" right="0.7" top="0.75" bottom="0.75" header="0.3" footer="0.3"/>
  <pageSetup paperSize="9" scale="61"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32F26-CFBA-4D6B-87FF-2728024D569B}">
  <sheetPr codeName="Sheet30">
    <tabColor theme="7" tint="0.79998168889431442"/>
    <pageSetUpPr autoPageBreaks="0" fitToPage="1"/>
  </sheetPr>
  <dimension ref="A1:X73"/>
  <sheetViews>
    <sheetView showGridLines="0" zoomScaleNormal="100" zoomScaleSheetLayoutView="91" workbookViewId="0"/>
  </sheetViews>
  <sheetFormatPr defaultColWidth="9" defaultRowHeight="18"/>
  <cols>
    <col min="1" max="1" width="3.75" style="13" customWidth="1"/>
    <col min="2" max="2" width="3.33203125" style="13" customWidth="1"/>
    <col min="3" max="3" width="7.83203125" style="13" customWidth="1"/>
    <col min="4" max="4" width="34.58203125" style="13" customWidth="1"/>
    <col min="5" max="5" width="11.75" style="13" customWidth="1"/>
    <col min="6" max="13" width="13.5" style="13" customWidth="1"/>
    <col min="14" max="14" width="39.5" style="13" customWidth="1"/>
    <col min="15" max="15" width="21.58203125" style="13" customWidth="1"/>
    <col min="16" max="16" width="2.33203125" style="13" customWidth="1"/>
    <col min="17" max="17" width="7.08203125" style="13" customWidth="1"/>
    <col min="18" max="18" width="28.83203125" style="13" hidden="1" customWidth="1"/>
    <col min="19" max="23" width="14.25" hidden="1" customWidth="1"/>
  </cols>
  <sheetData>
    <row r="1" spans="1:23" ht="24" customHeight="1">
      <c r="A1" s="698" t="s">
        <v>530</v>
      </c>
      <c r="O1"/>
      <c r="P1"/>
    </row>
    <row r="2" spans="1:23">
      <c r="A2" s="13" t="s">
        <v>367</v>
      </c>
      <c r="K2" s="50"/>
      <c r="L2" s="50"/>
      <c r="M2" s="17"/>
      <c r="N2" s="17"/>
      <c r="O2"/>
      <c r="P2"/>
    </row>
    <row r="3" spans="1:23" ht="18.75" customHeight="1">
      <c r="A3" s="13" t="s">
        <v>368</v>
      </c>
      <c r="B3" s="254"/>
      <c r="C3" s="17"/>
      <c r="M3" s="17"/>
      <c r="O3"/>
      <c r="P3"/>
      <c r="Q3" s="254"/>
      <c r="R3" s="44" t="s">
        <v>317</v>
      </c>
    </row>
    <row r="4" spans="1:23" ht="6" customHeight="1">
      <c r="C4" s="17"/>
      <c r="M4" s="17"/>
      <c r="N4" s="17"/>
      <c r="O4" s="17"/>
      <c r="Q4" s="254"/>
    </row>
    <row r="5" spans="1:23" ht="15" customHeight="1">
      <c r="B5" s="14"/>
      <c r="C5" s="15"/>
      <c r="D5" s="15"/>
      <c r="E5" s="15"/>
      <c r="F5" s="15"/>
      <c r="G5" s="15"/>
      <c r="H5" s="15"/>
      <c r="I5" s="15"/>
      <c r="J5" s="15"/>
      <c r="K5" s="15"/>
      <c r="L5" s="15"/>
      <c r="M5" s="15"/>
      <c r="N5" s="15"/>
      <c r="O5" s="15"/>
      <c r="P5" s="30"/>
      <c r="R5"/>
    </row>
    <row r="6" spans="1:23" ht="23.25" customHeight="1">
      <c r="A6" s="28"/>
      <c r="B6" s="16"/>
      <c r="C6" s="417" t="s">
        <v>487</v>
      </c>
      <c r="D6" s="418"/>
      <c r="E6" s="185"/>
      <c r="F6" s="186"/>
      <c r="G6" s="186"/>
      <c r="H6" s="186"/>
      <c r="I6" s="186"/>
      <c r="J6" s="186"/>
      <c r="K6" s="186"/>
      <c r="L6" s="186"/>
      <c r="M6" s="186"/>
      <c r="N6" s="185"/>
      <c r="O6" s="186"/>
      <c r="P6" s="19"/>
      <c r="R6"/>
    </row>
    <row r="7" spans="1:23">
      <c r="B7" s="16"/>
      <c r="C7" s="255"/>
      <c r="D7" s="392"/>
      <c r="E7" s="393"/>
      <c r="F7" s="394" t="s">
        <v>28</v>
      </c>
      <c r="G7" s="395"/>
      <c r="H7" s="395"/>
      <c r="I7" s="395"/>
      <c r="J7" s="395"/>
      <c r="K7" s="395"/>
      <c r="L7" s="395"/>
      <c r="M7" s="395"/>
      <c r="N7" s="396"/>
      <c r="O7" s="397"/>
      <c r="P7" s="19"/>
    </row>
    <row r="8" spans="1:23" ht="21.75" customHeight="1">
      <c r="B8" s="16"/>
      <c r="C8" s="398"/>
      <c r="D8" s="399"/>
      <c r="E8" s="235"/>
      <c r="F8" s="1073" t="s">
        <v>32</v>
      </c>
      <c r="G8" s="1073"/>
      <c r="H8" s="1073" t="s">
        <v>33</v>
      </c>
      <c r="I8" s="1073"/>
      <c r="J8" s="1076" t="s">
        <v>86</v>
      </c>
      <c r="K8" s="1076"/>
      <c r="L8" s="1073" t="s">
        <v>35</v>
      </c>
      <c r="M8" s="1073"/>
      <c r="N8" s="400"/>
      <c r="O8" s="401"/>
      <c r="P8" s="19"/>
      <c r="W8" cm="1">
        <f t="array" aca="1" ref="W8" ca="1">IF(SUMPRODUCT(N(O10:O67&lt;&gt;W10:W67))=0,1,0)</f>
        <v>1</v>
      </c>
    </row>
    <row r="9" spans="1:23" ht="65.25" customHeight="1">
      <c r="B9" s="16"/>
      <c r="C9" s="402" t="s">
        <v>29</v>
      </c>
      <c r="D9" s="403" t="s">
        <v>30</v>
      </c>
      <c r="E9" s="404" t="s">
        <v>31</v>
      </c>
      <c r="F9" s="405" t="s">
        <v>143</v>
      </c>
      <c r="G9" s="405" t="s">
        <v>144</v>
      </c>
      <c r="H9" s="405" t="s">
        <v>143</v>
      </c>
      <c r="I9" s="405" t="s">
        <v>144</v>
      </c>
      <c r="J9" s="405" t="s">
        <v>143</v>
      </c>
      <c r="K9" s="405" t="s">
        <v>144</v>
      </c>
      <c r="L9" s="405" t="s">
        <v>143</v>
      </c>
      <c r="M9" s="405" t="s">
        <v>144</v>
      </c>
      <c r="N9" s="406" t="s">
        <v>232</v>
      </c>
      <c r="O9" s="402" t="s">
        <v>233</v>
      </c>
      <c r="P9" s="19"/>
      <c r="R9" s="365" t="s">
        <v>30</v>
      </c>
      <c r="S9" s="365" t="s">
        <v>32</v>
      </c>
      <c r="T9" s="365" t="s">
        <v>33</v>
      </c>
      <c r="U9" s="365" t="s">
        <v>86</v>
      </c>
      <c r="V9" s="365" t="s">
        <v>35</v>
      </c>
      <c r="W9" s="366" t="s">
        <v>233</v>
      </c>
    </row>
    <row r="10" spans="1:23" ht="18" customHeight="1">
      <c r="A10" s="28"/>
      <c r="B10" s="16"/>
      <c r="C10" s="630" t="s">
        <v>37</v>
      </c>
      <c r="D10" s="176"/>
      <c r="E10" s="631"/>
      <c r="F10" s="632"/>
      <c r="G10" s="632"/>
      <c r="H10" s="632"/>
      <c r="I10" s="632"/>
      <c r="J10" s="632"/>
      <c r="K10" s="632"/>
      <c r="L10" s="632"/>
      <c r="M10" s="632"/>
      <c r="N10" s="633"/>
      <c r="O10" s="634"/>
      <c r="P10" s="19"/>
      <c r="R10" s="886" t="s">
        <v>37</v>
      </c>
      <c r="S10" s="887">
        <f>SUM(F10:G17)</f>
        <v>0</v>
      </c>
      <c r="T10" s="887">
        <f>SUM(H10:I17)</f>
        <v>0</v>
      </c>
      <c r="U10" s="887">
        <f>SUM(J10:K17)</f>
        <v>0</v>
      </c>
      <c r="V10" s="887">
        <f>SUM(L10:M17)</f>
        <v>0</v>
      </c>
      <c r="W10" s="888" t="str">
        <f>IF(SUM(S10:V10)=0,"",SUM(S10:V10))</f>
        <v/>
      </c>
    </row>
    <row r="11" spans="1:23" s="11" customFormat="1" ht="18.75" hidden="1" customHeight="1">
      <c r="A11" s="29"/>
      <c r="B11" s="22"/>
      <c r="C11" s="67"/>
      <c r="D11" s="636"/>
      <c r="E11" s="636"/>
      <c r="F11" s="637"/>
      <c r="G11" s="637"/>
      <c r="H11" s="637"/>
      <c r="I11" s="637"/>
      <c r="J11" s="637"/>
      <c r="K11" s="637"/>
      <c r="L11" s="637"/>
      <c r="M11" s="637"/>
      <c r="N11" s="636"/>
      <c r="O11" s="644" t="str">
        <f>IF(SUM(F11:M11)=0,"",SUM(F11:M11))</f>
        <v/>
      </c>
      <c r="P11" s="24"/>
      <c r="Q11" s="21"/>
      <c r="R11" s="23" t="s">
        <v>37</v>
      </c>
      <c r="S11" s="215"/>
      <c r="T11" s="215"/>
      <c r="U11" s="215"/>
      <c r="V11" s="215"/>
      <c r="W11" s="215" t="str">
        <f>IF(SUM(F11:M11)=0,"",SUM(F11:M11))</f>
        <v/>
      </c>
    </row>
    <row r="12" spans="1:23" s="11" customFormat="1" ht="19">
      <c r="A12" s="29"/>
      <c r="B12" s="22"/>
      <c r="C12" s="67"/>
      <c r="D12" s="638"/>
      <c r="E12" s="638"/>
      <c r="F12" s="639"/>
      <c r="G12" s="639"/>
      <c r="H12" s="639"/>
      <c r="I12" s="639"/>
      <c r="J12" s="639"/>
      <c r="K12" s="639"/>
      <c r="L12" s="639"/>
      <c r="M12" s="639"/>
      <c r="N12" s="640"/>
      <c r="O12" s="644" t="str">
        <f t="shared" ref="O12:O16" si="0">IF(SUM(F12:M12)=0,"",SUM(F12:M12))</f>
        <v/>
      </c>
      <c r="P12" s="24"/>
      <c r="Q12" s="21"/>
      <c r="R12" s="23" t="s">
        <v>37</v>
      </c>
      <c r="S12" s="323"/>
      <c r="T12" s="323"/>
      <c r="U12" s="323"/>
      <c r="V12" s="323"/>
      <c r="W12" s="215" t="str">
        <f t="shared" ref="W12:W16" si="1">IF(SUM(F12:M12)=0,"",SUM(F12:M12))</f>
        <v/>
      </c>
    </row>
    <row r="13" spans="1:23" s="11" customFormat="1" ht="19">
      <c r="A13" s="29"/>
      <c r="B13" s="22"/>
      <c r="C13" s="67"/>
      <c r="D13" s="638"/>
      <c r="E13" s="638"/>
      <c r="F13" s="639"/>
      <c r="G13" s="639"/>
      <c r="H13" s="639"/>
      <c r="I13" s="639"/>
      <c r="J13" s="639"/>
      <c r="K13" s="639"/>
      <c r="L13" s="639"/>
      <c r="M13" s="639"/>
      <c r="N13" s="640"/>
      <c r="O13" s="644" t="str">
        <f t="shared" si="0"/>
        <v/>
      </c>
      <c r="P13" s="24"/>
      <c r="Q13" s="21"/>
      <c r="R13" s="23" t="s">
        <v>37</v>
      </c>
      <c r="S13" s="323"/>
      <c r="T13" s="323"/>
      <c r="U13" s="323"/>
      <c r="V13" s="323"/>
      <c r="W13" s="215" t="str">
        <f t="shared" si="1"/>
        <v/>
      </c>
    </row>
    <row r="14" spans="1:23" s="11" customFormat="1" ht="19">
      <c r="A14" s="29"/>
      <c r="B14" s="22"/>
      <c r="C14" s="67"/>
      <c r="D14" s="638"/>
      <c r="E14" s="638"/>
      <c r="F14" s="639"/>
      <c r="G14" s="639"/>
      <c r="H14" s="639"/>
      <c r="I14" s="639"/>
      <c r="J14" s="639"/>
      <c r="K14" s="639"/>
      <c r="L14" s="639"/>
      <c r="M14" s="639"/>
      <c r="N14" s="640"/>
      <c r="O14" s="644" t="str">
        <f t="shared" si="0"/>
        <v/>
      </c>
      <c r="P14" s="24"/>
      <c r="Q14" s="21"/>
      <c r="R14" s="23" t="s">
        <v>37</v>
      </c>
      <c r="S14" s="323"/>
      <c r="T14" s="323"/>
      <c r="U14" s="323"/>
      <c r="V14" s="323"/>
      <c r="W14" s="215" t="str">
        <f t="shared" si="1"/>
        <v/>
      </c>
    </row>
    <row r="15" spans="1:23" s="11" customFormat="1" ht="19">
      <c r="A15" s="29"/>
      <c r="B15" s="22"/>
      <c r="C15" s="67"/>
      <c r="D15" s="638"/>
      <c r="E15" s="638"/>
      <c r="F15" s="639"/>
      <c r="G15" s="639"/>
      <c r="H15" s="639"/>
      <c r="I15" s="639"/>
      <c r="J15" s="639"/>
      <c r="K15" s="639"/>
      <c r="L15" s="639"/>
      <c r="M15" s="639"/>
      <c r="N15" s="640"/>
      <c r="O15" s="644" t="str">
        <f t="shared" si="0"/>
        <v/>
      </c>
      <c r="P15" s="24"/>
      <c r="Q15" s="21"/>
      <c r="R15" s="23" t="s">
        <v>37</v>
      </c>
      <c r="S15" s="323"/>
      <c r="T15" s="323"/>
      <c r="U15" s="323"/>
      <c r="V15" s="323"/>
      <c r="W15" s="215" t="str">
        <f t="shared" si="1"/>
        <v/>
      </c>
    </row>
    <row r="16" spans="1:23" s="11" customFormat="1" ht="19">
      <c r="A16" s="29"/>
      <c r="B16" s="22"/>
      <c r="C16" s="67"/>
      <c r="D16" s="638"/>
      <c r="E16" s="638"/>
      <c r="F16" s="639"/>
      <c r="G16" s="639"/>
      <c r="H16" s="639"/>
      <c r="I16" s="639"/>
      <c r="J16" s="639"/>
      <c r="K16" s="639"/>
      <c r="L16" s="639"/>
      <c r="M16" s="639"/>
      <c r="N16" s="640"/>
      <c r="O16" s="644" t="str">
        <f t="shared" si="0"/>
        <v/>
      </c>
      <c r="P16" s="24"/>
      <c r="Q16" s="21"/>
      <c r="R16" s="23" t="s">
        <v>37</v>
      </c>
      <c r="S16" s="323"/>
      <c r="T16" s="323"/>
      <c r="U16" s="323"/>
      <c r="V16" s="323"/>
      <c r="W16" s="215" t="str">
        <f t="shared" si="1"/>
        <v/>
      </c>
    </row>
    <row r="17" spans="1:23" ht="17.25" customHeight="1">
      <c r="A17" s="28"/>
      <c r="B17" s="16"/>
      <c r="C17" s="847" t="s">
        <v>38</v>
      </c>
      <c r="D17" s="635"/>
      <c r="E17" s="631"/>
      <c r="F17" s="632"/>
      <c r="G17" s="632"/>
      <c r="H17" s="632"/>
      <c r="I17" s="632"/>
      <c r="J17" s="632"/>
      <c r="K17" s="632"/>
      <c r="L17" s="632"/>
      <c r="M17" s="632"/>
      <c r="N17" s="633"/>
      <c r="O17" s="634"/>
      <c r="P17" s="19"/>
      <c r="R17" s="886" t="s">
        <v>38</v>
      </c>
      <c r="S17" s="887">
        <f>SUM(F17:G24)</f>
        <v>0</v>
      </c>
      <c r="T17" s="887">
        <f>SUM(H17:I24)</f>
        <v>0</v>
      </c>
      <c r="U17" s="887">
        <f>SUM(J17:K24)</f>
        <v>0</v>
      </c>
      <c r="V17" s="887">
        <f>SUM(L17:M24)</f>
        <v>0</v>
      </c>
      <c r="W17" s="888" t="str">
        <f>IF(SUM(S17:V17)=0,"",SUM(S17:V17))</f>
        <v/>
      </c>
    </row>
    <row r="18" spans="1:23" s="11" customFormat="1" ht="18.75" hidden="1" customHeight="1">
      <c r="A18" s="29"/>
      <c r="B18" s="22"/>
      <c r="C18" s="67"/>
      <c r="D18" s="636"/>
      <c r="E18" s="636"/>
      <c r="F18" s="637"/>
      <c r="G18" s="637"/>
      <c r="H18" s="637"/>
      <c r="I18" s="637"/>
      <c r="J18" s="637"/>
      <c r="K18" s="637"/>
      <c r="L18" s="637"/>
      <c r="M18" s="637"/>
      <c r="N18" s="636"/>
      <c r="O18" s="644" t="str">
        <f t="shared" ref="O18:O23" si="2">IF(SUM(F18:M18)=0,"",SUM(F18:M18))</f>
        <v/>
      </c>
      <c r="P18" s="24"/>
      <c r="Q18" s="21"/>
      <c r="R18" s="23" t="s">
        <v>38</v>
      </c>
      <c r="S18" s="215"/>
      <c r="T18" s="215"/>
      <c r="U18" s="215"/>
      <c r="V18" s="215"/>
      <c r="W18" s="215" t="str">
        <f>IF(SUM(F18:M18)=0,"",SUM(F18:M18))</f>
        <v/>
      </c>
    </row>
    <row r="19" spans="1:23" s="11" customFormat="1" ht="19">
      <c r="A19" s="29"/>
      <c r="B19" s="22"/>
      <c r="C19" s="67"/>
      <c r="D19" s="638"/>
      <c r="E19" s="638"/>
      <c r="F19" s="639"/>
      <c r="G19" s="639"/>
      <c r="H19" s="639"/>
      <c r="I19" s="639"/>
      <c r="J19" s="639"/>
      <c r="K19" s="639"/>
      <c r="L19" s="639"/>
      <c r="M19" s="639"/>
      <c r="N19" s="640"/>
      <c r="O19" s="644" t="str">
        <f t="shared" si="2"/>
        <v/>
      </c>
      <c r="P19" s="24"/>
      <c r="Q19" s="21"/>
      <c r="R19" s="23" t="s">
        <v>38</v>
      </c>
      <c r="S19" s="323"/>
      <c r="T19" s="323"/>
      <c r="U19" s="323"/>
      <c r="V19" s="323"/>
      <c r="W19" s="215" t="str">
        <f t="shared" ref="W19:W23" si="3">IF(SUM(F19:M19)=0,"",SUM(F19:M19))</f>
        <v/>
      </c>
    </row>
    <row r="20" spans="1:23" s="11" customFormat="1" ht="19">
      <c r="A20" s="29"/>
      <c r="B20" s="22"/>
      <c r="C20" s="67"/>
      <c r="D20" s="638"/>
      <c r="E20" s="638"/>
      <c r="F20" s="639"/>
      <c r="G20" s="639"/>
      <c r="H20" s="639"/>
      <c r="I20" s="639"/>
      <c r="J20" s="639"/>
      <c r="K20" s="639"/>
      <c r="L20" s="639"/>
      <c r="M20" s="639"/>
      <c r="N20" s="640"/>
      <c r="O20" s="644" t="str">
        <f t="shared" si="2"/>
        <v/>
      </c>
      <c r="P20" s="24"/>
      <c r="Q20" s="21"/>
      <c r="R20" s="23" t="s">
        <v>38</v>
      </c>
      <c r="S20" s="323"/>
      <c r="T20" s="323"/>
      <c r="U20" s="323"/>
      <c r="V20" s="323"/>
      <c r="W20" s="215" t="str">
        <f t="shared" si="3"/>
        <v/>
      </c>
    </row>
    <row r="21" spans="1:23" s="11" customFormat="1" ht="19">
      <c r="A21" s="29"/>
      <c r="B21" s="22"/>
      <c r="C21" s="67"/>
      <c r="D21" s="638"/>
      <c r="E21" s="638"/>
      <c r="F21" s="639"/>
      <c r="G21" s="639"/>
      <c r="H21" s="639"/>
      <c r="I21" s="639"/>
      <c r="J21" s="639"/>
      <c r="K21" s="639"/>
      <c r="L21" s="639"/>
      <c r="M21" s="639"/>
      <c r="N21" s="640"/>
      <c r="O21" s="644" t="str">
        <f t="shared" si="2"/>
        <v/>
      </c>
      <c r="P21" s="24"/>
      <c r="Q21" s="21"/>
      <c r="R21" s="23" t="s">
        <v>38</v>
      </c>
      <c r="S21" s="323"/>
      <c r="T21" s="323"/>
      <c r="U21" s="323"/>
      <c r="V21" s="323"/>
      <c r="W21" s="215" t="str">
        <f t="shared" si="3"/>
        <v/>
      </c>
    </row>
    <row r="22" spans="1:23" s="11" customFormat="1" ht="19">
      <c r="A22" s="29"/>
      <c r="B22" s="22"/>
      <c r="C22" s="67"/>
      <c r="D22" s="638"/>
      <c r="E22" s="638"/>
      <c r="F22" s="639"/>
      <c r="G22" s="639"/>
      <c r="H22" s="639"/>
      <c r="I22" s="639"/>
      <c r="J22" s="639"/>
      <c r="K22" s="639"/>
      <c r="L22" s="639"/>
      <c r="M22" s="639"/>
      <c r="N22" s="640"/>
      <c r="O22" s="644" t="str">
        <f t="shared" si="2"/>
        <v/>
      </c>
      <c r="P22" s="24"/>
      <c r="Q22" s="21"/>
      <c r="R22" s="23" t="s">
        <v>38</v>
      </c>
      <c r="S22" s="323"/>
      <c r="T22" s="323"/>
      <c r="U22" s="323"/>
      <c r="V22" s="323"/>
      <c r="W22" s="215" t="str">
        <f t="shared" si="3"/>
        <v/>
      </c>
    </row>
    <row r="23" spans="1:23" s="11" customFormat="1" ht="19">
      <c r="A23" s="29"/>
      <c r="B23" s="22"/>
      <c r="C23" s="67"/>
      <c r="D23" s="638"/>
      <c r="E23" s="638"/>
      <c r="F23" s="639"/>
      <c r="G23" s="639"/>
      <c r="H23" s="639"/>
      <c r="I23" s="639"/>
      <c r="J23" s="639"/>
      <c r="K23" s="639"/>
      <c r="L23" s="639"/>
      <c r="M23" s="639"/>
      <c r="N23" s="640"/>
      <c r="O23" s="644" t="str">
        <f t="shared" si="2"/>
        <v/>
      </c>
      <c r="P23" s="24"/>
      <c r="Q23" s="21"/>
      <c r="R23" s="23" t="s">
        <v>38</v>
      </c>
      <c r="S23" s="323"/>
      <c r="T23" s="323"/>
      <c r="U23" s="323"/>
      <c r="V23" s="323"/>
      <c r="W23" s="215" t="str">
        <f t="shared" si="3"/>
        <v/>
      </c>
    </row>
    <row r="24" spans="1:23" ht="19">
      <c r="A24" s="28"/>
      <c r="B24" s="16"/>
      <c r="C24" s="847" t="s">
        <v>39</v>
      </c>
      <c r="D24" s="635"/>
      <c r="E24" s="631"/>
      <c r="F24" s="632"/>
      <c r="G24" s="632"/>
      <c r="H24" s="632"/>
      <c r="I24" s="632"/>
      <c r="J24" s="632"/>
      <c r="K24" s="632"/>
      <c r="L24" s="632"/>
      <c r="M24" s="632"/>
      <c r="N24" s="633"/>
      <c r="O24" s="634"/>
      <c r="P24" s="19"/>
      <c r="R24" s="886" t="s">
        <v>39</v>
      </c>
      <c r="S24" s="887">
        <f>SUM(F24:G31)</f>
        <v>0</v>
      </c>
      <c r="T24" s="887">
        <f>SUM(H24:I31)</f>
        <v>0</v>
      </c>
      <c r="U24" s="887">
        <f>SUM(J24:K31)</f>
        <v>0</v>
      </c>
      <c r="V24" s="887">
        <f>SUM(L24:M31)</f>
        <v>0</v>
      </c>
      <c r="W24" s="888" t="str">
        <f>IF(SUM(S24:V24)=0,"",SUM(S24:V24))</f>
        <v/>
      </c>
    </row>
    <row r="25" spans="1:23" s="11" customFormat="1" ht="18.75" hidden="1" customHeight="1">
      <c r="A25" s="29"/>
      <c r="B25" s="22"/>
      <c r="C25" s="67"/>
      <c r="D25" s="636"/>
      <c r="E25" s="636"/>
      <c r="F25" s="637"/>
      <c r="G25" s="637"/>
      <c r="H25" s="637"/>
      <c r="I25" s="637"/>
      <c r="J25" s="637"/>
      <c r="K25" s="637"/>
      <c r="L25" s="637"/>
      <c r="M25" s="637"/>
      <c r="N25" s="636"/>
      <c r="O25" s="644" t="str">
        <f t="shared" ref="O25:O30" si="4">IF(SUM(F25:M25)=0,"",SUM(F25:M25))</f>
        <v/>
      </c>
      <c r="P25" s="24"/>
      <c r="Q25" s="21"/>
      <c r="R25" s="23" t="s">
        <v>39</v>
      </c>
      <c r="S25" s="215"/>
      <c r="T25" s="215"/>
      <c r="U25" s="215"/>
      <c r="V25" s="215"/>
      <c r="W25" s="215" t="str">
        <f>IF(SUM(F25:M25)=0,"",SUM(F25:M25))</f>
        <v/>
      </c>
    </row>
    <row r="26" spans="1:23" s="11" customFormat="1" ht="19">
      <c r="A26" s="29"/>
      <c r="B26" s="22"/>
      <c r="C26" s="67"/>
      <c r="D26" s="638"/>
      <c r="E26" s="638"/>
      <c r="F26" s="639"/>
      <c r="G26" s="639"/>
      <c r="H26" s="639"/>
      <c r="I26" s="639"/>
      <c r="J26" s="639"/>
      <c r="K26" s="639"/>
      <c r="L26" s="639"/>
      <c r="M26" s="639"/>
      <c r="N26" s="640"/>
      <c r="O26" s="644" t="str">
        <f t="shared" si="4"/>
        <v/>
      </c>
      <c r="P26" s="24"/>
      <c r="Q26" s="21"/>
      <c r="R26" s="23" t="s">
        <v>39</v>
      </c>
      <c r="S26" s="323"/>
      <c r="T26" s="323"/>
      <c r="U26" s="323"/>
      <c r="V26" s="323"/>
      <c r="W26" s="215" t="str">
        <f t="shared" ref="W26:W30" si="5">IF(SUM(F26:M26)=0,"",SUM(F26:M26))</f>
        <v/>
      </c>
    </row>
    <row r="27" spans="1:23" s="11" customFormat="1" ht="19">
      <c r="A27" s="29"/>
      <c r="B27" s="22"/>
      <c r="C27" s="67"/>
      <c r="D27" s="638"/>
      <c r="E27" s="638"/>
      <c r="F27" s="639"/>
      <c r="G27" s="639"/>
      <c r="H27" s="639"/>
      <c r="I27" s="639"/>
      <c r="J27" s="639"/>
      <c r="K27" s="639"/>
      <c r="L27" s="639"/>
      <c r="M27" s="639"/>
      <c r="N27" s="640"/>
      <c r="O27" s="644" t="str">
        <f t="shared" si="4"/>
        <v/>
      </c>
      <c r="P27" s="24"/>
      <c r="Q27" s="21"/>
      <c r="R27" s="23" t="s">
        <v>39</v>
      </c>
      <c r="S27" s="323"/>
      <c r="T27" s="323"/>
      <c r="U27" s="323"/>
      <c r="V27" s="323"/>
      <c r="W27" s="215" t="str">
        <f t="shared" si="5"/>
        <v/>
      </c>
    </row>
    <row r="28" spans="1:23" s="11" customFormat="1" ht="19">
      <c r="A28" s="29"/>
      <c r="B28" s="22"/>
      <c r="C28" s="67"/>
      <c r="D28" s="638"/>
      <c r="E28" s="638"/>
      <c r="F28" s="639"/>
      <c r="G28" s="639"/>
      <c r="H28" s="639"/>
      <c r="I28" s="639"/>
      <c r="J28" s="639"/>
      <c r="K28" s="639"/>
      <c r="L28" s="639"/>
      <c r="M28" s="639"/>
      <c r="N28" s="640"/>
      <c r="O28" s="644" t="str">
        <f t="shared" si="4"/>
        <v/>
      </c>
      <c r="P28" s="24"/>
      <c r="Q28" s="21"/>
      <c r="R28" s="23" t="s">
        <v>39</v>
      </c>
      <c r="S28" s="323"/>
      <c r="T28" s="323"/>
      <c r="U28" s="323"/>
      <c r="V28" s="323"/>
      <c r="W28" s="215" t="str">
        <f t="shared" si="5"/>
        <v/>
      </c>
    </row>
    <row r="29" spans="1:23" s="11" customFormat="1" ht="19">
      <c r="A29" s="29"/>
      <c r="B29" s="22"/>
      <c r="C29" s="67"/>
      <c r="D29" s="638"/>
      <c r="E29" s="638"/>
      <c r="F29" s="639"/>
      <c r="G29" s="639"/>
      <c r="H29" s="639"/>
      <c r="I29" s="639"/>
      <c r="J29" s="639"/>
      <c r="K29" s="639"/>
      <c r="L29" s="639"/>
      <c r="M29" s="639"/>
      <c r="N29" s="640"/>
      <c r="O29" s="644" t="str">
        <f t="shared" si="4"/>
        <v/>
      </c>
      <c r="P29" s="24"/>
      <c r="Q29" s="21"/>
      <c r="R29" s="23" t="s">
        <v>39</v>
      </c>
      <c r="S29" s="323"/>
      <c r="T29" s="323"/>
      <c r="U29" s="323"/>
      <c r="V29" s="323"/>
      <c r="W29" s="215" t="str">
        <f t="shared" si="5"/>
        <v/>
      </c>
    </row>
    <row r="30" spans="1:23" s="11" customFormat="1" ht="19">
      <c r="A30" s="29"/>
      <c r="B30" s="22"/>
      <c r="C30" s="67"/>
      <c r="D30" s="638"/>
      <c r="E30" s="638"/>
      <c r="F30" s="639"/>
      <c r="G30" s="639"/>
      <c r="H30" s="639"/>
      <c r="I30" s="639"/>
      <c r="J30" s="639"/>
      <c r="K30" s="639"/>
      <c r="L30" s="639"/>
      <c r="M30" s="639"/>
      <c r="N30" s="640"/>
      <c r="O30" s="644" t="str">
        <f t="shared" si="4"/>
        <v/>
      </c>
      <c r="P30" s="24"/>
      <c r="Q30" s="21"/>
      <c r="R30" s="23" t="s">
        <v>39</v>
      </c>
      <c r="S30" s="323"/>
      <c r="T30" s="323"/>
      <c r="U30" s="323"/>
      <c r="V30" s="323"/>
      <c r="W30" s="215" t="str">
        <f t="shared" si="5"/>
        <v/>
      </c>
    </row>
    <row r="31" spans="1:23" ht="19">
      <c r="A31" s="28"/>
      <c r="B31" s="16"/>
      <c r="C31" s="847" t="s">
        <v>40</v>
      </c>
      <c r="D31" s="635"/>
      <c r="E31" s="631"/>
      <c r="F31" s="632"/>
      <c r="G31" s="632"/>
      <c r="H31" s="632"/>
      <c r="I31" s="632"/>
      <c r="J31" s="632"/>
      <c r="K31" s="632"/>
      <c r="L31" s="632"/>
      <c r="M31" s="632"/>
      <c r="N31" s="633"/>
      <c r="O31" s="634"/>
      <c r="P31" s="19"/>
      <c r="R31" s="886" t="s">
        <v>40</v>
      </c>
      <c r="S31" s="887">
        <f>SUM(F31:G38)</f>
        <v>0</v>
      </c>
      <c r="T31" s="887">
        <f>SUM(H31:I38)</f>
        <v>0</v>
      </c>
      <c r="U31" s="887">
        <f>SUM(J31:K38)</f>
        <v>0</v>
      </c>
      <c r="V31" s="887">
        <f>SUM(L31:M38)</f>
        <v>0</v>
      </c>
      <c r="W31" s="888" t="str">
        <f>IF(SUM(S31:V31)=0,"",SUM(S31:V31))</f>
        <v/>
      </c>
    </row>
    <row r="32" spans="1:23" s="11" customFormat="1" ht="18.75" hidden="1" customHeight="1">
      <c r="A32" s="29"/>
      <c r="B32" s="22"/>
      <c r="C32" s="67"/>
      <c r="D32" s="636"/>
      <c r="E32" s="636"/>
      <c r="F32" s="637"/>
      <c r="G32" s="637"/>
      <c r="H32" s="637"/>
      <c r="I32" s="637"/>
      <c r="J32" s="637"/>
      <c r="K32" s="637"/>
      <c r="L32" s="637"/>
      <c r="M32" s="637"/>
      <c r="N32" s="636"/>
      <c r="O32" s="644" t="str">
        <f t="shared" ref="O32:O37" si="6">IF(SUM(F32:M32)=0,"",SUM(F32:M32))</f>
        <v/>
      </c>
      <c r="P32" s="24"/>
      <c r="Q32" s="21"/>
      <c r="R32" s="23" t="s">
        <v>40</v>
      </c>
      <c r="S32" s="215"/>
      <c r="T32" s="215"/>
      <c r="U32" s="215"/>
      <c r="V32" s="215"/>
      <c r="W32" s="215" t="str">
        <f>IF(SUM(F32:M32)=0,"",SUM(F32:M32))</f>
        <v/>
      </c>
    </row>
    <row r="33" spans="1:23" s="11" customFormat="1" ht="19">
      <c r="A33" s="29"/>
      <c r="B33" s="22"/>
      <c r="C33" s="67"/>
      <c r="D33" s="638"/>
      <c r="E33" s="638"/>
      <c r="F33" s="639"/>
      <c r="G33" s="639"/>
      <c r="H33" s="639"/>
      <c r="I33" s="639"/>
      <c r="J33" s="639"/>
      <c r="K33" s="639"/>
      <c r="L33" s="639"/>
      <c r="M33" s="639"/>
      <c r="N33" s="640"/>
      <c r="O33" s="644" t="str">
        <f t="shared" si="6"/>
        <v/>
      </c>
      <c r="P33" s="24"/>
      <c r="Q33" s="21"/>
      <c r="R33" s="23" t="s">
        <v>40</v>
      </c>
      <c r="S33" s="323"/>
      <c r="T33" s="323"/>
      <c r="U33" s="323"/>
      <c r="V33" s="323"/>
      <c r="W33" s="215" t="str">
        <f t="shared" ref="W33:W37" si="7">IF(SUM(F33:M33)=0,"",SUM(F33:M33))</f>
        <v/>
      </c>
    </row>
    <row r="34" spans="1:23" s="11" customFormat="1" ht="19">
      <c r="A34" s="29"/>
      <c r="B34" s="22"/>
      <c r="C34" s="67"/>
      <c r="D34" s="638"/>
      <c r="E34" s="638"/>
      <c r="F34" s="639"/>
      <c r="G34" s="639"/>
      <c r="H34" s="639"/>
      <c r="I34" s="639"/>
      <c r="J34" s="639"/>
      <c r="K34" s="639"/>
      <c r="L34" s="639"/>
      <c r="M34" s="639"/>
      <c r="N34" s="640"/>
      <c r="O34" s="644" t="str">
        <f t="shared" si="6"/>
        <v/>
      </c>
      <c r="P34" s="24"/>
      <c r="Q34" s="21"/>
      <c r="R34" s="23" t="s">
        <v>40</v>
      </c>
      <c r="S34" s="323"/>
      <c r="T34" s="323"/>
      <c r="U34" s="323"/>
      <c r="V34" s="323"/>
      <c r="W34" s="215" t="str">
        <f t="shared" si="7"/>
        <v/>
      </c>
    </row>
    <row r="35" spans="1:23" s="11" customFormat="1" ht="19">
      <c r="A35" s="29"/>
      <c r="B35" s="22"/>
      <c r="C35" s="67"/>
      <c r="D35" s="638"/>
      <c r="E35" s="638"/>
      <c r="F35" s="639"/>
      <c r="G35" s="639"/>
      <c r="H35" s="639"/>
      <c r="I35" s="639"/>
      <c r="J35" s="639"/>
      <c r="K35" s="639"/>
      <c r="L35" s="639"/>
      <c r="M35" s="639"/>
      <c r="N35" s="640"/>
      <c r="O35" s="644" t="str">
        <f t="shared" si="6"/>
        <v/>
      </c>
      <c r="P35" s="24"/>
      <c r="Q35" s="21"/>
      <c r="R35" s="23" t="s">
        <v>40</v>
      </c>
      <c r="S35" s="323"/>
      <c r="T35" s="323"/>
      <c r="U35" s="323"/>
      <c r="V35" s="323"/>
      <c r="W35" s="215" t="str">
        <f t="shared" si="7"/>
        <v/>
      </c>
    </row>
    <row r="36" spans="1:23" s="11" customFormat="1" ht="19">
      <c r="A36" s="29"/>
      <c r="B36" s="22"/>
      <c r="C36" s="67"/>
      <c r="D36" s="638"/>
      <c r="E36" s="638"/>
      <c r="F36" s="639"/>
      <c r="G36" s="639"/>
      <c r="H36" s="639"/>
      <c r="I36" s="639"/>
      <c r="J36" s="639"/>
      <c r="K36" s="639"/>
      <c r="L36" s="639"/>
      <c r="M36" s="639"/>
      <c r="N36" s="640"/>
      <c r="O36" s="644" t="str">
        <f t="shared" si="6"/>
        <v/>
      </c>
      <c r="P36" s="24"/>
      <c r="Q36" s="21"/>
      <c r="R36" s="23" t="s">
        <v>40</v>
      </c>
      <c r="S36" s="323"/>
      <c r="T36" s="323"/>
      <c r="U36" s="323"/>
      <c r="V36" s="323"/>
      <c r="W36" s="215" t="str">
        <f t="shared" si="7"/>
        <v/>
      </c>
    </row>
    <row r="37" spans="1:23" s="11" customFormat="1" ht="19">
      <c r="A37" s="29"/>
      <c r="B37" s="22"/>
      <c r="C37" s="67"/>
      <c r="D37" s="638"/>
      <c r="E37" s="638"/>
      <c r="F37" s="639"/>
      <c r="G37" s="639"/>
      <c r="H37" s="639"/>
      <c r="I37" s="639"/>
      <c r="J37" s="639"/>
      <c r="K37" s="639"/>
      <c r="L37" s="639"/>
      <c r="M37" s="639"/>
      <c r="N37" s="640"/>
      <c r="O37" s="644" t="str">
        <f t="shared" si="6"/>
        <v/>
      </c>
      <c r="P37" s="24"/>
      <c r="Q37" s="21"/>
      <c r="R37" s="23" t="s">
        <v>40</v>
      </c>
      <c r="S37" s="323"/>
      <c r="T37" s="323"/>
      <c r="U37" s="323"/>
      <c r="V37" s="323"/>
      <c r="W37" s="215" t="str">
        <f t="shared" si="7"/>
        <v/>
      </c>
    </row>
    <row r="38" spans="1:23" ht="19">
      <c r="A38" s="28"/>
      <c r="B38" s="16"/>
      <c r="C38" s="847" t="s">
        <v>41</v>
      </c>
      <c r="D38" s="635"/>
      <c r="E38" s="631"/>
      <c r="F38" s="632"/>
      <c r="G38" s="632"/>
      <c r="H38" s="632"/>
      <c r="I38" s="632"/>
      <c r="J38" s="632"/>
      <c r="K38" s="632"/>
      <c r="L38" s="632"/>
      <c r="M38" s="632"/>
      <c r="N38" s="633"/>
      <c r="O38" s="634"/>
      <c r="P38" s="19"/>
      <c r="R38" s="886" t="s">
        <v>41</v>
      </c>
      <c r="S38" s="887">
        <f>SUM(F38:G45)</f>
        <v>0</v>
      </c>
      <c r="T38" s="887">
        <f>SUM(H38:I45)</f>
        <v>0</v>
      </c>
      <c r="U38" s="887">
        <f>SUM(J38:K45)</f>
        <v>0</v>
      </c>
      <c r="V38" s="887">
        <f>SUM(L38:M45)</f>
        <v>0</v>
      </c>
      <c r="W38" s="888" t="str">
        <f>IF(SUM(S38:V38)=0,"",SUM(S38:V38))</f>
        <v/>
      </c>
    </row>
    <row r="39" spans="1:23" s="11" customFormat="1" ht="18.75" hidden="1" customHeight="1">
      <c r="A39" s="29"/>
      <c r="B39" s="22"/>
      <c r="C39" s="67"/>
      <c r="D39" s="636"/>
      <c r="E39" s="636"/>
      <c r="F39" s="637"/>
      <c r="G39" s="637"/>
      <c r="H39" s="637"/>
      <c r="I39" s="637"/>
      <c r="J39" s="637"/>
      <c r="K39" s="637"/>
      <c r="L39" s="637"/>
      <c r="M39" s="637"/>
      <c r="N39" s="636"/>
      <c r="O39" s="644" t="str">
        <f t="shared" ref="O39:O44" si="8">IF(SUM(F39:M39)=0,"",SUM(F39:M39))</f>
        <v/>
      </c>
      <c r="P39" s="24"/>
      <c r="Q39" s="21"/>
      <c r="R39" s="23" t="s">
        <v>41</v>
      </c>
      <c r="S39" s="215"/>
      <c r="T39" s="215"/>
      <c r="U39" s="215"/>
      <c r="V39" s="215"/>
      <c r="W39" s="215" t="str">
        <f>IF(SUM(F39:M39)=0,"",SUM(F39:M39))</f>
        <v/>
      </c>
    </row>
    <row r="40" spans="1:23" s="11" customFormat="1" ht="19">
      <c r="A40" s="29"/>
      <c r="B40" s="22"/>
      <c r="C40" s="67"/>
      <c r="D40" s="638"/>
      <c r="E40" s="638"/>
      <c r="F40" s="639"/>
      <c r="G40" s="639"/>
      <c r="H40" s="639"/>
      <c r="I40" s="639"/>
      <c r="J40" s="639"/>
      <c r="K40" s="639"/>
      <c r="L40" s="639"/>
      <c r="M40" s="639"/>
      <c r="N40" s="640"/>
      <c r="O40" s="644" t="str">
        <f t="shared" si="8"/>
        <v/>
      </c>
      <c r="P40" s="24"/>
      <c r="Q40" s="21"/>
      <c r="R40" s="23" t="s">
        <v>41</v>
      </c>
      <c r="S40" s="323"/>
      <c r="T40" s="323"/>
      <c r="U40" s="323"/>
      <c r="V40" s="323"/>
      <c r="W40" s="215" t="str">
        <f t="shared" ref="W40:W44" si="9">IF(SUM(F40:M40)=0,"",SUM(F40:M40))</f>
        <v/>
      </c>
    </row>
    <row r="41" spans="1:23" s="11" customFormat="1" ht="19">
      <c r="A41" s="29"/>
      <c r="B41" s="22"/>
      <c r="C41" s="67"/>
      <c r="D41" s="638"/>
      <c r="E41" s="638"/>
      <c r="F41" s="639"/>
      <c r="G41" s="639"/>
      <c r="H41" s="639"/>
      <c r="I41" s="639"/>
      <c r="J41" s="639"/>
      <c r="K41" s="639"/>
      <c r="L41" s="639"/>
      <c r="M41" s="639"/>
      <c r="N41" s="640"/>
      <c r="O41" s="644" t="str">
        <f t="shared" si="8"/>
        <v/>
      </c>
      <c r="P41" s="24"/>
      <c r="Q41" s="21"/>
      <c r="R41" s="23" t="s">
        <v>41</v>
      </c>
      <c r="S41" s="323"/>
      <c r="T41" s="323"/>
      <c r="U41" s="323"/>
      <c r="V41" s="323"/>
      <c r="W41" s="215" t="str">
        <f t="shared" si="9"/>
        <v/>
      </c>
    </row>
    <row r="42" spans="1:23" s="11" customFormat="1" ht="19">
      <c r="A42" s="29"/>
      <c r="B42" s="22"/>
      <c r="C42" s="67"/>
      <c r="D42" s="638"/>
      <c r="E42" s="638"/>
      <c r="F42" s="639"/>
      <c r="G42" s="639"/>
      <c r="H42" s="639"/>
      <c r="I42" s="639"/>
      <c r="J42" s="639"/>
      <c r="K42" s="639"/>
      <c r="L42" s="639"/>
      <c r="M42" s="639"/>
      <c r="N42" s="640"/>
      <c r="O42" s="644" t="str">
        <f t="shared" si="8"/>
        <v/>
      </c>
      <c r="P42" s="24"/>
      <c r="Q42" s="21"/>
      <c r="R42" s="23" t="s">
        <v>41</v>
      </c>
      <c r="S42" s="323"/>
      <c r="T42" s="323"/>
      <c r="U42" s="323"/>
      <c r="V42" s="323"/>
      <c r="W42" s="215" t="str">
        <f t="shared" si="9"/>
        <v/>
      </c>
    </row>
    <row r="43" spans="1:23" s="11" customFormat="1" ht="19">
      <c r="A43" s="29"/>
      <c r="B43" s="22"/>
      <c r="C43" s="67"/>
      <c r="D43" s="638"/>
      <c r="E43" s="638"/>
      <c r="F43" s="639"/>
      <c r="G43" s="639"/>
      <c r="H43" s="639"/>
      <c r="I43" s="639"/>
      <c r="J43" s="639"/>
      <c r="K43" s="639"/>
      <c r="L43" s="639"/>
      <c r="M43" s="639"/>
      <c r="N43" s="640"/>
      <c r="O43" s="644" t="str">
        <f t="shared" si="8"/>
        <v/>
      </c>
      <c r="P43" s="24"/>
      <c r="Q43" s="21"/>
      <c r="R43" s="23" t="s">
        <v>41</v>
      </c>
      <c r="S43" s="323"/>
      <c r="T43" s="323"/>
      <c r="U43" s="323"/>
      <c r="V43" s="323"/>
      <c r="W43" s="215" t="str">
        <f t="shared" si="9"/>
        <v/>
      </c>
    </row>
    <row r="44" spans="1:23" s="11" customFormat="1" ht="19">
      <c r="A44" s="29"/>
      <c r="B44" s="22"/>
      <c r="C44" s="67"/>
      <c r="D44" s="638"/>
      <c r="E44" s="638"/>
      <c r="F44" s="639"/>
      <c r="G44" s="639"/>
      <c r="H44" s="639"/>
      <c r="I44" s="639"/>
      <c r="J44" s="639"/>
      <c r="K44" s="639"/>
      <c r="L44" s="639"/>
      <c r="M44" s="639"/>
      <c r="N44" s="640"/>
      <c r="O44" s="644" t="str">
        <f t="shared" si="8"/>
        <v/>
      </c>
      <c r="P44" s="24"/>
      <c r="Q44" s="21"/>
      <c r="R44" s="23" t="s">
        <v>41</v>
      </c>
      <c r="S44" s="323"/>
      <c r="T44" s="323"/>
      <c r="U44" s="323"/>
      <c r="V44" s="323"/>
      <c r="W44" s="215" t="str">
        <f t="shared" si="9"/>
        <v/>
      </c>
    </row>
    <row r="45" spans="1:23" ht="19">
      <c r="A45" s="28"/>
      <c r="B45" s="16"/>
      <c r="C45" s="847" t="s">
        <v>42</v>
      </c>
      <c r="D45" s="635"/>
      <c r="E45" s="631"/>
      <c r="F45" s="632"/>
      <c r="G45" s="632"/>
      <c r="H45" s="632"/>
      <c r="I45" s="632"/>
      <c r="J45" s="632"/>
      <c r="K45" s="632"/>
      <c r="L45" s="632"/>
      <c r="M45" s="632"/>
      <c r="N45" s="633"/>
      <c r="O45" s="634"/>
      <c r="P45" s="19"/>
      <c r="R45" s="886" t="s">
        <v>42</v>
      </c>
      <c r="S45" s="887">
        <f>SUM(F45:G52)</f>
        <v>0</v>
      </c>
      <c r="T45" s="887">
        <f>SUM(H45:I52)</f>
        <v>0</v>
      </c>
      <c r="U45" s="887">
        <f>SUM(J45:K52)</f>
        <v>0</v>
      </c>
      <c r="V45" s="887">
        <f>SUM(L45:M52)</f>
        <v>0</v>
      </c>
      <c r="W45" s="888" t="str">
        <f>IF(SUM(S45:V45)=0,"",SUM(S45:V45))</f>
        <v/>
      </c>
    </row>
    <row r="46" spans="1:23" s="11" customFormat="1" ht="18.75" hidden="1" customHeight="1">
      <c r="A46" s="29"/>
      <c r="B46" s="22"/>
      <c r="C46" s="67"/>
      <c r="D46" s="636"/>
      <c r="E46" s="636"/>
      <c r="F46" s="637"/>
      <c r="G46" s="637"/>
      <c r="H46" s="637"/>
      <c r="I46" s="637"/>
      <c r="J46" s="637"/>
      <c r="K46" s="637"/>
      <c r="L46" s="637"/>
      <c r="M46" s="637"/>
      <c r="N46" s="636"/>
      <c r="O46" s="644" t="str">
        <f t="shared" ref="O46:O51" si="10">IF(SUM(F46:M46)=0,"",SUM(F46:M46))</f>
        <v/>
      </c>
      <c r="P46" s="24"/>
      <c r="Q46" s="21"/>
      <c r="R46" s="23" t="s">
        <v>42</v>
      </c>
      <c r="S46" s="215"/>
      <c r="T46" s="215"/>
      <c r="U46" s="215"/>
      <c r="V46" s="215"/>
      <c r="W46" s="215" t="str">
        <f>IF(SUM(F46:M46)=0,"",SUM(F46:M46))</f>
        <v/>
      </c>
    </row>
    <row r="47" spans="1:23" s="11" customFormat="1" ht="19">
      <c r="A47" s="29"/>
      <c r="B47" s="22"/>
      <c r="C47" s="67"/>
      <c r="D47" s="638"/>
      <c r="E47" s="638"/>
      <c r="F47" s="639"/>
      <c r="G47" s="639"/>
      <c r="H47" s="639"/>
      <c r="I47" s="639"/>
      <c r="J47" s="639"/>
      <c r="K47" s="639"/>
      <c r="L47" s="639"/>
      <c r="M47" s="639"/>
      <c r="N47" s="640"/>
      <c r="O47" s="644" t="str">
        <f t="shared" si="10"/>
        <v/>
      </c>
      <c r="P47" s="24"/>
      <c r="Q47" s="21"/>
      <c r="R47" s="23" t="s">
        <v>42</v>
      </c>
      <c r="S47" s="323"/>
      <c r="T47" s="323"/>
      <c r="U47" s="323"/>
      <c r="V47" s="323"/>
      <c r="W47" s="215" t="str">
        <f t="shared" ref="W47:W51" si="11">IF(SUM(F47:M47)=0,"",SUM(F47:M47))</f>
        <v/>
      </c>
    </row>
    <row r="48" spans="1:23" s="11" customFormat="1" ht="19">
      <c r="A48" s="29"/>
      <c r="B48" s="22"/>
      <c r="C48" s="67"/>
      <c r="D48" s="638"/>
      <c r="E48" s="638"/>
      <c r="F48" s="639"/>
      <c r="G48" s="639"/>
      <c r="H48" s="639"/>
      <c r="I48" s="639"/>
      <c r="J48" s="639"/>
      <c r="K48" s="639"/>
      <c r="L48" s="639"/>
      <c r="M48" s="639"/>
      <c r="N48" s="640"/>
      <c r="O48" s="644" t="str">
        <f t="shared" si="10"/>
        <v/>
      </c>
      <c r="P48" s="24"/>
      <c r="Q48" s="21"/>
      <c r="R48" s="23" t="s">
        <v>42</v>
      </c>
      <c r="S48" s="323"/>
      <c r="T48" s="323"/>
      <c r="U48" s="323"/>
      <c r="V48" s="323"/>
      <c r="W48" s="215" t="str">
        <f t="shared" si="11"/>
        <v/>
      </c>
    </row>
    <row r="49" spans="1:23" s="11" customFormat="1" ht="19">
      <c r="A49" s="29"/>
      <c r="B49" s="22"/>
      <c r="C49" s="67"/>
      <c r="D49" s="638"/>
      <c r="E49" s="638"/>
      <c r="F49" s="639"/>
      <c r="G49" s="639"/>
      <c r="H49" s="639"/>
      <c r="I49" s="639"/>
      <c r="J49" s="639"/>
      <c r="K49" s="639"/>
      <c r="L49" s="639"/>
      <c r="M49" s="639"/>
      <c r="N49" s="640"/>
      <c r="O49" s="644" t="str">
        <f t="shared" si="10"/>
        <v/>
      </c>
      <c r="P49" s="24"/>
      <c r="Q49" s="21"/>
      <c r="R49" s="23" t="s">
        <v>42</v>
      </c>
      <c r="S49" s="323"/>
      <c r="T49" s="323"/>
      <c r="U49" s="323"/>
      <c r="V49" s="323"/>
      <c r="W49" s="215" t="str">
        <f t="shared" si="11"/>
        <v/>
      </c>
    </row>
    <row r="50" spans="1:23" s="11" customFormat="1" ht="19">
      <c r="A50" s="29"/>
      <c r="B50" s="22"/>
      <c r="C50" s="67"/>
      <c r="D50" s="638"/>
      <c r="E50" s="638"/>
      <c r="F50" s="639"/>
      <c r="G50" s="639"/>
      <c r="H50" s="639"/>
      <c r="I50" s="639"/>
      <c r="J50" s="639"/>
      <c r="K50" s="639"/>
      <c r="L50" s="639"/>
      <c r="M50" s="639"/>
      <c r="N50" s="640"/>
      <c r="O50" s="644" t="str">
        <f t="shared" si="10"/>
        <v/>
      </c>
      <c r="P50" s="24"/>
      <c r="Q50" s="21"/>
      <c r="R50" s="23" t="s">
        <v>42</v>
      </c>
      <c r="S50" s="323"/>
      <c r="T50" s="323"/>
      <c r="U50" s="323"/>
      <c r="V50" s="323"/>
      <c r="W50" s="215" t="str">
        <f t="shared" si="11"/>
        <v/>
      </c>
    </row>
    <row r="51" spans="1:23" s="11" customFormat="1" ht="19">
      <c r="A51" s="29"/>
      <c r="B51" s="22"/>
      <c r="C51" s="67"/>
      <c r="D51" s="638"/>
      <c r="E51" s="638"/>
      <c r="F51" s="639"/>
      <c r="G51" s="639"/>
      <c r="H51" s="639"/>
      <c r="I51" s="639"/>
      <c r="J51" s="639"/>
      <c r="K51" s="639"/>
      <c r="L51" s="639"/>
      <c r="M51" s="639"/>
      <c r="N51" s="640"/>
      <c r="O51" s="644" t="str">
        <f t="shared" si="10"/>
        <v/>
      </c>
      <c r="P51" s="24"/>
      <c r="Q51" s="21"/>
      <c r="R51" s="23" t="s">
        <v>42</v>
      </c>
      <c r="S51" s="323"/>
      <c r="T51" s="323"/>
      <c r="U51" s="323"/>
      <c r="V51" s="323"/>
      <c r="W51" s="215" t="str">
        <f t="shared" si="11"/>
        <v/>
      </c>
    </row>
    <row r="52" spans="1:23" ht="19">
      <c r="A52" s="28"/>
      <c r="B52" s="16"/>
      <c r="C52" s="847" t="s">
        <v>43</v>
      </c>
      <c r="D52" s="635"/>
      <c r="E52" s="631"/>
      <c r="F52" s="632"/>
      <c r="G52" s="632"/>
      <c r="H52" s="632"/>
      <c r="I52" s="632"/>
      <c r="J52" s="632"/>
      <c r="K52" s="632"/>
      <c r="L52" s="632"/>
      <c r="M52" s="632"/>
      <c r="N52" s="633"/>
      <c r="O52" s="634"/>
      <c r="P52" s="19"/>
      <c r="R52" s="886" t="s">
        <v>43</v>
      </c>
      <c r="S52" s="887">
        <f>SUM(F52:G59)</f>
        <v>0</v>
      </c>
      <c r="T52" s="887">
        <f>SUM(H52:I59)</f>
        <v>0</v>
      </c>
      <c r="U52" s="887">
        <f>SUM(J52:K59)</f>
        <v>0</v>
      </c>
      <c r="V52" s="887">
        <f>SUM(L52:M59)</f>
        <v>0</v>
      </c>
      <c r="W52" s="888" t="str">
        <f>IF(SUM(S52:V52)=0,"",SUM(S52:V52))</f>
        <v/>
      </c>
    </row>
    <row r="53" spans="1:23" s="11" customFormat="1" ht="18.75" hidden="1" customHeight="1">
      <c r="A53" s="29"/>
      <c r="B53" s="22"/>
      <c r="C53" s="67"/>
      <c r="D53" s="636"/>
      <c r="E53" s="636"/>
      <c r="F53" s="637"/>
      <c r="G53" s="637"/>
      <c r="H53" s="637"/>
      <c r="I53" s="637"/>
      <c r="J53" s="637"/>
      <c r="K53" s="637"/>
      <c r="L53" s="637"/>
      <c r="M53" s="637"/>
      <c r="N53" s="636"/>
      <c r="O53" s="644" t="str">
        <f t="shared" ref="O53:O58" si="12">IF(SUM(F53:M53)=0,"",SUM(F53:M53))</f>
        <v/>
      </c>
      <c r="P53" s="24"/>
      <c r="Q53" s="21"/>
      <c r="R53" s="23" t="s">
        <v>43</v>
      </c>
      <c r="S53" s="215"/>
      <c r="T53" s="215"/>
      <c r="U53" s="215"/>
      <c r="V53" s="215"/>
      <c r="W53" s="215" t="str">
        <f>IF(SUM(F53:M53)=0,"",SUM(F53:M53))</f>
        <v/>
      </c>
    </row>
    <row r="54" spans="1:23" s="11" customFormat="1" ht="19">
      <c r="A54" s="29"/>
      <c r="B54" s="22"/>
      <c r="C54" s="67"/>
      <c r="D54" s="638"/>
      <c r="E54" s="638"/>
      <c r="F54" s="639"/>
      <c r="G54" s="639"/>
      <c r="H54" s="639"/>
      <c r="I54" s="639"/>
      <c r="J54" s="639"/>
      <c r="K54" s="639"/>
      <c r="L54" s="639"/>
      <c r="M54" s="639"/>
      <c r="N54" s="640"/>
      <c r="O54" s="644" t="str">
        <f t="shared" si="12"/>
        <v/>
      </c>
      <c r="P54" s="24"/>
      <c r="Q54" s="21"/>
      <c r="R54" s="23" t="s">
        <v>43</v>
      </c>
      <c r="S54" s="323"/>
      <c r="T54" s="323"/>
      <c r="U54" s="323"/>
      <c r="V54" s="323"/>
      <c r="W54" s="215" t="str">
        <f t="shared" ref="W54:W58" si="13">IF(SUM(F54:M54)=0,"",SUM(F54:M54))</f>
        <v/>
      </c>
    </row>
    <row r="55" spans="1:23" s="11" customFormat="1" ht="19">
      <c r="A55" s="29"/>
      <c r="B55" s="22"/>
      <c r="C55" s="67"/>
      <c r="D55" s="638"/>
      <c r="E55" s="638"/>
      <c r="F55" s="639"/>
      <c r="G55" s="639"/>
      <c r="H55" s="639"/>
      <c r="I55" s="639"/>
      <c r="J55" s="639"/>
      <c r="K55" s="639"/>
      <c r="L55" s="639"/>
      <c r="M55" s="639"/>
      <c r="N55" s="640"/>
      <c r="O55" s="644" t="str">
        <f t="shared" si="12"/>
        <v/>
      </c>
      <c r="P55" s="24"/>
      <c r="Q55" s="21"/>
      <c r="R55" s="23" t="s">
        <v>43</v>
      </c>
      <c r="S55" s="323"/>
      <c r="T55" s="323"/>
      <c r="U55" s="323"/>
      <c r="V55" s="323"/>
      <c r="W55" s="215" t="str">
        <f t="shared" si="13"/>
        <v/>
      </c>
    </row>
    <row r="56" spans="1:23" s="11" customFormat="1" ht="19">
      <c r="A56" s="29"/>
      <c r="B56" s="22"/>
      <c r="C56" s="67"/>
      <c r="D56" s="638"/>
      <c r="E56" s="638"/>
      <c r="F56" s="639"/>
      <c r="G56" s="639"/>
      <c r="H56" s="639"/>
      <c r="I56" s="639"/>
      <c r="J56" s="639"/>
      <c r="K56" s="639"/>
      <c r="L56" s="639"/>
      <c r="M56" s="639"/>
      <c r="N56" s="640"/>
      <c r="O56" s="644" t="str">
        <f t="shared" si="12"/>
        <v/>
      </c>
      <c r="P56" s="24"/>
      <c r="Q56" s="21"/>
      <c r="R56" s="23" t="s">
        <v>43</v>
      </c>
      <c r="S56" s="323"/>
      <c r="T56" s="323"/>
      <c r="U56" s="323"/>
      <c r="V56" s="323"/>
      <c r="W56" s="215" t="str">
        <f t="shared" si="13"/>
        <v/>
      </c>
    </row>
    <row r="57" spans="1:23" s="11" customFormat="1" ht="19">
      <c r="A57" s="29"/>
      <c r="B57" s="22"/>
      <c r="C57" s="67"/>
      <c r="D57" s="638"/>
      <c r="E57" s="638"/>
      <c r="F57" s="639"/>
      <c r="G57" s="639"/>
      <c r="H57" s="639"/>
      <c r="I57" s="639"/>
      <c r="J57" s="639"/>
      <c r="K57" s="639"/>
      <c r="L57" s="639"/>
      <c r="M57" s="639"/>
      <c r="N57" s="640"/>
      <c r="O57" s="644" t="str">
        <f t="shared" si="12"/>
        <v/>
      </c>
      <c r="P57" s="24"/>
      <c r="Q57" s="21"/>
      <c r="R57" s="23" t="s">
        <v>43</v>
      </c>
      <c r="S57" s="323"/>
      <c r="T57" s="323"/>
      <c r="U57" s="323"/>
      <c r="V57" s="323"/>
      <c r="W57" s="215" t="str">
        <f t="shared" si="13"/>
        <v/>
      </c>
    </row>
    <row r="58" spans="1:23" s="11" customFormat="1" ht="19">
      <c r="A58" s="29"/>
      <c r="B58" s="22"/>
      <c r="C58" s="67"/>
      <c r="D58" s="638"/>
      <c r="E58" s="638"/>
      <c r="F58" s="639"/>
      <c r="G58" s="639"/>
      <c r="H58" s="639"/>
      <c r="I58" s="639"/>
      <c r="J58" s="639"/>
      <c r="K58" s="639"/>
      <c r="L58" s="639"/>
      <c r="M58" s="639"/>
      <c r="N58" s="640"/>
      <c r="O58" s="644" t="str">
        <f t="shared" si="12"/>
        <v/>
      </c>
      <c r="P58" s="24"/>
      <c r="Q58" s="21"/>
      <c r="R58" s="23" t="s">
        <v>43</v>
      </c>
      <c r="S58" s="323"/>
      <c r="T58" s="323"/>
      <c r="U58" s="323"/>
      <c r="V58" s="323"/>
      <c r="W58" s="215" t="str">
        <f t="shared" si="13"/>
        <v/>
      </c>
    </row>
    <row r="59" spans="1:23" ht="19">
      <c r="A59" s="28"/>
      <c r="B59" s="16"/>
      <c r="C59" s="848" t="s">
        <v>21</v>
      </c>
      <c r="D59" s="635"/>
      <c r="E59" s="631"/>
      <c r="F59" s="632"/>
      <c r="G59" s="632"/>
      <c r="H59" s="632"/>
      <c r="I59" s="632"/>
      <c r="J59" s="632"/>
      <c r="K59" s="632"/>
      <c r="L59" s="632"/>
      <c r="M59" s="632"/>
      <c r="N59" s="633"/>
      <c r="O59" s="634"/>
      <c r="P59" s="19"/>
      <c r="R59" s="886" t="s">
        <v>21</v>
      </c>
      <c r="S59" s="887">
        <f ca="1">SUM(F59:G66)-SUM(F66:G66)</f>
        <v>0</v>
      </c>
      <c r="T59" s="887">
        <f ca="1">SUM(H59:I66)-SUM(H66:I66)</f>
        <v>0</v>
      </c>
      <c r="U59" s="887">
        <f ca="1">SUM(J59:K66)-SUM(J66:K66)</f>
        <v>0</v>
      </c>
      <c r="V59" s="887">
        <f ca="1">SUM(L59:M66)-SUM(L66:M66)</f>
        <v>0</v>
      </c>
      <c r="W59" s="888" t="str">
        <f ca="1">IF(SUM(S59:V59)=0,"",SUM(S59:V59))</f>
        <v/>
      </c>
    </row>
    <row r="60" spans="1:23" s="11" customFormat="1" ht="19" hidden="1">
      <c r="A60" s="29"/>
      <c r="B60" s="22"/>
      <c r="C60" s="67"/>
      <c r="D60" s="636"/>
      <c r="E60" s="636"/>
      <c r="F60" s="637"/>
      <c r="G60" s="637"/>
      <c r="H60" s="637"/>
      <c r="I60" s="637"/>
      <c r="J60" s="637"/>
      <c r="K60" s="637"/>
      <c r="L60" s="637"/>
      <c r="M60" s="637"/>
      <c r="N60" s="636"/>
      <c r="O60" s="644" t="str">
        <f t="shared" ref="O60:O65" si="14">IF(SUM(F60:M60)=0,"",SUM(F60:M60))</f>
        <v/>
      </c>
      <c r="P60" s="24"/>
      <c r="Q60" s="21"/>
      <c r="R60" s="23" t="s">
        <v>21</v>
      </c>
      <c r="S60" s="215"/>
      <c r="T60" s="215"/>
      <c r="U60" s="215"/>
      <c r="V60" s="215"/>
      <c r="W60" s="215" t="str">
        <f>IF(SUM(F60:M60)=0,"",SUM(F60:M60))</f>
        <v/>
      </c>
    </row>
    <row r="61" spans="1:23" s="11" customFormat="1" ht="19">
      <c r="A61" s="29"/>
      <c r="B61" s="22"/>
      <c r="C61" s="67"/>
      <c r="D61" s="638"/>
      <c r="E61" s="638"/>
      <c r="F61" s="639"/>
      <c r="G61" s="639"/>
      <c r="H61" s="639"/>
      <c r="I61" s="639"/>
      <c r="J61" s="639"/>
      <c r="K61" s="639"/>
      <c r="L61" s="639"/>
      <c r="M61" s="639"/>
      <c r="N61" s="640"/>
      <c r="O61" s="644" t="str">
        <f t="shared" si="14"/>
        <v/>
      </c>
      <c r="P61" s="24"/>
      <c r="Q61" s="21"/>
      <c r="R61" s="23" t="s">
        <v>21</v>
      </c>
      <c r="S61" s="323"/>
      <c r="T61" s="323"/>
      <c r="U61" s="323"/>
      <c r="V61" s="323"/>
      <c r="W61" s="215" t="str">
        <f t="shared" ref="W61:W65" si="15">IF(SUM(F61:M61)=0,"",SUM(F61:M61))</f>
        <v/>
      </c>
    </row>
    <row r="62" spans="1:23" s="11" customFormat="1" ht="19">
      <c r="A62" s="29"/>
      <c r="B62" s="22"/>
      <c r="C62" s="67"/>
      <c r="D62" s="638"/>
      <c r="E62" s="638"/>
      <c r="F62" s="639"/>
      <c r="G62" s="639"/>
      <c r="H62" s="639"/>
      <c r="I62" s="639"/>
      <c r="J62" s="639"/>
      <c r="K62" s="639"/>
      <c r="L62" s="639"/>
      <c r="M62" s="639"/>
      <c r="N62" s="640"/>
      <c r="O62" s="644" t="str">
        <f t="shared" si="14"/>
        <v/>
      </c>
      <c r="P62" s="24"/>
      <c r="Q62" s="21"/>
      <c r="R62" s="23" t="s">
        <v>21</v>
      </c>
      <c r="S62" s="323"/>
      <c r="T62" s="323"/>
      <c r="U62" s="323"/>
      <c r="V62" s="323"/>
      <c r="W62" s="215" t="str">
        <f t="shared" si="15"/>
        <v/>
      </c>
    </row>
    <row r="63" spans="1:23" s="11" customFormat="1" ht="19">
      <c r="A63" s="29"/>
      <c r="B63" s="22"/>
      <c r="C63" s="67"/>
      <c r="D63" s="638"/>
      <c r="E63" s="638"/>
      <c r="F63" s="639"/>
      <c r="G63" s="639"/>
      <c r="H63" s="639"/>
      <c r="I63" s="639"/>
      <c r="J63" s="639"/>
      <c r="K63" s="639"/>
      <c r="L63" s="639"/>
      <c r="M63" s="639"/>
      <c r="N63" s="640"/>
      <c r="O63" s="644" t="str">
        <f t="shared" si="14"/>
        <v/>
      </c>
      <c r="P63" s="24"/>
      <c r="Q63" s="21"/>
      <c r="R63" s="23" t="s">
        <v>21</v>
      </c>
      <c r="S63" s="323"/>
      <c r="T63" s="323"/>
      <c r="U63" s="323"/>
      <c r="V63" s="323"/>
      <c r="W63" s="215" t="str">
        <f t="shared" si="15"/>
        <v/>
      </c>
    </row>
    <row r="64" spans="1:23" s="11" customFormat="1" ht="19">
      <c r="A64" s="29"/>
      <c r="B64" s="22"/>
      <c r="C64" s="67"/>
      <c r="D64" s="638"/>
      <c r="E64" s="638"/>
      <c r="F64" s="639"/>
      <c r="G64" s="639"/>
      <c r="H64" s="639"/>
      <c r="I64" s="639"/>
      <c r="J64" s="639"/>
      <c r="K64" s="639"/>
      <c r="L64" s="639"/>
      <c r="M64" s="639"/>
      <c r="N64" s="640"/>
      <c r="O64" s="644" t="str">
        <f t="shared" si="14"/>
        <v/>
      </c>
      <c r="P64" s="24"/>
      <c r="Q64" s="21"/>
      <c r="R64" s="23" t="s">
        <v>21</v>
      </c>
      <c r="S64" s="323"/>
      <c r="T64" s="323"/>
      <c r="U64" s="323"/>
      <c r="V64" s="323"/>
      <c r="W64" s="215" t="str">
        <f t="shared" si="15"/>
        <v/>
      </c>
    </row>
    <row r="65" spans="1:24" s="11" customFormat="1" ht="19">
      <c r="A65" s="29"/>
      <c r="B65" s="22"/>
      <c r="C65" s="67"/>
      <c r="D65" s="641"/>
      <c r="E65" s="641"/>
      <c r="F65" s="642"/>
      <c r="G65" s="642"/>
      <c r="H65" s="642"/>
      <c r="I65" s="642"/>
      <c r="J65" s="642"/>
      <c r="K65" s="642"/>
      <c r="L65" s="642"/>
      <c r="M65" s="642"/>
      <c r="N65" s="643"/>
      <c r="O65" s="645" t="str">
        <f t="shared" si="14"/>
        <v/>
      </c>
      <c r="P65" s="24"/>
      <c r="Q65" s="21"/>
      <c r="R65" s="23" t="s">
        <v>21</v>
      </c>
      <c r="S65" s="323"/>
      <c r="T65" s="323"/>
      <c r="U65" s="323"/>
      <c r="V65" s="323"/>
      <c r="W65" s="215" t="str">
        <f t="shared" si="15"/>
        <v/>
      </c>
    </row>
    <row r="66" spans="1:24" ht="30.65" customHeight="1">
      <c r="A66" s="31"/>
      <c r="B66" s="32"/>
      <c r="C66" s="1074" t="s">
        <v>26</v>
      </c>
      <c r="D66" s="1075"/>
      <c r="E66" s="407"/>
      <c r="F66" s="646">
        <f ca="1">SUM(OFFSET(F$10,0,0,ROW()-ROW(F$10),1))</f>
        <v>0</v>
      </c>
      <c r="G66" s="646">
        <f t="shared" ref="G66:M66" ca="1" si="16">SUM(OFFSET(G$10,0,0,ROW()-ROW(G$10),1))</f>
        <v>0</v>
      </c>
      <c r="H66" s="646">
        <f t="shared" ca="1" si="16"/>
        <v>0</v>
      </c>
      <c r="I66" s="646">
        <f t="shared" ca="1" si="16"/>
        <v>0</v>
      </c>
      <c r="J66" s="646">
        <f t="shared" ca="1" si="16"/>
        <v>0</v>
      </c>
      <c r="K66" s="646">
        <f t="shared" ca="1" si="16"/>
        <v>0</v>
      </c>
      <c r="L66" s="646">
        <f t="shared" ca="1" si="16"/>
        <v>0</v>
      </c>
      <c r="M66" s="646">
        <f t="shared" ca="1" si="16"/>
        <v>0</v>
      </c>
      <c r="N66" s="408"/>
      <c r="O66" s="646">
        <f ca="1">SUM(OFFSET(O$10,0,0,ROW(O$66)-ROW(O$10),1))</f>
        <v>0</v>
      </c>
      <c r="P66" s="19"/>
      <c r="R66" s="415"/>
      <c r="S66" s="415"/>
      <c r="T66" s="415"/>
      <c r="U66" s="415"/>
      <c r="V66" s="415"/>
      <c r="W66" s="414">
        <f ca="1">SUM(W10,W17,W24,W31,W38,W45,W52,W59)</f>
        <v>0</v>
      </c>
      <c r="X66" s="31"/>
    </row>
    <row r="67" spans="1:24" ht="48" customHeight="1">
      <c r="A67" s="31"/>
      <c r="B67" s="32"/>
      <c r="C67" s="1074" t="s">
        <v>151</v>
      </c>
      <c r="D67" s="1075"/>
      <c r="E67" s="407"/>
      <c r="F67" s="647">
        <f t="shared" ref="F67:M67" ca="1" si="17">IFERROR(F66/$O$66,0)</f>
        <v>0</v>
      </c>
      <c r="G67" s="647">
        <f t="shared" ca="1" si="17"/>
        <v>0</v>
      </c>
      <c r="H67" s="647">
        <f t="shared" ca="1" si="17"/>
        <v>0</v>
      </c>
      <c r="I67" s="647">
        <f t="shared" ca="1" si="17"/>
        <v>0</v>
      </c>
      <c r="J67" s="647">
        <f t="shared" ca="1" si="17"/>
        <v>0</v>
      </c>
      <c r="K67" s="647">
        <f t="shared" ca="1" si="17"/>
        <v>0</v>
      </c>
      <c r="L67" s="647">
        <f t="shared" ca="1" si="17"/>
        <v>0</v>
      </c>
      <c r="M67" s="647">
        <f t="shared" ca="1" si="17"/>
        <v>0</v>
      </c>
      <c r="N67" s="408"/>
      <c r="O67" s="648">
        <f ca="1">IFERROR(O66/SUM(F66:M66),0)</f>
        <v>0</v>
      </c>
      <c r="P67" s="19"/>
      <c r="R67" s="415"/>
      <c r="S67" s="415"/>
      <c r="T67" s="415"/>
      <c r="U67" s="415"/>
      <c r="V67" s="415"/>
      <c r="W67" s="889">
        <f ca="1">IFERROR(O66/SUM(F66:M66),0)</f>
        <v>0</v>
      </c>
    </row>
    <row r="68" spans="1:24" ht="12.65" customHeight="1">
      <c r="B68" s="46"/>
      <c r="C68" s="26"/>
      <c r="D68" s="26"/>
      <c r="E68" s="26"/>
      <c r="F68" s="26"/>
      <c r="G68" s="26"/>
      <c r="H68" s="26"/>
      <c r="I68" s="26"/>
      <c r="J68" s="26"/>
      <c r="K68" s="26"/>
      <c r="L68" s="26"/>
      <c r="M68" s="26"/>
      <c r="N68" s="26"/>
      <c r="O68" s="26"/>
      <c r="P68" s="27"/>
    </row>
    <row r="71" spans="1:24">
      <c r="D71" s="13" t="s">
        <v>562</v>
      </c>
      <c r="F71" s="50"/>
      <c r="G71" s="50"/>
      <c r="H71" s="47"/>
    </row>
    <row r="72" spans="1:24" ht="19">
      <c r="C72" s="412"/>
      <c r="D72" s="411">
        <f ca="1">SUM(G66,I66,K66,M66)</f>
        <v>0</v>
      </c>
      <c r="F72" s="50"/>
      <c r="G72" s="50"/>
      <c r="H72" s="47"/>
    </row>
    <row r="73" spans="1:24">
      <c r="D73" s="51"/>
      <c r="F73" s="50"/>
      <c r="G73" s="50"/>
      <c r="H73" s="47"/>
    </row>
  </sheetData>
  <sheetProtection algorithmName="SHA-512" hashValue="GXddBIP8OrCsxvpjEWA+j/ei+Mwxpwdoa2aJjBin4jitsAxzoJQ0yP0Ww1H9pqv2GF2KNRjQYCuscljOqYvd+w==" saltValue="fq60e5jchkRv3svSQg1uVg==" spinCount="100000" sheet="1" formatCells="0" insertRows="0" deleteRows="0"/>
  <mergeCells count="6">
    <mergeCell ref="L8:M8"/>
    <mergeCell ref="C67:D67"/>
    <mergeCell ref="C66:D66"/>
    <mergeCell ref="F8:G8"/>
    <mergeCell ref="H8:I8"/>
    <mergeCell ref="J8:K8"/>
  </mergeCells>
  <phoneticPr fontId="1"/>
  <conditionalFormatting sqref="C9">
    <cfRule type="expression" dxfId="355" priority="199">
      <formula>$C$10=""</formula>
    </cfRule>
  </conditionalFormatting>
  <conditionalFormatting sqref="C10:O65">
    <cfRule type="expression" dxfId="354" priority="4">
      <formula>$R10=""</formula>
    </cfRule>
  </conditionalFormatting>
  <conditionalFormatting sqref="D6">
    <cfRule type="expression" dxfId="353" priority="9">
      <formula>$C6=""</formula>
    </cfRule>
    <cfRule type="expression" dxfId="352" priority="10">
      <formula>$C6="*"</formula>
    </cfRule>
  </conditionalFormatting>
  <conditionalFormatting sqref="D72">
    <cfRule type="cellIs" dxfId="351" priority="2" operator="equal">
      <formula>0</formula>
    </cfRule>
  </conditionalFormatting>
  <conditionalFormatting sqref="D11:N65">
    <cfRule type="notContainsBlanks" dxfId="350" priority="5">
      <formula>LEN(TRIM(D11))&gt;0</formula>
    </cfRule>
  </conditionalFormatting>
  <conditionalFormatting sqref="O11:O16 O18:O23 O25:O30 O32:O37 O39:O44 O46:O51 O53:O58 O60:O67">
    <cfRule type="expression" dxfId="349" priority="6">
      <formula>$O11&lt;&gt;$W11</formula>
    </cfRule>
  </conditionalFormatting>
  <conditionalFormatting sqref="O11:O65">
    <cfRule type="notContainsBlanks" dxfId="348" priority="7">
      <formula>LEN(TRIM(O11))&gt;0</formula>
    </cfRule>
  </conditionalFormatting>
  <conditionalFormatting sqref="O66">
    <cfRule type="expression" dxfId="347" priority="1">
      <formula>$O$66&lt;&gt;$W$66</formula>
    </cfRule>
  </conditionalFormatting>
  <conditionalFormatting sqref="O66:O67 F66:M67">
    <cfRule type="cellIs" dxfId="346" priority="3" operator="notEqual">
      <formula>0</formula>
    </cfRule>
  </conditionalFormatting>
  <dataValidations count="4">
    <dataValidation operator="greaterThanOrEqual" allowBlank="1" showInputMessage="1" showErrorMessage="1" error="数値で入力してください" sqref="F67:M67" xr:uid="{716E11DF-A029-42D2-88E4-B55D834B6947}"/>
    <dataValidation type="decimal" operator="greaterThanOrEqual" allowBlank="1" showInputMessage="1" showErrorMessage="1" error="数値で入力してください" sqref="F6:M6 F10:M65" xr:uid="{F8F4AAC5-FF64-4EBC-9D31-F687E2F29985}">
      <formula1>0</formula1>
    </dataValidation>
    <dataValidation type="textLength" operator="lessThan" allowBlank="1" showInputMessage="1" showErrorMessage="1" sqref="C10:C65" xr:uid="{093E2B4A-8B33-457F-A02F-3A6CB0765A70}">
      <formula1>1</formula1>
    </dataValidation>
    <dataValidation operator="lessThan" allowBlank="1" showInputMessage="1" showErrorMessage="1" sqref="C6" xr:uid="{9257C782-D56A-45C2-91FE-AE27EC17622D}"/>
  </dataValidations>
  <pageMargins left="0.7" right="0.7" top="0.75" bottom="0.75" header="0.3" footer="0.3"/>
  <pageSetup paperSize="8" scale="48" orientation="landscape" r:id="rId1"/>
  <customProperties>
    <customPr name="EpmWorksheetKeyString_GU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3F15E-541F-4773-9BD0-79B59770B341}">
  <sheetPr codeName="Sheet28">
    <tabColor theme="7" tint="0.79998168889431442"/>
    <pageSetUpPr fitToPage="1"/>
  </sheetPr>
  <dimension ref="A1:W74"/>
  <sheetViews>
    <sheetView showGridLines="0" zoomScaleNormal="100" zoomScaleSheetLayoutView="89" workbookViewId="0"/>
  </sheetViews>
  <sheetFormatPr defaultColWidth="9" defaultRowHeight="18"/>
  <cols>
    <col min="1" max="1" width="1.58203125" style="21" customWidth="1"/>
    <col min="2" max="2" width="5.83203125" style="21" customWidth="1"/>
    <col min="3" max="3" width="20.83203125" style="21" customWidth="1"/>
    <col min="4" max="4" width="21.75" style="21" customWidth="1"/>
    <col min="5" max="5" width="16.33203125" style="21" customWidth="1"/>
    <col min="6" max="6" width="34.33203125" style="21" customWidth="1"/>
    <col min="7" max="7" width="12.25" style="21" customWidth="1"/>
    <col min="8" max="8" width="32.33203125" style="21" customWidth="1"/>
    <col min="9" max="9" width="12.08203125" style="21" customWidth="1"/>
    <col min="10" max="10" width="0.83203125" style="21" customWidth="1"/>
    <col min="11" max="12" width="8.08203125" style="21" customWidth="1"/>
    <col min="13" max="13" width="5.83203125" style="21" hidden="1" customWidth="1"/>
    <col min="14" max="14" width="20.83203125" style="21" hidden="1" customWidth="1"/>
    <col min="15" max="15" width="21.75" style="21" hidden="1" customWidth="1"/>
    <col min="16" max="16" width="16.33203125" style="21" hidden="1" customWidth="1"/>
    <col min="17" max="17" width="34.33203125" style="21" hidden="1" customWidth="1"/>
    <col min="18" max="18" width="12.25" style="21" hidden="1" customWidth="1"/>
    <col min="19" max="19" width="32.33203125" style="21" hidden="1" customWidth="1"/>
    <col min="20" max="20" width="12.08203125" style="21" hidden="1" customWidth="1"/>
    <col min="21" max="21" width="0.83203125" style="21" hidden="1" customWidth="1"/>
    <col min="22" max="16384" width="9" style="11"/>
  </cols>
  <sheetData>
    <row r="1" spans="1:23" customFormat="1" ht="14.25" customHeight="1">
      <c r="A1" s="44" t="s">
        <v>489</v>
      </c>
      <c r="C1" s="49"/>
      <c r="D1" s="49"/>
      <c r="E1" s="49"/>
      <c r="F1" s="13"/>
      <c r="G1" s="13"/>
      <c r="H1" s="13"/>
      <c r="I1" s="13"/>
      <c r="J1" s="13"/>
      <c r="L1" s="13"/>
    </row>
    <row r="2" spans="1:23" customFormat="1" ht="21" customHeight="1">
      <c r="A2" s="13"/>
      <c r="B2" s="44" t="s">
        <v>52</v>
      </c>
      <c r="C2" s="13"/>
      <c r="D2" s="13"/>
      <c r="E2" s="13"/>
      <c r="F2" s="49"/>
      <c r="G2" s="49"/>
      <c r="H2" s="49"/>
      <c r="I2" s="49"/>
      <c r="J2" s="17"/>
      <c r="L2" s="13"/>
    </row>
    <row r="3" spans="1:23" customFormat="1" ht="69.75" customHeight="1">
      <c r="A3" s="13"/>
      <c r="B3" s="955" t="s">
        <v>369</v>
      </c>
      <c r="C3" s="955"/>
      <c r="D3" s="955"/>
      <c r="E3" s="955"/>
      <c r="F3" s="955"/>
      <c r="G3" s="955"/>
      <c r="H3" s="955"/>
      <c r="I3" s="955"/>
      <c r="J3" s="17"/>
      <c r="L3" s="13"/>
      <c r="M3" s="2"/>
    </row>
    <row r="4" spans="1:23" customFormat="1">
      <c r="A4" s="13"/>
      <c r="B4" s="955"/>
      <c r="C4" s="955"/>
      <c r="D4" s="955"/>
      <c r="E4" s="955"/>
      <c r="F4" s="955"/>
      <c r="G4" s="955"/>
      <c r="H4" s="955"/>
      <c r="I4" s="955"/>
      <c r="J4" s="17"/>
      <c r="L4" s="13"/>
      <c r="M4" s="44" t="s">
        <v>317</v>
      </c>
      <c r="N4" s="17"/>
      <c r="O4" s="17"/>
      <c r="P4" s="17"/>
      <c r="Q4" s="17"/>
      <c r="R4" s="17"/>
      <c r="S4" s="17"/>
      <c r="T4" s="17"/>
      <c r="U4" s="17"/>
    </row>
    <row r="5" spans="1:23" customFormat="1">
      <c r="A5" s="13"/>
      <c r="B5" s="14" t="s">
        <v>483</v>
      </c>
      <c r="C5" s="15"/>
      <c r="D5" s="15"/>
      <c r="E5" s="15"/>
      <c r="F5" s="15"/>
      <c r="G5" s="15"/>
      <c r="H5" s="15"/>
      <c r="I5" s="15"/>
      <c r="J5" s="30"/>
      <c r="K5" s="13"/>
      <c r="M5" s="349" t="s">
        <v>490</v>
      </c>
      <c r="N5" s="350"/>
      <c r="O5" s="350"/>
      <c r="P5" s="350"/>
      <c r="Q5" s="350"/>
      <c r="R5" s="350"/>
      <c r="S5" s="350"/>
      <c r="T5" s="350"/>
      <c r="U5" s="352"/>
    </row>
    <row r="6" spans="1:23" customFormat="1">
      <c r="A6" s="13"/>
      <c r="B6" s="16"/>
      <c r="C6" s="13"/>
      <c r="D6" s="13"/>
      <c r="E6" s="13"/>
      <c r="F6" s="13"/>
      <c r="G6" s="13"/>
      <c r="H6" s="13"/>
      <c r="I6" s="13"/>
      <c r="J6" s="19"/>
      <c r="K6" s="13"/>
      <c r="M6" s="353"/>
      <c r="N6" s="13"/>
      <c r="O6" s="13"/>
      <c r="P6" s="13"/>
      <c r="Q6" s="13"/>
      <c r="R6" s="13"/>
      <c r="S6" s="13"/>
      <c r="T6" s="13"/>
      <c r="U6" s="354"/>
    </row>
    <row r="7" spans="1:23" customFormat="1" ht="81" customHeight="1">
      <c r="A7" s="13"/>
      <c r="B7" s="16"/>
      <c r="C7" s="955" t="s">
        <v>78</v>
      </c>
      <c r="D7" s="955"/>
      <c r="E7" s="51"/>
      <c r="F7" s="50" t="s">
        <v>484</v>
      </c>
      <c r="G7" s="51"/>
      <c r="H7" s="50" t="s">
        <v>517</v>
      </c>
      <c r="I7" s="13"/>
      <c r="J7" s="19"/>
      <c r="K7" s="13"/>
      <c r="M7" s="353"/>
      <c r="N7" s="955" t="s">
        <v>78</v>
      </c>
      <c r="O7" s="955"/>
      <c r="P7" s="51"/>
      <c r="Q7" s="50" t="s">
        <v>484</v>
      </c>
      <c r="R7" s="51"/>
      <c r="S7" s="50" t="s">
        <v>517</v>
      </c>
      <c r="T7" s="13"/>
      <c r="U7" s="354"/>
    </row>
    <row r="8" spans="1:23" customFormat="1" ht="40.5" customHeight="1">
      <c r="A8" s="13"/>
      <c r="B8" s="16"/>
      <c r="C8" s="1078">
        <f ca="1">IFERROR(F8/H8,0)</f>
        <v>0</v>
      </c>
      <c r="D8" s="1078"/>
      <c r="E8" s="64" t="s">
        <v>65</v>
      </c>
      <c r="F8" s="892">
        <f ca="1">H8-'4.2電力供給状況(民生部門)'!D72</f>
        <v>0</v>
      </c>
      <c r="G8" s="64" t="s">
        <v>67</v>
      </c>
      <c r="H8" s="892">
        <f ca="1">'4.2実質ゼロ(計算結果)'!F7</f>
        <v>0</v>
      </c>
      <c r="I8" s="63" t="s">
        <v>68</v>
      </c>
      <c r="J8" s="19"/>
      <c r="K8" s="13"/>
      <c r="M8" s="353"/>
      <c r="N8" s="1079">
        <f ca="1">IFERROR(F8/H8,0)</f>
        <v>0</v>
      </c>
      <c r="O8" s="1079"/>
      <c r="P8" s="64" t="s">
        <v>65</v>
      </c>
      <c r="Q8" s="164">
        <f ca="1">H8-'4.2電力供給状況(民生部門)'!D72</f>
        <v>0</v>
      </c>
      <c r="R8" s="64" t="s">
        <v>67</v>
      </c>
      <c r="S8" s="164">
        <f ca="1">'4.2実質ゼロ(計算結果)'!F7</f>
        <v>0</v>
      </c>
      <c r="T8" s="63" t="s">
        <v>68</v>
      </c>
      <c r="U8" s="354"/>
    </row>
    <row r="9" spans="1:23" customFormat="1">
      <c r="A9" s="13"/>
      <c r="B9" s="16"/>
      <c r="C9" s="1077" t="s">
        <v>87</v>
      </c>
      <c r="D9" s="1077"/>
      <c r="E9" s="13"/>
      <c r="F9" s="13" t="s">
        <v>69</v>
      </c>
      <c r="G9" s="13"/>
      <c r="H9" s="13"/>
      <c r="I9" s="13"/>
      <c r="J9" s="19"/>
      <c r="K9" s="13"/>
      <c r="M9" s="353"/>
      <c r="N9" s="1077" t="s">
        <v>87</v>
      </c>
      <c r="O9" s="1077"/>
      <c r="P9" s="13"/>
      <c r="Q9" s="13" t="s">
        <v>69</v>
      </c>
      <c r="R9" s="13"/>
      <c r="S9" s="13"/>
      <c r="T9" s="13"/>
      <c r="U9" s="354"/>
    </row>
    <row r="10" spans="1:23" customFormat="1" ht="52.5" customHeight="1">
      <c r="A10" s="13"/>
      <c r="B10" s="16"/>
      <c r="C10" s="13"/>
      <c r="D10" s="13"/>
      <c r="E10" s="13"/>
      <c r="F10" s="955" t="s">
        <v>79</v>
      </c>
      <c r="G10" s="13"/>
      <c r="H10" s="13"/>
      <c r="I10" s="13"/>
      <c r="J10" s="19"/>
      <c r="K10" s="13"/>
      <c r="M10" s="353"/>
      <c r="N10" s="13"/>
      <c r="O10" s="13"/>
      <c r="P10" s="13"/>
      <c r="Q10" s="955" t="s">
        <v>79</v>
      </c>
      <c r="R10" s="13"/>
      <c r="S10" s="13"/>
      <c r="T10" s="13"/>
      <c r="U10" s="354"/>
    </row>
    <row r="11" spans="1:23" customFormat="1" ht="45.65" customHeight="1">
      <c r="A11" s="13"/>
      <c r="B11" s="16"/>
      <c r="C11" s="17"/>
      <c r="D11" s="17"/>
      <c r="E11" s="17"/>
      <c r="F11" s="955"/>
      <c r="G11" s="17"/>
      <c r="H11" s="17"/>
      <c r="I11" s="17"/>
      <c r="J11" s="19"/>
      <c r="K11" s="13"/>
      <c r="M11" s="353"/>
      <c r="N11" s="17"/>
      <c r="O11" s="17"/>
      <c r="P11" s="17"/>
      <c r="Q11" s="955"/>
      <c r="R11" s="17"/>
      <c r="S11" s="17"/>
      <c r="T11" s="17"/>
      <c r="U11" s="354"/>
    </row>
    <row r="12" spans="1:23" customFormat="1" ht="5.15" customHeight="1">
      <c r="A12" s="13"/>
      <c r="B12" s="46"/>
      <c r="C12" s="48"/>
      <c r="D12" s="26"/>
      <c r="E12" s="26"/>
      <c r="F12" s="26"/>
      <c r="G12" s="26"/>
      <c r="H12" s="26"/>
      <c r="I12" s="26"/>
      <c r="J12" s="27"/>
      <c r="K12" s="13"/>
      <c r="M12" s="353"/>
      <c r="N12" s="35"/>
      <c r="O12" s="13"/>
      <c r="P12" s="13"/>
      <c r="Q12" s="13"/>
      <c r="R12" s="13"/>
      <c r="S12" s="13"/>
      <c r="T12" s="13"/>
      <c r="U12" s="354"/>
    </row>
    <row r="13" spans="1:23" customFormat="1" ht="27" customHeight="1">
      <c r="A13" s="13"/>
      <c r="B13" s="13"/>
      <c r="C13" s="35"/>
      <c r="D13" s="13"/>
      <c r="E13" s="13"/>
      <c r="F13" s="13"/>
      <c r="G13" s="13"/>
      <c r="H13" s="13"/>
      <c r="I13" s="13"/>
      <c r="J13" s="13"/>
      <c r="K13" s="13"/>
      <c r="M13" s="353"/>
      <c r="N13" s="13"/>
      <c r="O13" s="13"/>
      <c r="P13" s="13"/>
      <c r="Q13" s="13"/>
      <c r="R13" s="13"/>
      <c r="S13" s="13"/>
      <c r="T13" s="13"/>
      <c r="U13" s="354"/>
      <c r="V13" s="13"/>
      <c r="W13" s="13"/>
    </row>
    <row r="14" spans="1:23" customFormat="1">
      <c r="A14" s="13"/>
      <c r="B14" s="14" t="s">
        <v>618</v>
      </c>
      <c r="C14" s="15"/>
      <c r="D14" s="15"/>
      <c r="E14" s="15"/>
      <c r="F14" s="15"/>
      <c r="G14" s="15"/>
      <c r="H14" s="15"/>
      <c r="I14" s="15"/>
      <c r="J14" s="30"/>
      <c r="K14" s="13"/>
      <c r="M14" s="353" t="s">
        <v>482</v>
      </c>
      <c r="N14" s="13"/>
      <c r="O14" s="13"/>
      <c r="P14" s="13"/>
      <c r="Q14" s="13"/>
      <c r="R14" s="13"/>
      <c r="S14" s="13"/>
      <c r="T14" s="13"/>
      <c r="U14" s="354"/>
    </row>
    <row r="15" spans="1:23" customFormat="1">
      <c r="A15" s="13"/>
      <c r="B15" s="16"/>
      <c r="C15" s="13"/>
      <c r="D15" s="13"/>
      <c r="E15" s="13"/>
      <c r="F15" s="13"/>
      <c r="G15" s="13"/>
      <c r="H15" s="13"/>
      <c r="I15" s="13"/>
      <c r="J15" s="19"/>
      <c r="K15" s="13"/>
      <c r="M15" s="353"/>
      <c r="N15" s="13"/>
      <c r="O15" s="13"/>
      <c r="P15" s="13"/>
      <c r="Q15" s="13"/>
      <c r="R15" s="13"/>
      <c r="S15" s="13"/>
      <c r="T15" s="13"/>
      <c r="U15" s="354"/>
    </row>
    <row r="16" spans="1:23" customFormat="1" ht="75" customHeight="1">
      <c r="A16" s="13"/>
      <c r="B16" s="16"/>
      <c r="C16" s="955" t="s">
        <v>78</v>
      </c>
      <c r="D16" s="955"/>
      <c r="E16" s="51"/>
      <c r="F16" s="50" t="s">
        <v>484</v>
      </c>
      <c r="G16" s="51"/>
      <c r="H16" s="50" t="s">
        <v>517</v>
      </c>
      <c r="I16" s="13"/>
      <c r="J16" s="19"/>
      <c r="K16" s="13"/>
      <c r="M16" s="353"/>
      <c r="N16" s="955" t="s">
        <v>78</v>
      </c>
      <c r="O16" s="955"/>
      <c r="P16" s="51"/>
      <c r="Q16" s="50" t="s">
        <v>484</v>
      </c>
      <c r="R16" s="51"/>
      <c r="S16" s="50" t="s">
        <v>601</v>
      </c>
      <c r="T16" s="13"/>
      <c r="U16" s="354"/>
    </row>
    <row r="17" spans="1:21" customFormat="1" ht="40.5" customHeight="1">
      <c r="A17" s="13"/>
      <c r="B17" s="16"/>
      <c r="C17" s="1078">
        <f t="shared" ref="C17" ca="1" si="0">IFERROR(F17/H17,0)</f>
        <v>0</v>
      </c>
      <c r="D17" s="1078"/>
      <c r="E17" s="64" t="s">
        <v>65</v>
      </c>
      <c r="F17" s="892">
        <f ca="1">H17-'4.3電力供給状況(民生部門電力以外)'!D53</f>
        <v>0</v>
      </c>
      <c r="G17" s="64" t="s">
        <v>67</v>
      </c>
      <c r="H17" s="892">
        <f ca="1">'4.3電力供給状況(民生部門電力以外)'!$O$47</f>
        <v>0</v>
      </c>
      <c r="I17" s="63" t="s">
        <v>68</v>
      </c>
      <c r="J17" s="19"/>
      <c r="K17" s="13"/>
      <c r="M17" s="353"/>
      <c r="N17" s="1079">
        <f ca="1">IFERROR(F17/H17,0)</f>
        <v>0</v>
      </c>
      <c r="O17" s="1079"/>
      <c r="P17" s="64" t="s">
        <v>65</v>
      </c>
      <c r="Q17" s="164">
        <f ca="1">H17-'4.3電力供給状況(民生部門電力以外)'!D53</f>
        <v>0</v>
      </c>
      <c r="R17" s="64" t="s">
        <v>67</v>
      </c>
      <c r="S17" s="164">
        <f ca="1">'4.3電力供給状況(民生部門電力以外)'!$O$47</f>
        <v>0</v>
      </c>
      <c r="T17" s="63" t="s">
        <v>68</v>
      </c>
      <c r="U17" s="354"/>
    </row>
    <row r="18" spans="1:21" customFormat="1">
      <c r="A18" s="13"/>
      <c r="B18" s="16"/>
      <c r="C18" s="1077" t="s">
        <v>87</v>
      </c>
      <c r="D18" s="1077"/>
      <c r="E18" s="13"/>
      <c r="F18" s="13" t="s">
        <v>69</v>
      </c>
      <c r="G18" s="13"/>
      <c r="H18" s="13"/>
      <c r="I18" s="13"/>
      <c r="J18" s="19"/>
      <c r="K18" s="13"/>
      <c r="M18" s="353"/>
      <c r="N18" s="1077" t="s">
        <v>87</v>
      </c>
      <c r="O18" s="1077"/>
      <c r="P18" s="13"/>
      <c r="Q18" s="13" t="s">
        <v>69</v>
      </c>
      <c r="R18" s="13"/>
      <c r="S18" s="13"/>
      <c r="T18" s="13"/>
      <c r="U18" s="354"/>
    </row>
    <row r="19" spans="1:21" customFormat="1" ht="52.5" customHeight="1">
      <c r="A19" s="13"/>
      <c r="B19" s="16"/>
      <c r="C19" s="13"/>
      <c r="D19" s="13"/>
      <c r="E19" s="13"/>
      <c r="F19" s="955" t="s">
        <v>79</v>
      </c>
      <c r="G19" s="13"/>
      <c r="H19" s="13"/>
      <c r="I19" s="13"/>
      <c r="J19" s="19"/>
      <c r="K19" s="13"/>
      <c r="M19" s="353"/>
      <c r="N19" s="13"/>
      <c r="O19" s="13"/>
      <c r="P19" s="13"/>
      <c r="Q19" s="955" t="s">
        <v>79</v>
      </c>
      <c r="R19" s="13"/>
      <c r="S19" s="13"/>
      <c r="T19" s="13"/>
      <c r="U19" s="354"/>
    </row>
    <row r="20" spans="1:21" customFormat="1" ht="45.65" customHeight="1">
      <c r="A20" s="13"/>
      <c r="B20" s="16"/>
      <c r="C20" s="17"/>
      <c r="D20" s="17"/>
      <c r="E20" s="17"/>
      <c r="F20" s="955"/>
      <c r="G20" s="17"/>
      <c r="H20" s="17"/>
      <c r="I20" s="17"/>
      <c r="J20" s="19"/>
      <c r="K20" s="13"/>
      <c r="M20" s="353"/>
      <c r="N20" s="17"/>
      <c r="O20" s="17"/>
      <c r="P20" s="17"/>
      <c r="Q20" s="955"/>
      <c r="R20" s="17"/>
      <c r="S20" s="17"/>
      <c r="T20" s="17"/>
      <c r="U20" s="354"/>
    </row>
    <row r="21" spans="1:21" customFormat="1" ht="5.15" customHeight="1">
      <c r="A21" s="13"/>
      <c r="B21" s="46"/>
      <c r="C21" s="48"/>
      <c r="D21" s="26"/>
      <c r="E21" s="26"/>
      <c r="F21" s="26"/>
      <c r="G21" s="26"/>
      <c r="H21" s="26"/>
      <c r="I21" s="26"/>
      <c r="J21" s="27"/>
      <c r="K21" s="13"/>
      <c r="M21" s="356"/>
      <c r="N21" s="358"/>
      <c r="O21" s="357"/>
      <c r="P21" s="357"/>
      <c r="Q21" s="357"/>
      <c r="R21" s="357"/>
      <c r="S21" s="357"/>
      <c r="T21" s="357"/>
      <c r="U21" s="891"/>
    </row>
    <row r="22" spans="1:21" customFormat="1" ht="27" customHeight="1">
      <c r="A22" s="13"/>
      <c r="B22" s="13"/>
      <c r="C22" s="35"/>
      <c r="D22" s="13"/>
      <c r="E22" s="13"/>
      <c r="F22" s="13"/>
      <c r="G22" s="13"/>
      <c r="H22" s="13"/>
      <c r="I22" s="13"/>
      <c r="J22" s="13"/>
      <c r="K22" s="13"/>
      <c r="M22" s="13"/>
      <c r="N22" s="35"/>
      <c r="O22" s="13"/>
      <c r="P22" s="13"/>
      <c r="Q22" s="13"/>
      <c r="R22" s="13"/>
      <c r="S22" s="13"/>
      <c r="T22" s="13"/>
      <c r="U22" s="13"/>
    </row>
    <row r="23" spans="1:21" customFormat="1" ht="27" customHeight="1">
      <c r="A23" s="13"/>
      <c r="B23" s="13"/>
      <c r="C23" s="13"/>
      <c r="D23" s="13"/>
      <c r="E23" s="13"/>
      <c r="F23" s="13"/>
      <c r="G23" s="13"/>
      <c r="H23" s="13"/>
      <c r="I23" s="13"/>
      <c r="J23" s="13"/>
      <c r="K23" s="13"/>
      <c r="L23" s="13"/>
      <c r="M23" s="13" t="s">
        <v>458</v>
      </c>
      <c r="N23" s="13" cm="1">
        <f t="array" aca="1" ref="N23" ca="1">IF(SUMPRODUCT(N(B5:J21&lt;&gt;M5:U21))=0,1,0)</f>
        <v>0</v>
      </c>
      <c r="O23" s="13"/>
      <c r="P23" s="13"/>
      <c r="Q23" s="13"/>
      <c r="R23" s="13"/>
      <c r="S23" s="13"/>
      <c r="T23" s="13"/>
      <c r="U23" s="13"/>
    </row>
    <row r="24" spans="1:21" customFormat="1" ht="27" customHeight="1">
      <c r="A24" s="13"/>
      <c r="B24" s="13"/>
      <c r="C24" s="13"/>
      <c r="D24" s="13"/>
      <c r="E24" s="13"/>
      <c r="F24" s="13"/>
      <c r="G24" s="13"/>
      <c r="H24" s="13"/>
      <c r="I24" s="50"/>
      <c r="J24" s="13"/>
      <c r="K24" s="13"/>
      <c r="L24" s="13"/>
      <c r="M24" s="13"/>
      <c r="N24" s="13"/>
      <c r="O24" s="13"/>
      <c r="P24" s="13"/>
      <c r="Q24" s="13"/>
      <c r="R24" s="13"/>
      <c r="S24" s="13"/>
      <c r="T24" s="50"/>
      <c r="U24" s="13"/>
    </row>
    <row r="25" spans="1:21" customFormat="1" ht="48.75" customHeight="1">
      <c r="A25" s="13"/>
      <c r="B25" s="13"/>
      <c r="C25" s="13"/>
      <c r="D25" s="13"/>
      <c r="E25" s="13"/>
      <c r="F25" s="13"/>
      <c r="G25" s="13"/>
      <c r="H25" s="13"/>
      <c r="I25" s="50"/>
      <c r="J25" s="58"/>
      <c r="K25" s="58"/>
      <c r="L25" s="13"/>
      <c r="M25" s="13"/>
      <c r="N25" s="13"/>
      <c r="O25" s="13"/>
      <c r="P25" s="13"/>
      <c r="Q25" s="13"/>
      <c r="R25" s="13"/>
      <c r="S25" s="13"/>
      <c r="T25" s="50"/>
      <c r="U25" s="58"/>
    </row>
    <row r="26" spans="1:21" customFormat="1" ht="27" customHeight="1">
      <c r="A26" s="13"/>
      <c r="B26" s="13"/>
      <c r="C26" s="13"/>
      <c r="D26" s="13"/>
      <c r="E26" s="13"/>
      <c r="F26" s="13"/>
      <c r="G26" s="13"/>
      <c r="H26" s="13"/>
      <c r="I26" s="50"/>
      <c r="J26" s="58"/>
      <c r="K26" s="58"/>
      <c r="L26" s="13"/>
      <c r="M26" s="13"/>
      <c r="N26" s="13"/>
      <c r="O26" s="13"/>
      <c r="P26" s="13"/>
      <c r="Q26" s="13"/>
      <c r="R26" s="13"/>
      <c r="S26" s="13"/>
      <c r="T26" s="50"/>
      <c r="U26" s="58"/>
    </row>
    <row r="27" spans="1:21" customFormat="1" ht="55.5" customHeight="1">
      <c r="A27" s="13"/>
      <c r="B27" s="13"/>
      <c r="C27" s="13"/>
      <c r="D27" s="13"/>
      <c r="E27" s="13"/>
      <c r="F27" s="13"/>
      <c r="G27" s="13"/>
      <c r="H27" s="13"/>
      <c r="I27" s="13"/>
      <c r="J27" s="47"/>
      <c r="K27" s="13"/>
      <c r="L27" s="13"/>
      <c r="M27" s="13"/>
      <c r="N27" s="13"/>
      <c r="O27" s="13"/>
      <c r="P27" s="13"/>
      <c r="Q27" s="13"/>
      <c r="R27" s="13"/>
      <c r="S27" s="13"/>
      <c r="T27" s="13"/>
      <c r="U27" s="47"/>
    </row>
    <row r="28" spans="1:21" ht="32.25" customHeight="1">
      <c r="A28" s="13"/>
      <c r="B28" s="13"/>
      <c r="C28" s="13"/>
      <c r="D28" s="13"/>
      <c r="E28" s="13"/>
      <c r="F28" s="13"/>
      <c r="G28" s="13"/>
      <c r="H28" s="13"/>
      <c r="J28" s="40"/>
      <c r="M28" s="13"/>
      <c r="N28" s="13"/>
      <c r="O28" s="13"/>
      <c r="P28" s="13"/>
      <c r="Q28" s="13"/>
      <c r="R28" s="13"/>
      <c r="S28" s="13"/>
      <c r="U28" s="40"/>
    </row>
    <row r="29" spans="1:21" ht="32.25" customHeight="1">
      <c r="A29" s="13"/>
      <c r="B29" s="13"/>
      <c r="C29" s="13"/>
      <c r="D29" s="13"/>
      <c r="E29" s="13"/>
      <c r="F29" s="13"/>
      <c r="G29" s="13"/>
      <c r="H29" s="13"/>
      <c r="J29" s="40"/>
      <c r="M29" s="13"/>
      <c r="N29" s="13"/>
      <c r="O29" s="13"/>
      <c r="P29" s="13"/>
      <c r="Q29" s="13"/>
      <c r="R29" s="13"/>
      <c r="S29" s="13"/>
      <c r="U29" s="40"/>
    </row>
    <row r="30" spans="1:21" ht="32.25" customHeight="1">
      <c r="A30" s="13"/>
      <c r="B30" s="13"/>
      <c r="C30" s="13"/>
      <c r="D30" s="13"/>
      <c r="E30" s="13"/>
      <c r="F30" s="13"/>
      <c r="G30" s="13"/>
      <c r="H30" s="13"/>
      <c r="J30" s="40"/>
      <c r="M30" s="13"/>
      <c r="N30" s="13"/>
      <c r="O30" s="13"/>
      <c r="P30" s="13"/>
      <c r="Q30" s="13"/>
      <c r="R30" s="13"/>
      <c r="S30" s="13"/>
      <c r="U30" s="40"/>
    </row>
    <row r="31" spans="1:21" ht="32.25" customHeight="1">
      <c r="A31" s="13"/>
      <c r="B31" s="13"/>
      <c r="C31" s="13"/>
      <c r="D31" s="13"/>
      <c r="E31" s="13"/>
      <c r="F31" s="13"/>
      <c r="G31" s="13"/>
      <c r="H31" s="13"/>
      <c r="J31" s="40"/>
      <c r="M31" s="13"/>
      <c r="N31" s="13"/>
      <c r="O31" s="13"/>
      <c r="P31" s="13"/>
      <c r="Q31" s="13"/>
      <c r="R31" s="13"/>
      <c r="S31" s="13"/>
      <c r="U31" s="40"/>
    </row>
    <row r="32" spans="1:21" ht="32.25" customHeight="1">
      <c r="A32" s="13"/>
      <c r="B32" s="13"/>
      <c r="C32" s="13"/>
      <c r="D32" s="13"/>
      <c r="E32" s="13"/>
      <c r="F32" s="13"/>
      <c r="G32" s="13"/>
      <c r="H32" s="13"/>
      <c r="J32" s="40"/>
      <c r="M32" s="13"/>
      <c r="N32" s="13"/>
      <c r="O32" s="13"/>
      <c r="P32" s="13"/>
      <c r="Q32" s="13"/>
      <c r="R32" s="13"/>
      <c r="S32" s="13"/>
      <c r="U32" s="40"/>
    </row>
    <row r="33" spans="1:21" ht="32.25" customHeight="1">
      <c r="A33" s="13"/>
      <c r="B33" s="13"/>
      <c r="C33" s="13"/>
      <c r="D33" s="13"/>
      <c r="E33" s="13"/>
      <c r="F33" s="13"/>
      <c r="G33" s="13"/>
      <c r="H33" s="13"/>
      <c r="J33" s="40"/>
      <c r="M33" s="13"/>
      <c r="N33" s="13"/>
      <c r="O33" s="13"/>
      <c r="P33" s="13"/>
      <c r="Q33" s="13"/>
      <c r="R33" s="13"/>
      <c r="S33" s="13"/>
      <c r="U33" s="40"/>
    </row>
    <row r="34" spans="1:21" ht="32.25" customHeight="1">
      <c r="A34" s="13"/>
      <c r="B34" s="13"/>
      <c r="C34" s="13"/>
      <c r="D34" s="13"/>
      <c r="E34" s="13"/>
      <c r="F34" s="13"/>
      <c r="G34" s="13"/>
      <c r="H34" s="13"/>
      <c r="J34" s="40"/>
      <c r="M34" s="13"/>
      <c r="N34" s="13"/>
      <c r="O34" s="13"/>
      <c r="P34" s="13"/>
      <c r="Q34" s="13"/>
      <c r="R34" s="13"/>
      <c r="S34" s="13"/>
      <c r="U34" s="40"/>
    </row>
    <row r="35" spans="1:21" ht="32.25" customHeight="1">
      <c r="A35" s="13"/>
      <c r="B35" s="13"/>
      <c r="C35" s="13"/>
      <c r="D35" s="13"/>
      <c r="E35" s="13"/>
      <c r="F35" s="13"/>
      <c r="G35" s="13"/>
      <c r="H35" s="13"/>
      <c r="J35" s="40"/>
      <c r="M35" s="13"/>
      <c r="N35" s="13"/>
      <c r="O35" s="13"/>
      <c r="P35" s="13"/>
      <c r="Q35" s="13"/>
      <c r="R35" s="13"/>
      <c r="S35" s="13"/>
      <c r="U35" s="40"/>
    </row>
    <row r="36" spans="1:21" ht="32.25" customHeight="1">
      <c r="A36" s="13"/>
      <c r="B36" s="13"/>
      <c r="C36" s="13"/>
      <c r="D36" s="13"/>
      <c r="E36" s="13"/>
      <c r="F36" s="13"/>
      <c r="G36" s="13"/>
      <c r="H36" s="13"/>
      <c r="J36" s="40"/>
      <c r="M36" s="13"/>
      <c r="N36" s="13"/>
      <c r="O36" s="13"/>
      <c r="P36" s="13"/>
      <c r="Q36" s="13"/>
      <c r="R36" s="13"/>
      <c r="S36" s="13"/>
      <c r="U36" s="40"/>
    </row>
    <row r="37" spans="1:21" ht="32.25" customHeight="1">
      <c r="A37" s="13"/>
      <c r="B37" s="13"/>
      <c r="C37" s="13"/>
      <c r="D37" s="13"/>
      <c r="E37" s="13"/>
      <c r="F37" s="13"/>
      <c r="G37" s="13"/>
      <c r="H37" s="13"/>
      <c r="J37" s="40"/>
      <c r="M37" s="13"/>
      <c r="N37" s="13"/>
      <c r="O37" s="13"/>
      <c r="P37" s="13"/>
      <c r="Q37" s="13"/>
      <c r="R37" s="13"/>
      <c r="S37" s="13"/>
      <c r="U37" s="40"/>
    </row>
    <row r="38" spans="1:21" ht="32.25" customHeight="1">
      <c r="A38" s="13"/>
      <c r="B38" s="13"/>
      <c r="C38" s="13"/>
      <c r="D38" s="13"/>
      <c r="E38" s="13"/>
      <c r="F38" s="13"/>
      <c r="G38" s="13"/>
      <c r="H38" s="13"/>
      <c r="J38" s="40"/>
      <c r="M38" s="13"/>
      <c r="N38" s="13"/>
      <c r="O38" s="13"/>
      <c r="P38" s="13"/>
      <c r="Q38" s="13"/>
      <c r="R38" s="13"/>
      <c r="S38" s="13"/>
      <c r="U38" s="40"/>
    </row>
    <row r="39" spans="1:21" ht="32.25" customHeight="1">
      <c r="A39" s="13"/>
      <c r="B39" s="13"/>
      <c r="C39" s="13"/>
      <c r="D39" s="13"/>
      <c r="E39" s="13"/>
      <c r="F39" s="13"/>
      <c r="G39" s="13"/>
      <c r="H39" s="13"/>
      <c r="J39" s="40"/>
      <c r="M39" s="13"/>
      <c r="N39" s="13"/>
      <c r="O39" s="13"/>
      <c r="P39" s="13"/>
      <c r="Q39" s="13"/>
      <c r="R39" s="13"/>
      <c r="S39" s="13"/>
      <c r="U39" s="40"/>
    </row>
    <row r="40" spans="1:21" ht="32.25" customHeight="1">
      <c r="A40" s="13"/>
      <c r="B40" s="13"/>
      <c r="C40" s="13"/>
      <c r="D40" s="13"/>
      <c r="E40" s="13"/>
      <c r="F40" s="13"/>
      <c r="G40" s="13"/>
      <c r="H40" s="13"/>
      <c r="J40" s="40"/>
      <c r="M40" s="13"/>
      <c r="N40" s="13"/>
      <c r="O40" s="13"/>
      <c r="P40" s="13"/>
      <c r="Q40" s="13"/>
      <c r="R40" s="13"/>
      <c r="S40" s="13"/>
      <c r="U40" s="40"/>
    </row>
    <row r="41" spans="1:21" ht="32.25" customHeight="1">
      <c r="A41" s="13"/>
      <c r="B41" s="13"/>
      <c r="C41" s="13"/>
      <c r="D41" s="13"/>
      <c r="E41" s="13"/>
      <c r="F41" s="13"/>
      <c r="G41" s="13"/>
      <c r="H41" s="13"/>
      <c r="J41" s="40"/>
      <c r="M41" s="13"/>
      <c r="N41" s="13"/>
      <c r="O41" s="13"/>
      <c r="P41" s="13"/>
      <c r="Q41" s="13"/>
      <c r="R41" s="13"/>
      <c r="S41" s="13"/>
      <c r="U41" s="40"/>
    </row>
    <row r="42" spans="1:21" ht="32.25" customHeight="1">
      <c r="A42" s="13"/>
      <c r="B42" s="13"/>
      <c r="C42" s="13"/>
      <c r="D42" s="13"/>
      <c r="E42" s="13"/>
      <c r="F42" s="13"/>
      <c r="G42" s="13"/>
      <c r="H42" s="13"/>
      <c r="J42" s="40"/>
      <c r="M42" s="13"/>
      <c r="N42" s="13"/>
      <c r="O42" s="13"/>
      <c r="P42" s="13"/>
      <c r="Q42" s="13"/>
      <c r="R42" s="13"/>
      <c r="S42" s="13"/>
      <c r="U42" s="40"/>
    </row>
    <row r="43" spans="1:21" ht="32.25" customHeight="1">
      <c r="A43" s="13"/>
      <c r="B43" s="13"/>
      <c r="C43" s="13"/>
      <c r="D43" s="13"/>
      <c r="E43" s="13"/>
      <c r="F43" s="13"/>
      <c r="G43" s="13"/>
      <c r="H43" s="13"/>
      <c r="J43" s="40"/>
      <c r="M43" s="13"/>
      <c r="N43" s="13"/>
      <c r="O43" s="13"/>
      <c r="P43" s="13"/>
      <c r="Q43" s="13"/>
      <c r="R43" s="13"/>
      <c r="S43" s="13"/>
      <c r="U43" s="40"/>
    </row>
    <row r="44" spans="1:21" ht="32.25" customHeight="1">
      <c r="A44" s="13"/>
      <c r="B44" s="13"/>
      <c r="C44" s="13"/>
      <c r="D44" s="13"/>
      <c r="E44" s="13"/>
      <c r="F44" s="13"/>
      <c r="G44" s="13"/>
      <c r="H44" s="13"/>
      <c r="J44" s="40"/>
      <c r="M44" s="13"/>
      <c r="N44" s="13"/>
      <c r="O44" s="13"/>
      <c r="P44" s="13"/>
      <c r="Q44" s="13"/>
      <c r="R44" s="13"/>
      <c r="S44" s="13"/>
      <c r="U44" s="40"/>
    </row>
    <row r="45" spans="1:21" ht="32.25" customHeight="1">
      <c r="A45" s="13"/>
      <c r="B45" s="13"/>
      <c r="C45" s="13"/>
      <c r="D45" s="13"/>
      <c r="E45" s="13"/>
      <c r="F45" s="13"/>
      <c r="G45" s="13"/>
      <c r="H45" s="13"/>
      <c r="J45" s="40"/>
      <c r="M45" s="13"/>
      <c r="N45" s="13"/>
      <c r="O45" s="13"/>
      <c r="P45" s="13"/>
      <c r="Q45" s="13"/>
      <c r="R45" s="13"/>
      <c r="S45" s="13"/>
      <c r="U45" s="40"/>
    </row>
    <row r="46" spans="1:21" ht="32.25" customHeight="1">
      <c r="A46" s="13"/>
      <c r="B46" s="13"/>
      <c r="C46" s="13"/>
      <c r="D46" s="13"/>
      <c r="E46" s="13"/>
      <c r="F46" s="13"/>
      <c r="G46" s="13"/>
      <c r="H46" s="13"/>
      <c r="J46" s="40"/>
      <c r="M46" s="13"/>
      <c r="N46" s="13"/>
      <c r="O46" s="13"/>
      <c r="P46" s="13"/>
      <c r="Q46" s="13"/>
      <c r="R46" s="13"/>
      <c r="S46" s="13"/>
      <c r="U46" s="40"/>
    </row>
    <row r="47" spans="1:21" ht="32.25" customHeight="1">
      <c r="A47" s="13"/>
      <c r="B47" s="13"/>
      <c r="C47" s="13"/>
      <c r="D47" s="13"/>
      <c r="E47" s="13"/>
      <c r="F47" s="13"/>
      <c r="G47" s="13"/>
      <c r="H47" s="13"/>
      <c r="J47" s="40"/>
      <c r="M47" s="13"/>
      <c r="N47" s="13"/>
      <c r="O47" s="13"/>
      <c r="P47" s="13"/>
      <c r="Q47" s="13"/>
      <c r="R47" s="13"/>
      <c r="S47" s="13"/>
      <c r="U47" s="40"/>
    </row>
    <row r="48" spans="1:21" ht="32.25" customHeight="1">
      <c r="A48" s="13"/>
      <c r="B48" s="13"/>
      <c r="C48" s="13"/>
      <c r="D48" s="13"/>
      <c r="E48" s="13"/>
      <c r="F48" s="13"/>
      <c r="G48" s="13"/>
      <c r="H48" s="13"/>
      <c r="J48" s="40"/>
      <c r="M48" s="13"/>
      <c r="N48" s="13"/>
      <c r="O48" s="13"/>
      <c r="P48" s="13"/>
      <c r="Q48" s="13"/>
      <c r="R48" s="13"/>
      <c r="S48" s="13"/>
      <c r="U48" s="40"/>
    </row>
    <row r="49" spans="1:21" ht="32.25" customHeight="1">
      <c r="A49" s="13"/>
      <c r="B49" s="13"/>
      <c r="C49" s="13"/>
      <c r="D49" s="13"/>
      <c r="E49" s="13"/>
      <c r="F49" s="13"/>
      <c r="G49" s="13"/>
      <c r="H49" s="13"/>
      <c r="J49" s="40"/>
      <c r="M49" s="13"/>
      <c r="N49" s="13"/>
      <c r="O49" s="13"/>
      <c r="P49" s="13"/>
      <c r="Q49" s="13"/>
      <c r="R49" s="13"/>
      <c r="S49" s="13"/>
      <c r="U49" s="40"/>
    </row>
    <row r="50" spans="1:21" ht="32.25" customHeight="1">
      <c r="A50" s="13"/>
      <c r="B50" s="13"/>
      <c r="C50" s="13"/>
      <c r="D50" s="13"/>
      <c r="E50" s="13"/>
      <c r="F50" s="13"/>
      <c r="G50" s="13"/>
      <c r="H50" s="13"/>
      <c r="J50" s="40"/>
      <c r="M50" s="13"/>
      <c r="N50" s="13"/>
      <c r="O50" s="13"/>
      <c r="P50" s="13"/>
      <c r="Q50" s="13"/>
      <c r="R50" s="13"/>
      <c r="S50" s="13"/>
      <c r="U50" s="40"/>
    </row>
    <row r="51" spans="1:21" ht="32.25" customHeight="1">
      <c r="A51" s="13"/>
      <c r="B51" s="13"/>
      <c r="C51" s="13"/>
      <c r="D51" s="13"/>
      <c r="E51" s="13"/>
      <c r="F51" s="13"/>
      <c r="G51" s="13"/>
      <c r="H51" s="13"/>
      <c r="J51" s="40"/>
      <c r="M51" s="13"/>
      <c r="N51" s="13"/>
      <c r="O51" s="13"/>
      <c r="P51" s="13"/>
      <c r="Q51" s="13"/>
      <c r="R51" s="13"/>
      <c r="S51" s="13"/>
      <c r="U51" s="40"/>
    </row>
    <row r="52" spans="1:21" ht="32.25" customHeight="1">
      <c r="A52" s="13"/>
      <c r="B52" s="13"/>
      <c r="C52" s="13"/>
      <c r="D52" s="13"/>
      <c r="E52" s="13"/>
      <c r="F52" s="13"/>
      <c r="G52" s="13"/>
      <c r="H52" s="13"/>
      <c r="J52" s="40"/>
      <c r="M52" s="13"/>
      <c r="N52" s="13"/>
      <c r="O52" s="13"/>
      <c r="P52" s="13"/>
      <c r="Q52" s="13"/>
      <c r="R52" s="13"/>
      <c r="S52" s="13"/>
      <c r="U52" s="40"/>
    </row>
    <row r="53" spans="1:21" ht="32.25" customHeight="1">
      <c r="A53" s="13"/>
      <c r="B53" s="13"/>
      <c r="C53" s="13"/>
      <c r="D53" s="13"/>
      <c r="E53" s="13"/>
      <c r="F53" s="13"/>
      <c r="G53" s="13"/>
      <c r="H53" s="13"/>
      <c r="J53" s="40"/>
      <c r="M53" s="13"/>
      <c r="N53" s="13"/>
      <c r="O53" s="13"/>
      <c r="P53" s="13"/>
      <c r="Q53" s="13"/>
      <c r="R53" s="13"/>
      <c r="S53" s="13"/>
      <c r="U53" s="40"/>
    </row>
    <row r="54" spans="1:21" ht="32.25" customHeight="1">
      <c r="A54" s="13"/>
      <c r="B54" s="13"/>
      <c r="C54" s="13"/>
      <c r="D54" s="13"/>
      <c r="E54" s="13"/>
      <c r="F54" s="13"/>
      <c r="G54" s="13"/>
      <c r="H54" s="13"/>
      <c r="J54" s="40"/>
      <c r="M54" s="13"/>
      <c r="N54" s="13"/>
      <c r="O54" s="13"/>
      <c r="P54" s="13"/>
      <c r="Q54" s="13"/>
      <c r="R54" s="13"/>
      <c r="S54" s="13"/>
      <c r="U54" s="40"/>
    </row>
    <row r="55" spans="1:21" ht="32.25" customHeight="1">
      <c r="A55" s="13"/>
      <c r="B55" s="13"/>
      <c r="C55" s="13"/>
      <c r="D55" s="13"/>
      <c r="E55" s="13"/>
      <c r="F55" s="13"/>
      <c r="G55" s="13"/>
      <c r="H55" s="13"/>
      <c r="J55" s="40"/>
      <c r="M55" s="13"/>
      <c r="N55" s="13"/>
      <c r="O55" s="13"/>
      <c r="P55" s="13"/>
      <c r="Q55" s="13"/>
      <c r="R55" s="13"/>
      <c r="S55" s="13"/>
      <c r="U55" s="40"/>
    </row>
    <row r="56" spans="1:21" ht="32.25" customHeight="1">
      <c r="A56" s="13"/>
      <c r="B56" s="13"/>
      <c r="C56" s="13"/>
      <c r="D56" s="13"/>
      <c r="E56" s="13"/>
      <c r="F56" s="13"/>
      <c r="G56" s="13"/>
      <c r="H56" s="13"/>
      <c r="J56" s="40"/>
      <c r="M56" s="13"/>
      <c r="N56" s="13"/>
      <c r="O56" s="13"/>
      <c r="P56" s="13"/>
      <c r="Q56" s="13"/>
      <c r="R56" s="13"/>
      <c r="S56" s="13"/>
      <c r="U56" s="40"/>
    </row>
    <row r="57" spans="1:21" ht="32.25" customHeight="1">
      <c r="A57" s="13"/>
      <c r="B57" s="13"/>
      <c r="C57" s="13"/>
      <c r="D57" s="13"/>
      <c r="E57" s="13"/>
      <c r="F57" s="13"/>
      <c r="G57" s="13"/>
      <c r="H57" s="13"/>
      <c r="J57" s="40"/>
      <c r="M57" s="13"/>
      <c r="N57" s="13"/>
      <c r="O57" s="13"/>
      <c r="P57" s="13"/>
      <c r="Q57" s="13"/>
      <c r="R57" s="13"/>
      <c r="S57" s="13"/>
      <c r="U57" s="40"/>
    </row>
    <row r="58" spans="1:21" customFormat="1">
      <c r="A58" s="13"/>
      <c r="B58" s="13"/>
      <c r="C58" s="13"/>
      <c r="D58" s="13"/>
      <c r="E58" s="13"/>
      <c r="F58" s="13"/>
      <c r="G58" s="13"/>
      <c r="H58" s="13"/>
      <c r="I58" s="13"/>
      <c r="J58" s="47"/>
      <c r="K58" s="47"/>
      <c r="L58" s="13"/>
      <c r="M58" s="13"/>
      <c r="N58" s="13"/>
      <c r="O58" s="13"/>
      <c r="P58" s="13"/>
      <c r="Q58" s="13"/>
      <c r="R58" s="13"/>
      <c r="S58" s="13"/>
      <c r="T58" s="13"/>
      <c r="U58" s="47"/>
    </row>
    <row r="59" spans="1:21" customFormat="1">
      <c r="A59" s="13"/>
      <c r="B59" s="13"/>
      <c r="C59" s="13"/>
      <c r="D59" s="13"/>
      <c r="E59" s="13"/>
      <c r="F59" s="13"/>
      <c r="G59" s="13"/>
      <c r="H59" s="13"/>
      <c r="I59" s="13"/>
      <c r="J59" s="13"/>
      <c r="K59" s="13"/>
      <c r="L59" s="13"/>
      <c r="M59" s="13"/>
      <c r="N59" s="13"/>
      <c r="O59" s="13"/>
      <c r="P59" s="13"/>
      <c r="Q59" s="13"/>
      <c r="R59" s="13"/>
      <c r="S59" s="13"/>
      <c r="T59" s="13"/>
      <c r="U59" s="13"/>
    </row>
    <row r="60" spans="1:21" customFormat="1">
      <c r="A60" s="13"/>
      <c r="B60" s="13"/>
      <c r="C60" s="13"/>
      <c r="D60" s="13"/>
      <c r="E60" s="13"/>
      <c r="F60" s="13"/>
      <c r="G60" s="13"/>
      <c r="H60" s="13"/>
      <c r="I60" s="13"/>
      <c r="J60" s="13"/>
      <c r="K60" s="13"/>
      <c r="L60" s="13"/>
      <c r="M60" s="13"/>
      <c r="N60" s="13"/>
      <c r="O60" s="13"/>
      <c r="P60" s="13"/>
      <c r="Q60" s="13"/>
      <c r="R60" s="13"/>
      <c r="S60" s="13"/>
      <c r="T60" s="13"/>
      <c r="U60" s="13"/>
    </row>
    <row r="61" spans="1:21">
      <c r="A61" s="13"/>
      <c r="B61" s="13"/>
      <c r="C61" s="13"/>
      <c r="D61" s="13"/>
      <c r="E61" s="13"/>
      <c r="F61" s="13"/>
      <c r="G61" s="13"/>
      <c r="H61" s="13"/>
      <c r="M61" s="13"/>
      <c r="N61" s="13"/>
      <c r="O61" s="13"/>
      <c r="P61" s="13"/>
      <c r="Q61" s="13"/>
      <c r="R61" s="13"/>
      <c r="S61" s="13"/>
    </row>
    <row r="62" spans="1:21">
      <c r="A62" s="13"/>
      <c r="B62" s="13"/>
      <c r="C62" s="13"/>
      <c r="D62" s="13"/>
      <c r="E62" s="13"/>
      <c r="F62" s="13"/>
      <c r="G62" s="13"/>
      <c r="H62" s="13"/>
      <c r="M62" s="13"/>
      <c r="N62" s="13"/>
      <c r="O62" s="13"/>
      <c r="P62" s="13"/>
      <c r="Q62" s="13"/>
      <c r="R62" s="13"/>
      <c r="S62" s="13"/>
    </row>
    <row r="63" spans="1:21">
      <c r="A63" s="13"/>
      <c r="B63" s="13"/>
      <c r="C63" s="13"/>
      <c r="D63" s="13"/>
      <c r="E63" s="13"/>
      <c r="F63" s="13"/>
      <c r="G63" s="13"/>
      <c r="H63" s="13"/>
      <c r="M63" s="13"/>
      <c r="N63" s="13"/>
      <c r="O63" s="13"/>
      <c r="P63" s="13"/>
      <c r="Q63" s="13"/>
      <c r="R63" s="13"/>
      <c r="S63" s="13"/>
    </row>
    <row r="64" spans="1:21">
      <c r="A64" s="13"/>
      <c r="B64" s="13"/>
      <c r="C64" s="13"/>
      <c r="D64" s="13"/>
      <c r="E64" s="13"/>
      <c r="F64" s="13"/>
      <c r="G64" s="13"/>
      <c r="H64" s="13"/>
      <c r="M64" s="13"/>
      <c r="N64" s="13"/>
      <c r="O64" s="13"/>
      <c r="P64" s="13"/>
      <c r="Q64" s="13"/>
      <c r="R64" s="13"/>
      <c r="S64" s="13"/>
    </row>
    <row r="65" spans="1:19">
      <c r="A65" s="13"/>
      <c r="B65" s="13"/>
      <c r="C65" s="13"/>
      <c r="D65" s="13"/>
      <c r="E65" s="13"/>
      <c r="F65" s="13"/>
      <c r="G65" s="13"/>
      <c r="H65" s="13"/>
      <c r="M65" s="13"/>
      <c r="N65" s="13"/>
      <c r="O65" s="13"/>
      <c r="P65" s="13"/>
      <c r="Q65" s="13"/>
      <c r="R65" s="13"/>
      <c r="S65" s="13"/>
    </row>
    <row r="66" spans="1:19">
      <c r="A66" s="13"/>
      <c r="B66" s="13"/>
      <c r="C66" s="13"/>
      <c r="D66" s="13"/>
      <c r="E66" s="13"/>
      <c r="F66" s="13"/>
      <c r="G66" s="13"/>
      <c r="H66" s="13"/>
      <c r="M66" s="13"/>
      <c r="N66" s="13"/>
      <c r="O66" s="13"/>
      <c r="P66" s="13"/>
      <c r="Q66" s="13"/>
      <c r="R66" s="13"/>
      <c r="S66" s="13"/>
    </row>
    <row r="67" spans="1:19">
      <c r="A67" s="13"/>
      <c r="B67" s="13"/>
      <c r="C67" s="13"/>
      <c r="D67" s="13"/>
      <c r="E67" s="13"/>
      <c r="F67" s="13"/>
      <c r="G67" s="13"/>
      <c r="H67" s="13"/>
      <c r="M67" s="13"/>
      <c r="N67" s="13"/>
      <c r="O67" s="13"/>
      <c r="P67" s="13"/>
      <c r="Q67" s="13"/>
      <c r="R67" s="13"/>
      <c r="S67" s="13"/>
    </row>
    <row r="68" spans="1:19">
      <c r="A68" s="13"/>
      <c r="B68" s="13"/>
      <c r="C68" s="13"/>
      <c r="D68" s="13"/>
      <c r="E68" s="13"/>
      <c r="F68" s="13"/>
      <c r="G68" s="13"/>
      <c r="H68" s="13"/>
      <c r="M68" s="13"/>
      <c r="N68" s="13"/>
      <c r="O68" s="13"/>
      <c r="P68" s="13"/>
      <c r="Q68" s="13"/>
      <c r="R68" s="13"/>
      <c r="S68" s="13"/>
    </row>
    <row r="69" spans="1:19">
      <c r="A69" s="13"/>
      <c r="B69" s="13"/>
      <c r="C69" s="13"/>
      <c r="D69" s="13"/>
      <c r="E69" s="13"/>
      <c r="F69" s="13"/>
      <c r="G69" s="13"/>
      <c r="H69" s="13"/>
      <c r="M69" s="13"/>
      <c r="N69" s="13"/>
      <c r="O69" s="13"/>
      <c r="P69" s="13"/>
      <c r="Q69" s="13"/>
      <c r="R69" s="13"/>
      <c r="S69" s="13"/>
    </row>
    <row r="70" spans="1:19">
      <c r="A70" s="13"/>
      <c r="B70" s="13"/>
      <c r="C70" s="13"/>
      <c r="D70" s="13"/>
      <c r="E70" s="13"/>
      <c r="F70" s="13"/>
      <c r="G70" s="13"/>
      <c r="H70" s="13"/>
      <c r="M70" s="13"/>
      <c r="N70" s="13"/>
      <c r="O70" s="13"/>
      <c r="P70" s="13"/>
      <c r="Q70" s="13"/>
      <c r="R70" s="13"/>
      <c r="S70" s="13"/>
    </row>
    <row r="71" spans="1:19">
      <c r="D71" s="37"/>
      <c r="E71" s="37"/>
      <c r="F71" s="37"/>
      <c r="O71" s="37"/>
      <c r="P71" s="37"/>
      <c r="Q71" s="37"/>
    </row>
    <row r="72" spans="1:19">
      <c r="D72" s="37"/>
      <c r="E72" s="37"/>
      <c r="F72" s="37"/>
      <c r="O72" s="37"/>
      <c r="P72" s="37"/>
      <c r="Q72" s="37"/>
    </row>
    <row r="73" spans="1:19">
      <c r="D73" s="37"/>
      <c r="E73" s="37"/>
      <c r="F73" s="37"/>
      <c r="O73" s="37"/>
      <c r="P73" s="37"/>
      <c r="Q73" s="37"/>
    </row>
    <row r="74" spans="1:19">
      <c r="D74" s="37"/>
      <c r="E74" s="37"/>
      <c r="F74" s="37"/>
      <c r="O74" s="37"/>
      <c r="P74" s="37"/>
      <c r="Q74" s="37"/>
    </row>
  </sheetData>
  <sheetProtection algorithmName="SHA-512" hashValue="5EF77kydG2m3Yt1d8iclA5rnzC/2CmhAUSfiNvppm/DiKDygwjThvxb+AWrBCjCEkkgVTRTXLr/v/3SZ0EwLiQ==" saltValue="KvJ2vdPr+ghKHZpVkMyDvA==" spinCount="100000" sheet="1" formatCells="0"/>
  <mergeCells count="18">
    <mergeCell ref="Q19:Q20"/>
    <mergeCell ref="N9:O9"/>
    <mergeCell ref="Q10:Q11"/>
    <mergeCell ref="N16:O16"/>
    <mergeCell ref="N17:O17"/>
    <mergeCell ref="N18:O18"/>
    <mergeCell ref="B3:I3"/>
    <mergeCell ref="N7:O7"/>
    <mergeCell ref="N8:O8"/>
    <mergeCell ref="C16:D16"/>
    <mergeCell ref="C17:D17"/>
    <mergeCell ref="C18:D18"/>
    <mergeCell ref="F19:F20"/>
    <mergeCell ref="B4:I4"/>
    <mergeCell ref="C7:D7"/>
    <mergeCell ref="C8:D8"/>
    <mergeCell ref="C9:D9"/>
    <mergeCell ref="F10:F11"/>
  </mergeCells>
  <phoneticPr fontId="1"/>
  <conditionalFormatting sqref="C8:D8 F8 H8 C17:D17 F17 H17">
    <cfRule type="expression" dxfId="345" priority="1">
      <formula>C8&lt;&gt;N8</formula>
    </cfRule>
  </conditionalFormatting>
  <conditionalFormatting sqref="C8:D8 F8 H8">
    <cfRule type="cellIs" dxfId="344" priority="32" operator="equal">
      <formula>0</formula>
    </cfRule>
  </conditionalFormatting>
  <conditionalFormatting sqref="C17:D17">
    <cfRule type="cellIs" dxfId="343" priority="6" operator="equal">
      <formula>0</formula>
    </cfRule>
  </conditionalFormatting>
  <conditionalFormatting sqref="F17">
    <cfRule type="cellIs" dxfId="342" priority="7" operator="equal">
      <formula>0</formula>
    </cfRule>
  </conditionalFormatting>
  <conditionalFormatting sqref="H17">
    <cfRule type="cellIs" dxfId="341" priority="8" operator="equal">
      <formula>0</formula>
    </cfRule>
  </conditionalFormatting>
  <dataValidations disablePrompts="1" count="1">
    <dataValidation type="decimal" operator="greaterThanOrEqual" allowBlank="1" showInputMessage="1" showErrorMessage="1" error="数値で入力してください" sqref="E21:E22 E12:E13 P21:P22 P12" xr:uid="{81B0AF7F-F4BD-40EA-A1D5-EDB72E047426}">
      <formula1>0</formula1>
    </dataValidation>
  </dataValidations>
  <pageMargins left="0.7" right="0.7" top="0.75" bottom="0.75" header="0.3" footer="0.3"/>
  <pageSetup paperSize="8" scale="69" orientation="landscape" r:id="rId1"/>
  <customProperties>
    <customPr name="EpmWorksheetKeyString_GU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2FC2A-3C3B-4042-A4EF-FC20A6F8E0FD}">
  <sheetPr codeName="Sheet31">
    <tabColor theme="7" tint="0.79998168889431442"/>
    <pageSetUpPr autoPageBreaks="0" fitToPage="1"/>
  </sheetPr>
  <dimension ref="A1:L68"/>
  <sheetViews>
    <sheetView showGridLines="0" zoomScaleNormal="100" zoomScaleSheetLayoutView="90" workbookViewId="0"/>
  </sheetViews>
  <sheetFormatPr defaultColWidth="9" defaultRowHeight="18"/>
  <cols>
    <col min="1" max="1" width="3.75" style="13" customWidth="1"/>
    <col min="2" max="2" width="0.83203125" style="13" customWidth="1"/>
    <col min="3" max="3" width="8.83203125" style="13" customWidth="1"/>
    <col min="4" max="4" width="25.58203125" style="13" customWidth="1"/>
    <col min="5" max="5" width="9.83203125" style="13" customWidth="1"/>
    <col min="6" max="6" width="30.75" style="13" customWidth="1"/>
    <col min="7" max="7" width="20.75" style="13" customWidth="1"/>
    <col min="8" max="8" width="0.83203125" style="13" customWidth="1"/>
    <col min="9" max="9" width="9" style="13"/>
    <col min="10" max="10" width="9" customWidth="1"/>
    <col min="11" max="11" width="8.83203125" hidden="1" customWidth="1"/>
    <col min="12" max="12" width="14.58203125" hidden="1" customWidth="1"/>
    <col min="13" max="13" width="9.83203125" customWidth="1"/>
    <col min="14" max="14" width="30.75" customWidth="1"/>
    <col min="15" max="15" width="20.75" customWidth="1"/>
  </cols>
  <sheetData>
    <row r="1" spans="1:12" ht="24" customHeight="1">
      <c r="A1" s="35" t="s">
        <v>370</v>
      </c>
      <c r="G1"/>
    </row>
    <row r="2" spans="1:12" ht="18.75" customHeight="1">
      <c r="A2" s="13" t="s">
        <v>48</v>
      </c>
      <c r="B2"/>
    </row>
    <row r="3" spans="1:12" ht="18.75" customHeight="1">
      <c r="A3" s="13" t="s">
        <v>49</v>
      </c>
      <c r="B3"/>
      <c r="C3" s="17"/>
    </row>
    <row r="4" spans="1:12" ht="18.75" customHeight="1">
      <c r="B4"/>
      <c r="C4" s="17"/>
      <c r="K4" t="s">
        <v>317</v>
      </c>
    </row>
    <row r="5" spans="1:12" ht="6" customHeight="1">
      <c r="C5" s="17"/>
    </row>
    <row r="6" spans="1:12" ht="6" customHeight="1">
      <c r="B6" s="14"/>
      <c r="C6" s="18"/>
      <c r="D6" s="15"/>
      <c r="E6" s="15"/>
      <c r="F6" s="18"/>
      <c r="G6" s="15"/>
      <c r="H6" s="30"/>
    </row>
    <row r="7" spans="1:12">
      <c r="B7" s="16"/>
      <c r="C7" s="86"/>
      <c r="D7" s="103"/>
      <c r="E7" s="94"/>
      <c r="F7" s="104"/>
      <c r="G7" s="95" t="s">
        <v>50</v>
      </c>
      <c r="H7" s="19"/>
      <c r="K7" s="86"/>
      <c r="L7" s="86" t="s">
        <v>50</v>
      </c>
    </row>
    <row r="8" spans="1:12" ht="21.75" customHeight="1">
      <c r="B8" s="16"/>
      <c r="C8" s="88" t="s">
        <v>29</v>
      </c>
      <c r="D8" s="105" t="s">
        <v>30</v>
      </c>
      <c r="E8" s="105" t="s">
        <v>31</v>
      </c>
      <c r="F8" s="88" t="s">
        <v>47</v>
      </c>
      <c r="G8" s="88" t="s">
        <v>51</v>
      </c>
      <c r="H8" s="19"/>
      <c r="K8" s="88" t="s">
        <v>308</v>
      </c>
      <c r="L8" s="88" t="s">
        <v>51</v>
      </c>
    </row>
    <row r="9" spans="1:12" ht="23.25" customHeight="1">
      <c r="B9" s="16"/>
      <c r="C9" s="89"/>
      <c r="D9" s="106"/>
      <c r="E9" s="106"/>
      <c r="F9" s="107"/>
      <c r="G9" s="89" t="s">
        <v>36</v>
      </c>
      <c r="H9" s="19"/>
      <c r="K9" s="89"/>
      <c r="L9" s="89" t="s">
        <v>563</v>
      </c>
    </row>
    <row r="10" spans="1:12" ht="18.75" customHeight="1">
      <c r="A10" s="28"/>
      <c r="B10" s="16"/>
      <c r="C10" s="108" t="s">
        <v>37</v>
      </c>
      <c r="D10" s="45"/>
      <c r="E10" s="45"/>
      <c r="F10" s="109"/>
      <c r="G10" s="110"/>
      <c r="H10" s="19"/>
      <c r="K10" s="264">
        <f>ROW()-9</f>
        <v>1</v>
      </c>
      <c r="L10" s="885">
        <f>SUM(G10:G17)</f>
        <v>0</v>
      </c>
    </row>
    <row r="11" spans="1:12" s="11" customFormat="1" hidden="1">
      <c r="A11" s="29"/>
      <c r="B11" s="22"/>
      <c r="C11" s="54"/>
      <c r="D11" s="299"/>
      <c r="E11" s="299"/>
      <c r="F11" s="434"/>
      <c r="G11" s="435"/>
      <c r="H11" s="24"/>
      <c r="I11" s="21"/>
      <c r="K11" s="279">
        <f t="shared" ref="K11:K65" si="0">ROW()-9</f>
        <v>2</v>
      </c>
      <c r="L11" s="257"/>
    </row>
    <row r="12" spans="1:12" s="11" customFormat="1">
      <c r="A12" s="29"/>
      <c r="B12" s="22"/>
      <c r="C12" s="54"/>
      <c r="D12" s="20"/>
      <c r="E12" s="20"/>
      <c r="F12" s="52"/>
      <c r="G12" s="56"/>
      <c r="H12" s="24"/>
      <c r="I12" s="21"/>
      <c r="K12" s="279">
        <f t="shared" si="0"/>
        <v>3</v>
      </c>
      <c r="L12" s="257"/>
    </row>
    <row r="13" spans="1:12" s="11" customFormat="1">
      <c r="A13" s="29"/>
      <c r="B13" s="22"/>
      <c r="C13" s="54"/>
      <c r="D13" s="20"/>
      <c r="E13" s="20"/>
      <c r="F13" s="52"/>
      <c r="G13" s="56"/>
      <c r="H13" s="24"/>
      <c r="I13" s="21"/>
      <c r="K13" s="279">
        <f t="shared" si="0"/>
        <v>4</v>
      </c>
      <c r="L13" s="257"/>
    </row>
    <row r="14" spans="1:12" s="11" customFormat="1">
      <c r="A14" s="29"/>
      <c r="B14" s="22"/>
      <c r="C14" s="54"/>
      <c r="D14" s="20"/>
      <c r="E14" s="20"/>
      <c r="F14" s="52"/>
      <c r="G14" s="56"/>
      <c r="H14" s="24"/>
      <c r="I14" s="21"/>
      <c r="K14" s="279">
        <f t="shared" si="0"/>
        <v>5</v>
      </c>
      <c r="L14" s="257"/>
    </row>
    <row r="15" spans="1:12" s="11" customFormat="1">
      <c r="A15" s="29"/>
      <c r="B15" s="22"/>
      <c r="C15" s="54"/>
      <c r="D15" s="20"/>
      <c r="E15" s="20"/>
      <c r="F15" s="52"/>
      <c r="G15" s="56"/>
      <c r="H15" s="24"/>
      <c r="I15" s="21"/>
      <c r="K15" s="279">
        <f t="shared" si="0"/>
        <v>6</v>
      </c>
      <c r="L15" s="257"/>
    </row>
    <row r="16" spans="1:12" s="11" customFormat="1">
      <c r="A16" s="29"/>
      <c r="B16" s="22"/>
      <c r="C16" s="54"/>
      <c r="D16" s="20"/>
      <c r="E16" s="20"/>
      <c r="F16" s="52"/>
      <c r="G16" s="56"/>
      <c r="H16" s="24"/>
      <c r="I16" s="21"/>
      <c r="K16" s="279">
        <f t="shared" si="0"/>
        <v>7</v>
      </c>
      <c r="L16" s="257"/>
    </row>
    <row r="17" spans="1:12">
      <c r="A17" s="28"/>
      <c r="B17" s="16"/>
      <c r="C17" s="76" t="s">
        <v>38</v>
      </c>
      <c r="D17" s="45"/>
      <c r="E17" s="45"/>
      <c r="F17" s="111"/>
      <c r="G17" s="110"/>
      <c r="H17" s="19"/>
      <c r="K17" s="264">
        <f t="shared" si="0"/>
        <v>8</v>
      </c>
      <c r="L17" s="885">
        <f>SUM(G17:G24)</f>
        <v>0</v>
      </c>
    </row>
    <row r="18" spans="1:12" s="11" customFormat="1" hidden="1">
      <c r="A18" s="29"/>
      <c r="B18" s="22"/>
      <c r="C18" s="54"/>
      <c r="D18" s="299"/>
      <c r="E18" s="299"/>
      <c r="F18" s="434"/>
      <c r="G18" s="435"/>
      <c r="H18" s="24"/>
      <c r="I18" s="21"/>
      <c r="K18" s="279">
        <f t="shared" si="0"/>
        <v>9</v>
      </c>
      <c r="L18" s="257"/>
    </row>
    <row r="19" spans="1:12" s="11" customFormat="1">
      <c r="A19" s="29"/>
      <c r="B19" s="22"/>
      <c r="C19" s="54"/>
      <c r="D19" s="20"/>
      <c r="E19" s="20"/>
      <c r="F19" s="52"/>
      <c r="G19" s="56"/>
      <c r="H19" s="24"/>
      <c r="I19" s="21"/>
      <c r="K19" s="279">
        <f t="shared" si="0"/>
        <v>10</v>
      </c>
      <c r="L19" s="257"/>
    </row>
    <row r="20" spans="1:12" s="11" customFormat="1">
      <c r="A20" s="29"/>
      <c r="B20" s="22"/>
      <c r="C20" s="54"/>
      <c r="D20" s="20"/>
      <c r="E20" s="20"/>
      <c r="F20" s="52"/>
      <c r="G20" s="56"/>
      <c r="H20" s="24"/>
      <c r="I20" s="21"/>
      <c r="K20" s="279">
        <f t="shared" si="0"/>
        <v>11</v>
      </c>
      <c r="L20" s="257"/>
    </row>
    <row r="21" spans="1:12" s="11" customFormat="1">
      <c r="A21" s="29"/>
      <c r="B21" s="22"/>
      <c r="C21" s="54"/>
      <c r="D21" s="20"/>
      <c r="E21" s="20"/>
      <c r="F21" s="52"/>
      <c r="G21" s="56"/>
      <c r="H21" s="24"/>
      <c r="I21" s="21"/>
      <c r="K21" s="279">
        <f t="shared" si="0"/>
        <v>12</v>
      </c>
      <c r="L21" s="257"/>
    </row>
    <row r="22" spans="1:12" s="11" customFormat="1">
      <c r="A22" s="29"/>
      <c r="B22" s="22"/>
      <c r="C22" s="54"/>
      <c r="D22" s="20"/>
      <c r="E22" s="20"/>
      <c r="F22" s="52"/>
      <c r="G22" s="56"/>
      <c r="H22" s="24"/>
      <c r="I22" s="21"/>
      <c r="K22" s="279">
        <f t="shared" si="0"/>
        <v>13</v>
      </c>
      <c r="L22" s="257"/>
    </row>
    <row r="23" spans="1:12" s="11" customFormat="1">
      <c r="A23" s="29"/>
      <c r="B23" s="22"/>
      <c r="C23" s="54"/>
      <c r="D23" s="20"/>
      <c r="E23" s="20"/>
      <c r="F23" s="52"/>
      <c r="G23" s="56"/>
      <c r="H23" s="24"/>
      <c r="I23" s="21"/>
      <c r="K23" s="279">
        <f t="shared" si="0"/>
        <v>14</v>
      </c>
      <c r="L23" s="257"/>
    </row>
    <row r="24" spans="1:12">
      <c r="A24" s="28"/>
      <c r="B24" s="16"/>
      <c r="C24" s="76" t="s">
        <v>39</v>
      </c>
      <c r="D24" s="45"/>
      <c r="E24" s="45"/>
      <c r="F24" s="111"/>
      <c r="G24" s="110"/>
      <c r="H24" s="19"/>
      <c r="K24" s="264">
        <f t="shared" si="0"/>
        <v>15</v>
      </c>
      <c r="L24" s="885">
        <f>SUM(G24:G31)</f>
        <v>0</v>
      </c>
    </row>
    <row r="25" spans="1:12" s="11" customFormat="1" hidden="1">
      <c r="A25" s="29"/>
      <c r="B25" s="22"/>
      <c r="C25" s="54"/>
      <c r="D25" s="299"/>
      <c r="E25" s="299"/>
      <c r="F25" s="434"/>
      <c r="G25" s="435"/>
      <c r="H25" s="24"/>
      <c r="I25" s="21"/>
      <c r="K25" s="279">
        <f t="shared" si="0"/>
        <v>16</v>
      </c>
      <c r="L25" s="257"/>
    </row>
    <row r="26" spans="1:12" s="11" customFormat="1">
      <c r="A26" s="29"/>
      <c r="B26" s="22"/>
      <c r="C26" s="54"/>
      <c r="D26" s="20"/>
      <c r="E26" s="20"/>
      <c r="F26" s="52"/>
      <c r="G26" s="56"/>
      <c r="H26" s="24"/>
      <c r="I26" s="21"/>
      <c r="K26" s="279">
        <f t="shared" si="0"/>
        <v>17</v>
      </c>
      <c r="L26" s="257"/>
    </row>
    <row r="27" spans="1:12" s="11" customFormat="1">
      <c r="A27" s="29"/>
      <c r="B27" s="22"/>
      <c r="C27" s="54"/>
      <c r="D27" s="20"/>
      <c r="E27" s="20"/>
      <c r="F27" s="52"/>
      <c r="G27" s="56"/>
      <c r="H27" s="24"/>
      <c r="I27" s="21"/>
      <c r="K27" s="279">
        <f t="shared" si="0"/>
        <v>18</v>
      </c>
      <c r="L27" s="257"/>
    </row>
    <row r="28" spans="1:12" s="11" customFormat="1">
      <c r="A28" s="29"/>
      <c r="B28" s="22"/>
      <c r="C28" s="54"/>
      <c r="D28" s="20"/>
      <c r="E28" s="20"/>
      <c r="F28" s="52"/>
      <c r="G28" s="56"/>
      <c r="H28" s="24"/>
      <c r="I28" s="21"/>
      <c r="K28" s="279">
        <f t="shared" si="0"/>
        <v>19</v>
      </c>
      <c r="L28" s="257"/>
    </row>
    <row r="29" spans="1:12" s="11" customFormat="1">
      <c r="A29" s="29"/>
      <c r="B29" s="22"/>
      <c r="C29" s="54"/>
      <c r="D29" s="20"/>
      <c r="E29" s="20"/>
      <c r="F29" s="52"/>
      <c r="G29" s="56"/>
      <c r="H29" s="24"/>
      <c r="I29" s="21"/>
      <c r="K29" s="279">
        <f t="shared" si="0"/>
        <v>20</v>
      </c>
      <c r="L29" s="257"/>
    </row>
    <row r="30" spans="1:12" s="11" customFormat="1">
      <c r="A30" s="29"/>
      <c r="B30" s="22"/>
      <c r="C30" s="54"/>
      <c r="D30" s="20"/>
      <c r="E30" s="20"/>
      <c r="F30" s="52"/>
      <c r="G30" s="56"/>
      <c r="H30" s="24"/>
      <c r="I30" s="21"/>
      <c r="K30" s="279">
        <f t="shared" si="0"/>
        <v>21</v>
      </c>
      <c r="L30" s="257"/>
    </row>
    <row r="31" spans="1:12">
      <c r="A31" s="28"/>
      <c r="B31" s="16"/>
      <c r="C31" s="76" t="s">
        <v>40</v>
      </c>
      <c r="D31" s="45"/>
      <c r="E31" s="45"/>
      <c r="F31" s="111"/>
      <c r="G31" s="110"/>
      <c r="H31" s="19"/>
      <c r="K31" s="264">
        <f t="shared" si="0"/>
        <v>22</v>
      </c>
      <c r="L31" s="885">
        <f>SUM(G31:G38)</f>
        <v>0</v>
      </c>
    </row>
    <row r="32" spans="1:12" s="11" customFormat="1" hidden="1">
      <c r="A32" s="29"/>
      <c r="B32" s="22"/>
      <c r="C32" s="54"/>
      <c r="D32" s="299"/>
      <c r="E32" s="299"/>
      <c r="F32" s="434"/>
      <c r="G32" s="435"/>
      <c r="H32" s="24"/>
      <c r="I32" s="21"/>
      <c r="K32" s="279">
        <f t="shared" si="0"/>
        <v>23</v>
      </c>
      <c r="L32" s="257"/>
    </row>
    <row r="33" spans="1:12" s="11" customFormat="1">
      <c r="A33" s="29"/>
      <c r="B33" s="22"/>
      <c r="C33" s="54"/>
      <c r="D33" s="20"/>
      <c r="E33" s="20"/>
      <c r="F33" s="52"/>
      <c r="G33" s="56"/>
      <c r="H33" s="24"/>
      <c r="I33" s="21"/>
      <c r="K33" s="279">
        <f t="shared" si="0"/>
        <v>24</v>
      </c>
      <c r="L33" s="257"/>
    </row>
    <row r="34" spans="1:12" s="11" customFormat="1">
      <c r="A34" s="29"/>
      <c r="B34" s="22"/>
      <c r="C34" s="54"/>
      <c r="D34" s="20"/>
      <c r="E34" s="20"/>
      <c r="F34" s="52"/>
      <c r="G34" s="56"/>
      <c r="H34" s="24"/>
      <c r="I34" s="21"/>
      <c r="K34" s="279">
        <f t="shared" si="0"/>
        <v>25</v>
      </c>
      <c r="L34" s="257"/>
    </row>
    <row r="35" spans="1:12" s="11" customFormat="1">
      <c r="A35" s="29"/>
      <c r="B35" s="22"/>
      <c r="C35" s="54"/>
      <c r="D35" s="20"/>
      <c r="E35" s="20"/>
      <c r="F35" s="52"/>
      <c r="G35" s="56"/>
      <c r="H35" s="24"/>
      <c r="I35" s="21"/>
      <c r="K35" s="279">
        <f t="shared" si="0"/>
        <v>26</v>
      </c>
      <c r="L35" s="257"/>
    </row>
    <row r="36" spans="1:12" s="11" customFormat="1">
      <c r="A36" s="29"/>
      <c r="B36" s="22"/>
      <c r="C36" s="54"/>
      <c r="D36" s="20"/>
      <c r="E36" s="20"/>
      <c r="F36" s="52"/>
      <c r="G36" s="56"/>
      <c r="H36" s="24"/>
      <c r="I36" s="21"/>
      <c r="K36" s="279">
        <f t="shared" si="0"/>
        <v>27</v>
      </c>
      <c r="L36" s="257"/>
    </row>
    <row r="37" spans="1:12" s="11" customFormat="1">
      <c r="A37" s="29"/>
      <c r="B37" s="22"/>
      <c r="C37" s="54"/>
      <c r="D37" s="20"/>
      <c r="E37" s="20"/>
      <c r="F37" s="52"/>
      <c r="G37" s="56"/>
      <c r="H37" s="24"/>
      <c r="I37" s="21"/>
      <c r="K37" s="279">
        <f t="shared" si="0"/>
        <v>28</v>
      </c>
      <c r="L37" s="257"/>
    </row>
    <row r="38" spans="1:12">
      <c r="A38" s="28"/>
      <c r="B38" s="16"/>
      <c r="C38" s="76" t="s">
        <v>41</v>
      </c>
      <c r="D38" s="45"/>
      <c r="E38" s="45"/>
      <c r="F38" s="111"/>
      <c r="G38" s="110"/>
      <c r="H38" s="19"/>
      <c r="K38" s="264">
        <f t="shared" si="0"/>
        <v>29</v>
      </c>
      <c r="L38" s="885">
        <f>SUM(G38:G45)</f>
        <v>0</v>
      </c>
    </row>
    <row r="39" spans="1:12" s="11" customFormat="1" hidden="1">
      <c r="A39" s="29"/>
      <c r="B39" s="22"/>
      <c r="C39" s="54"/>
      <c r="D39" s="299"/>
      <c r="E39" s="299"/>
      <c r="F39" s="434"/>
      <c r="G39" s="435"/>
      <c r="H39" s="24"/>
      <c r="I39" s="21"/>
      <c r="K39" s="279">
        <f t="shared" si="0"/>
        <v>30</v>
      </c>
      <c r="L39" s="257"/>
    </row>
    <row r="40" spans="1:12" s="11" customFormat="1">
      <c r="A40" s="29"/>
      <c r="B40" s="22"/>
      <c r="C40" s="54"/>
      <c r="D40" s="20"/>
      <c r="E40" s="20"/>
      <c r="F40" s="52"/>
      <c r="G40" s="56"/>
      <c r="H40" s="24"/>
      <c r="I40" s="21"/>
      <c r="K40" s="279">
        <f t="shared" si="0"/>
        <v>31</v>
      </c>
      <c r="L40" s="257"/>
    </row>
    <row r="41" spans="1:12" s="11" customFormat="1">
      <c r="A41" s="29"/>
      <c r="B41" s="22"/>
      <c r="C41" s="54"/>
      <c r="D41" s="20"/>
      <c r="E41" s="20"/>
      <c r="F41" s="52"/>
      <c r="G41" s="56"/>
      <c r="H41" s="24"/>
      <c r="I41" s="21"/>
      <c r="K41" s="279">
        <f t="shared" si="0"/>
        <v>32</v>
      </c>
      <c r="L41" s="257"/>
    </row>
    <row r="42" spans="1:12" s="11" customFormat="1">
      <c r="A42" s="29"/>
      <c r="B42" s="22"/>
      <c r="C42" s="54"/>
      <c r="D42" s="20"/>
      <c r="E42" s="20"/>
      <c r="F42" s="52"/>
      <c r="G42" s="56"/>
      <c r="H42" s="24"/>
      <c r="I42" s="21"/>
      <c r="K42" s="279">
        <f t="shared" si="0"/>
        <v>33</v>
      </c>
      <c r="L42" s="257"/>
    </row>
    <row r="43" spans="1:12" s="11" customFormat="1">
      <c r="A43" s="29"/>
      <c r="B43" s="22"/>
      <c r="C43" s="54"/>
      <c r="D43" s="20"/>
      <c r="E43" s="20"/>
      <c r="F43" s="52"/>
      <c r="G43" s="56"/>
      <c r="H43" s="24"/>
      <c r="I43" s="21"/>
      <c r="K43" s="279">
        <f t="shared" si="0"/>
        <v>34</v>
      </c>
      <c r="L43" s="257"/>
    </row>
    <row r="44" spans="1:12" s="11" customFormat="1">
      <c r="A44" s="29"/>
      <c r="B44" s="22"/>
      <c r="C44" s="54"/>
      <c r="D44" s="20"/>
      <c r="E44" s="20"/>
      <c r="F44" s="52"/>
      <c r="G44" s="56"/>
      <c r="H44" s="24"/>
      <c r="I44" s="21"/>
      <c r="K44" s="279">
        <f t="shared" si="0"/>
        <v>35</v>
      </c>
      <c r="L44" s="257"/>
    </row>
    <row r="45" spans="1:12">
      <c r="A45" s="28"/>
      <c r="B45" s="16"/>
      <c r="C45" s="76" t="s">
        <v>42</v>
      </c>
      <c r="D45" s="45"/>
      <c r="E45" s="45"/>
      <c r="F45" s="111"/>
      <c r="G45" s="110"/>
      <c r="H45" s="19"/>
      <c r="K45" s="264">
        <f t="shared" si="0"/>
        <v>36</v>
      </c>
      <c r="L45" s="885">
        <f>SUM(G45:G52)</f>
        <v>0</v>
      </c>
    </row>
    <row r="46" spans="1:12" s="11" customFormat="1" hidden="1">
      <c r="A46" s="29"/>
      <c r="B46" s="22"/>
      <c r="C46" s="54"/>
      <c r="D46" s="299"/>
      <c r="E46" s="299"/>
      <c r="F46" s="434"/>
      <c r="G46" s="435"/>
      <c r="H46" s="24"/>
      <c r="I46" s="21"/>
      <c r="K46" s="279">
        <f t="shared" si="0"/>
        <v>37</v>
      </c>
      <c r="L46" s="257"/>
    </row>
    <row r="47" spans="1:12" s="11" customFormat="1">
      <c r="A47" s="29"/>
      <c r="B47" s="22"/>
      <c r="C47" s="54"/>
      <c r="D47" s="20"/>
      <c r="E47" s="20"/>
      <c r="F47" s="52"/>
      <c r="G47" s="56"/>
      <c r="H47" s="24"/>
      <c r="I47" s="21"/>
      <c r="K47" s="279">
        <f t="shared" si="0"/>
        <v>38</v>
      </c>
      <c r="L47" s="257"/>
    </row>
    <row r="48" spans="1:12" s="11" customFormat="1">
      <c r="A48" s="29"/>
      <c r="B48" s="22"/>
      <c r="C48" s="54"/>
      <c r="D48" s="20"/>
      <c r="E48" s="20"/>
      <c r="F48" s="52"/>
      <c r="G48" s="56"/>
      <c r="H48" s="24"/>
      <c r="I48" s="21"/>
      <c r="K48" s="279">
        <f t="shared" si="0"/>
        <v>39</v>
      </c>
      <c r="L48" s="257"/>
    </row>
    <row r="49" spans="1:12" s="11" customFormat="1">
      <c r="A49" s="29"/>
      <c r="B49" s="22"/>
      <c r="C49" s="54"/>
      <c r="D49" s="20"/>
      <c r="E49" s="20"/>
      <c r="F49" s="52"/>
      <c r="G49" s="56"/>
      <c r="H49" s="24"/>
      <c r="I49" s="21"/>
      <c r="K49" s="279">
        <f t="shared" si="0"/>
        <v>40</v>
      </c>
      <c r="L49" s="257"/>
    </row>
    <row r="50" spans="1:12" s="11" customFormat="1">
      <c r="A50" s="29"/>
      <c r="B50" s="22"/>
      <c r="C50" s="54"/>
      <c r="D50" s="20"/>
      <c r="E50" s="20"/>
      <c r="F50" s="52"/>
      <c r="G50" s="56"/>
      <c r="H50" s="24"/>
      <c r="I50" s="21"/>
      <c r="K50" s="279">
        <f t="shared" si="0"/>
        <v>41</v>
      </c>
      <c r="L50" s="257"/>
    </row>
    <row r="51" spans="1:12" s="11" customFormat="1">
      <c r="A51" s="29"/>
      <c r="B51" s="22"/>
      <c r="C51" s="54"/>
      <c r="D51" s="20"/>
      <c r="E51" s="20"/>
      <c r="F51" s="52"/>
      <c r="G51" s="56"/>
      <c r="H51" s="24"/>
      <c r="I51" s="21"/>
      <c r="K51" s="279">
        <f t="shared" si="0"/>
        <v>42</v>
      </c>
      <c r="L51" s="257"/>
    </row>
    <row r="52" spans="1:12">
      <c r="A52" s="28"/>
      <c r="B52" s="16"/>
      <c r="C52" s="76" t="s">
        <v>43</v>
      </c>
      <c r="D52" s="45"/>
      <c r="E52" s="45"/>
      <c r="F52" s="111"/>
      <c r="G52" s="110"/>
      <c r="H52" s="19"/>
      <c r="K52" s="264">
        <f t="shared" si="0"/>
        <v>43</v>
      </c>
      <c r="L52" s="885">
        <f>SUM(G52:G59)</f>
        <v>0</v>
      </c>
    </row>
    <row r="53" spans="1:12" s="11" customFormat="1" hidden="1">
      <c r="A53" s="29"/>
      <c r="B53" s="22"/>
      <c r="C53" s="54"/>
      <c r="D53" s="299"/>
      <c r="E53" s="299"/>
      <c r="F53" s="434"/>
      <c r="G53" s="435"/>
      <c r="H53" s="24"/>
      <c r="I53" s="21"/>
      <c r="K53" s="279">
        <f t="shared" si="0"/>
        <v>44</v>
      </c>
      <c r="L53" s="257"/>
    </row>
    <row r="54" spans="1:12" s="11" customFormat="1">
      <c r="A54" s="29"/>
      <c r="B54" s="22"/>
      <c r="C54" s="54"/>
      <c r="D54" s="20"/>
      <c r="E54" s="20"/>
      <c r="F54" s="52"/>
      <c r="G54" s="56"/>
      <c r="H54" s="24"/>
      <c r="I54" s="21"/>
      <c r="K54" s="279">
        <f t="shared" si="0"/>
        <v>45</v>
      </c>
      <c r="L54" s="257"/>
    </row>
    <row r="55" spans="1:12" s="11" customFormat="1">
      <c r="A55" s="29"/>
      <c r="B55" s="22"/>
      <c r="C55" s="54"/>
      <c r="D55" s="20"/>
      <c r="E55" s="20"/>
      <c r="F55" s="52"/>
      <c r="G55" s="56"/>
      <c r="H55" s="24"/>
      <c r="I55" s="21"/>
      <c r="K55" s="279">
        <f t="shared" si="0"/>
        <v>46</v>
      </c>
      <c r="L55" s="257"/>
    </row>
    <row r="56" spans="1:12" s="11" customFormat="1">
      <c r="A56" s="29"/>
      <c r="B56" s="22"/>
      <c r="C56" s="54"/>
      <c r="D56" s="20"/>
      <c r="E56" s="20"/>
      <c r="F56" s="52"/>
      <c r="G56" s="56"/>
      <c r="H56" s="24"/>
      <c r="I56" s="21"/>
      <c r="K56" s="279">
        <f t="shared" si="0"/>
        <v>47</v>
      </c>
      <c r="L56" s="257"/>
    </row>
    <row r="57" spans="1:12" s="11" customFormat="1">
      <c r="A57" s="29"/>
      <c r="B57" s="22"/>
      <c r="C57" s="54"/>
      <c r="D57" s="20"/>
      <c r="E57" s="20"/>
      <c r="F57" s="52"/>
      <c r="G57" s="56"/>
      <c r="H57" s="24"/>
      <c r="I57" s="21"/>
      <c r="K57" s="279">
        <f t="shared" si="0"/>
        <v>48</v>
      </c>
      <c r="L57" s="257"/>
    </row>
    <row r="58" spans="1:12" s="11" customFormat="1">
      <c r="A58" s="29"/>
      <c r="B58" s="22"/>
      <c r="C58" s="54"/>
      <c r="D58" s="20"/>
      <c r="E58" s="20"/>
      <c r="F58" s="52"/>
      <c r="G58" s="56"/>
      <c r="H58" s="24"/>
      <c r="I58" s="21"/>
      <c r="K58" s="279">
        <f t="shared" si="0"/>
        <v>49</v>
      </c>
      <c r="L58" s="257"/>
    </row>
    <row r="59" spans="1:12">
      <c r="A59" s="28"/>
      <c r="B59" s="16"/>
      <c r="C59" s="76" t="s">
        <v>21</v>
      </c>
      <c r="D59" s="45"/>
      <c r="E59" s="45"/>
      <c r="F59" s="111"/>
      <c r="G59" s="110"/>
      <c r="H59" s="19"/>
      <c r="K59" s="264">
        <f t="shared" si="0"/>
        <v>50</v>
      </c>
      <c r="L59" s="885">
        <f ca="1">SUM(G59:G66)-G66</f>
        <v>0</v>
      </c>
    </row>
    <row r="60" spans="1:12" s="11" customFormat="1" hidden="1">
      <c r="A60" s="29"/>
      <c r="B60" s="22"/>
      <c r="C60" s="54"/>
      <c r="D60" s="299"/>
      <c r="E60" s="299"/>
      <c r="F60" s="434"/>
      <c r="G60" s="435"/>
      <c r="H60" s="24"/>
      <c r="I60" s="21"/>
      <c r="K60" s="279">
        <f t="shared" si="0"/>
        <v>51</v>
      </c>
      <c r="L60" s="257"/>
    </row>
    <row r="61" spans="1:12" s="11" customFormat="1">
      <c r="A61" s="29"/>
      <c r="B61" s="22"/>
      <c r="C61" s="54"/>
      <c r="D61" s="20"/>
      <c r="E61" s="20"/>
      <c r="F61" s="52"/>
      <c r="G61" s="56"/>
      <c r="H61" s="24"/>
      <c r="I61" s="21"/>
      <c r="K61" s="279">
        <f t="shared" si="0"/>
        <v>52</v>
      </c>
      <c r="L61" s="257"/>
    </row>
    <row r="62" spans="1:12" s="11" customFormat="1">
      <c r="A62" s="29"/>
      <c r="B62" s="22"/>
      <c r="C62" s="54"/>
      <c r="D62" s="20"/>
      <c r="E62" s="20"/>
      <c r="F62" s="52"/>
      <c r="G62" s="56"/>
      <c r="H62" s="24"/>
      <c r="I62" s="21"/>
      <c r="K62" s="279">
        <f t="shared" si="0"/>
        <v>53</v>
      </c>
      <c r="L62" s="257"/>
    </row>
    <row r="63" spans="1:12" s="11" customFormat="1">
      <c r="A63" s="29"/>
      <c r="B63" s="22"/>
      <c r="C63" s="54"/>
      <c r="D63" s="25"/>
      <c r="E63" s="25"/>
      <c r="F63" s="53"/>
      <c r="G63" s="57"/>
      <c r="H63" s="24"/>
      <c r="I63" s="21"/>
      <c r="K63" s="279">
        <f t="shared" si="0"/>
        <v>54</v>
      </c>
      <c r="L63" s="257"/>
    </row>
    <row r="64" spans="1:12" s="11" customFormat="1">
      <c r="A64" s="29"/>
      <c r="B64" s="22"/>
      <c r="C64" s="54"/>
      <c r="D64" s="25"/>
      <c r="E64" s="25"/>
      <c r="F64" s="53"/>
      <c r="G64" s="57"/>
      <c r="H64" s="24"/>
      <c r="I64" s="21"/>
      <c r="K64" s="279">
        <f t="shared" si="0"/>
        <v>55</v>
      </c>
      <c r="L64" s="257"/>
    </row>
    <row r="65" spans="1:12" s="11" customFormat="1">
      <c r="A65" s="29"/>
      <c r="B65" s="22"/>
      <c r="C65" s="54"/>
      <c r="D65" s="25"/>
      <c r="E65" s="25"/>
      <c r="F65" s="53"/>
      <c r="G65" s="57"/>
      <c r="H65" s="24"/>
      <c r="I65" s="21"/>
      <c r="K65" s="279">
        <f t="shared" si="0"/>
        <v>56</v>
      </c>
      <c r="L65" s="257"/>
    </row>
    <row r="66" spans="1:12">
      <c r="A66" s="31"/>
      <c r="B66" s="32"/>
      <c r="C66" s="112" t="s">
        <v>26</v>
      </c>
      <c r="D66" s="113"/>
      <c r="E66" s="114"/>
      <c r="F66" s="115"/>
      <c r="G66" s="649">
        <f ca="1">SUM(OFFSET(G$10,0,0,ROW()-ROW(G$10),1))</f>
        <v>0</v>
      </c>
      <c r="H66" s="19"/>
      <c r="K66" s="264">
        <f ca="1">SUM(OFFSET(G$10,0,0,ROW()-ROW(G$10),1))</f>
        <v>0</v>
      </c>
      <c r="L66" s="177"/>
    </row>
    <row r="67" spans="1:12" ht="7.5" customHeight="1">
      <c r="B67" s="33"/>
      <c r="C67" s="26"/>
      <c r="D67" s="34"/>
      <c r="E67" s="34"/>
      <c r="F67" s="34"/>
      <c r="G67" s="26"/>
      <c r="H67" s="27"/>
    </row>
    <row r="68" spans="1:12">
      <c r="K68" t="s">
        <v>458</v>
      </c>
      <c r="L68">
        <f ca="1">(G66=K66)*1</f>
        <v>1</v>
      </c>
    </row>
  </sheetData>
  <sheetProtection algorithmName="SHA-512" hashValue="gh86cZ+Gr4srVpuXsDo2CdMdmc6rruKp5vj3kr6IFlHJ3G8lvsnqMBI58ouVdLOGsae/QdERTHXKMIsYy9TU7w==" saltValue="5mldJsRh/gz01QqtLPHDqw==" spinCount="100000" sheet="1" formatCells="0" insertRows="0" deleteRows="0"/>
  <phoneticPr fontId="1"/>
  <conditionalFormatting sqref="C9">
    <cfRule type="expression" dxfId="340" priority="29">
      <formula>$C$10=""</formula>
    </cfRule>
  </conditionalFormatting>
  <conditionalFormatting sqref="C10:C65">
    <cfRule type="containsBlanks" dxfId="339" priority="8">
      <formula>LEN(TRIM(C10))=0</formula>
    </cfRule>
    <cfRule type="notContainsBlanks" dxfId="338" priority="13">
      <formula>LEN(TRIM(C10))&gt;0</formula>
    </cfRule>
  </conditionalFormatting>
  <conditionalFormatting sqref="C10:C66">
    <cfRule type="expression" dxfId="337" priority="4339">
      <formula>COUNTIF($C$10:$C$66,$C10)&gt;1</formula>
    </cfRule>
  </conditionalFormatting>
  <conditionalFormatting sqref="C10:G66">
    <cfRule type="expression" dxfId="336" priority="3">
      <formula>$K10=""</formula>
    </cfRule>
  </conditionalFormatting>
  <conditionalFormatting sqref="D10:E65">
    <cfRule type="expression" dxfId="335" priority="10">
      <formula>$C10="*"</formula>
    </cfRule>
  </conditionalFormatting>
  <conditionalFormatting sqref="D10:G65">
    <cfRule type="notContainsBlanks" dxfId="334" priority="7" stopIfTrue="1">
      <formula>LEN(TRIM(D10))&gt;0</formula>
    </cfRule>
    <cfRule type="expression" dxfId="333" priority="9">
      <formula>$C10=""</formula>
    </cfRule>
  </conditionalFormatting>
  <conditionalFormatting sqref="E10:G65">
    <cfRule type="expression" dxfId="332" priority="6">
      <formula>$C10&lt;&gt;""</formula>
    </cfRule>
  </conditionalFormatting>
  <conditionalFormatting sqref="F10:G65">
    <cfRule type="expression" dxfId="331" priority="14">
      <formula>$D10&lt;&gt;""</formula>
    </cfRule>
  </conditionalFormatting>
  <conditionalFormatting sqref="F63:G65">
    <cfRule type="expression" dxfId="330" priority="11">
      <formula>F63&lt;&gt;""</formula>
    </cfRule>
  </conditionalFormatting>
  <conditionalFormatting sqref="G66">
    <cfRule type="expression" dxfId="329" priority="1">
      <formula>$G$66&lt;&gt;$K$66</formula>
    </cfRule>
    <cfRule type="cellIs" dxfId="328" priority="2" operator="notEqual">
      <formula>0</formula>
    </cfRule>
  </conditionalFormatting>
  <conditionalFormatting sqref="K9:L9">
    <cfRule type="expression" dxfId="327" priority="4">
      <formula>$C$10=""</formula>
    </cfRule>
  </conditionalFormatting>
  <dataValidations count="2">
    <dataValidation type="decimal" operator="greaterThanOrEqual" allowBlank="1" showInputMessage="1" showErrorMessage="1" error="数値で入力してください" sqref="G10:G65" xr:uid="{BD804D8E-3E2F-4B91-BAF8-70DA43E33E7F}">
      <formula1>0</formula1>
    </dataValidation>
    <dataValidation type="textLength" operator="lessThan" allowBlank="1" showInputMessage="1" showErrorMessage="1" sqref="C10:C65" xr:uid="{74AB737F-9A0E-459B-9537-399D6D589EC7}">
      <formula1>1</formula1>
    </dataValidation>
  </dataValidations>
  <pageMargins left="0.7" right="0.7" top="0.75" bottom="0.75" header="0.3" footer="0.3"/>
  <pageSetup paperSize="8" scale="96" orientation="portrait" r:id="rId1"/>
  <customProperties>
    <customPr name="EpmWorksheetKeyString_GU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FD628-8CBB-42DB-A365-02BB63DFC440}">
  <sheetPr codeName="Sheet35">
    <tabColor theme="7" tint="0.79998168889431442"/>
    <pageSetUpPr autoPageBreaks="0" fitToPage="1"/>
  </sheetPr>
  <dimension ref="A1:V47"/>
  <sheetViews>
    <sheetView showGridLines="0" zoomScaleNormal="100" zoomScaleSheetLayoutView="90" workbookViewId="0"/>
  </sheetViews>
  <sheetFormatPr defaultColWidth="9" defaultRowHeight="18"/>
  <cols>
    <col min="1" max="1" width="3.5" customWidth="1"/>
    <col min="2" max="2" width="0.83203125" style="13" customWidth="1"/>
    <col min="3" max="3" width="6.58203125" style="13" customWidth="1"/>
    <col min="4" max="4" width="7.5" style="13" customWidth="1"/>
    <col min="5" max="5" width="46.83203125" style="13" customWidth="1"/>
    <col min="6" max="6" width="25.08203125" style="13" customWidth="1"/>
    <col min="7" max="7" width="19" style="17" customWidth="1"/>
    <col min="8" max="9" width="13.58203125" style="13" customWidth="1"/>
    <col min="10" max="10" width="11.33203125" style="13" customWidth="1"/>
    <col min="11" max="11" width="0.83203125" style="13" customWidth="1"/>
    <col min="12" max="12" width="2.5" style="13" customWidth="1"/>
    <col min="16" max="19" width="14.5" style="123" hidden="1" customWidth="1"/>
    <col min="20" max="20" width="14.5" style="277" hidden="1" customWidth="1"/>
    <col min="21" max="21" width="14.5" style="2" hidden="1" customWidth="1"/>
    <col min="22" max="22" width="14.5" hidden="1" customWidth="1"/>
  </cols>
  <sheetData>
    <row r="1" spans="1:22">
      <c r="A1" s="44" t="s">
        <v>360</v>
      </c>
      <c r="K1"/>
      <c r="O1" s="123"/>
    </row>
    <row r="2" spans="1:22" ht="18.75" customHeight="1">
      <c r="B2" s="47" t="s">
        <v>507</v>
      </c>
      <c r="C2" s="47"/>
      <c r="D2" s="47"/>
      <c r="E2" s="47"/>
      <c r="F2" s="47"/>
      <c r="G2" s="92"/>
      <c r="H2" s="47"/>
      <c r="I2" s="47"/>
      <c r="J2" s="47"/>
      <c r="K2" s="47"/>
      <c r="O2" s="123"/>
      <c r="T2" s="123" t="s">
        <v>488</v>
      </c>
      <c r="U2" s="123" cm="1">
        <f t="array" ref="U2">IFERROR(_xlfn._xlws.FILTER(1,1),"")</f>
        <v>1</v>
      </c>
    </row>
    <row r="3" spans="1:22">
      <c r="B3" s="13" t="s">
        <v>508</v>
      </c>
      <c r="K3" s="17"/>
      <c r="O3" s="123"/>
      <c r="S3" s="123">
        <f ca="1">MAX(Q:Q)</f>
        <v>1</v>
      </c>
      <c r="U3">
        <f ca="1">COUNTIF($S$6:$S$36,"*?*")</f>
        <v>0</v>
      </c>
    </row>
    <row r="4" spans="1:22" ht="6.65" customHeight="1">
      <c r="B4" s="14"/>
      <c r="C4" s="15"/>
      <c r="D4" s="15"/>
      <c r="E4" s="15"/>
      <c r="F4" s="15"/>
      <c r="G4" s="18"/>
      <c r="H4" s="15"/>
      <c r="I4" s="15"/>
      <c r="J4" s="15"/>
      <c r="K4" s="30"/>
      <c r="O4" s="123"/>
    </row>
    <row r="5" spans="1:22" ht="67.5" customHeight="1">
      <c r="B5" s="16"/>
      <c r="C5" s="365" t="s">
        <v>0</v>
      </c>
      <c r="D5" s="365" t="s">
        <v>44</v>
      </c>
      <c r="E5" s="365" t="s">
        <v>29</v>
      </c>
      <c r="F5" s="365" t="s">
        <v>70</v>
      </c>
      <c r="G5" s="366" t="s">
        <v>12</v>
      </c>
      <c r="H5" s="300" t="s">
        <v>71</v>
      </c>
      <c r="I5" s="366" t="s">
        <v>72</v>
      </c>
      <c r="J5" s="366" t="s">
        <v>161</v>
      </c>
      <c r="K5" s="19"/>
      <c r="L5"/>
      <c r="O5" s="123"/>
      <c r="P5" s="305" t="s">
        <v>308</v>
      </c>
      <c r="Q5" s="305" t="s">
        <v>452</v>
      </c>
      <c r="R5" s="305" t="s">
        <v>29</v>
      </c>
      <c r="S5" s="305" t="s">
        <v>453</v>
      </c>
      <c r="T5" s="305" t="s">
        <v>454</v>
      </c>
      <c r="U5" s="382" t="s">
        <v>499</v>
      </c>
      <c r="V5" s="720" t="s">
        <v>535</v>
      </c>
    </row>
    <row r="6" spans="1:22">
      <c r="B6" s="16"/>
      <c r="C6" s="76"/>
      <c r="D6" s="673" t="s">
        <v>557</v>
      </c>
      <c r="E6" s="111"/>
      <c r="F6" s="652"/>
      <c r="G6" s="854"/>
      <c r="H6" s="653"/>
      <c r="I6" s="718" t="str">
        <f>IF(AND(COUNTBLANK(H6:H11)&lt;=3,COUNTA(H6:H11)=0),0,IF(SUM(H6:H11)=0,"",SUM(H6:H11)))</f>
        <v/>
      </c>
      <c r="J6" s="654"/>
      <c r="K6" s="19"/>
      <c r="L6"/>
      <c r="N6" s="377"/>
      <c r="O6" s="377"/>
      <c r="P6" s="367">
        <f t="shared" ref="P6:P36" si="0">ROW()-ROW($P$5)</f>
        <v>1</v>
      </c>
      <c r="Q6" s="217" t="str">
        <f>IF(R6&lt;&gt;"//",COUNTA($R$6:$R6)-COUNTIF($R$6:$R6,"//"),"")</f>
        <v/>
      </c>
      <c r="R6" s="367" t="str">
        <f>IF(E6="","//",E6)</f>
        <v>//</v>
      </c>
      <c r="S6" s="217">
        <f ca="1">_xlfn.IFNA(IF(COUNTIF('4.3民生部門電力以外の取組'!$D:$D,OFFSET($R$1,MATCH($P6,$Q:$Q,0)-1,0))=0,OFFSET($R$1,MATCH($P6,$Q:$Q,0)-1,0),""),"")</f>
        <v>0</v>
      </c>
      <c r="T6" s="367" t="str">
        <f ca="1">_xlfn.IFNA(OFFSET('4.3民生部門電力以外の取組'!$F$1,MATCH(E6,'4.3民生部門電力以外の取組'!$D:$D,0)+1,0),"")</f>
        <v/>
      </c>
      <c r="U6" s="217" cm="1">
        <f t="array" aca="1" ref="U6" ca="1">IFERROR(_xlfn._xlws.FILTER(S$6:S$36,S$6:S$36&lt;&gt;""),"")</f>
        <v>0</v>
      </c>
      <c r="V6" s="177" t="str">
        <f>IF(AND(COUNTBLANK(H6:H11)&lt;=3,COUNTA(H6:H11)=0),0,IF(SUM(H6:H11)=0,"",SUM(H6:H11)))</f>
        <v/>
      </c>
    </row>
    <row r="7" spans="1:22" s="11" customFormat="1" hidden="1">
      <c r="B7" s="22"/>
      <c r="C7" s="674"/>
      <c r="D7" s="43"/>
      <c r="E7" s="656"/>
      <c r="F7" s="657"/>
      <c r="G7" s="606"/>
      <c r="H7" s="658"/>
      <c r="I7" s="651"/>
      <c r="J7" s="669" t="str">
        <f ca="1">T7</f>
        <v/>
      </c>
      <c r="K7" s="24"/>
      <c r="L7" s="133"/>
      <c r="N7" s="12"/>
      <c r="O7" s="12"/>
      <c r="P7" s="306">
        <f t="shared" si="0"/>
        <v>2</v>
      </c>
      <c r="Q7" s="131" t="str">
        <f>IF(R7&lt;&gt;"//",COUNTA($R$6:$R7)-COUNTIF($R$6:$R7,"//"),"")</f>
        <v/>
      </c>
      <c r="R7" s="306" t="str">
        <f t="shared" ref="R7:R36" si="1">IF(E7="","//",E7)</f>
        <v>//</v>
      </c>
      <c r="S7" s="131" t="str">
        <f ca="1">_xlfn.IFNA(IF(COUNTIF('4.3民生部門電力以外の取組'!$D:$D,OFFSET($R$1,MATCH($P7,$Q:$Q,0)-1,0))=0,OFFSET($R$1,MATCH($P7,$Q:$Q,0)-1,0),""),"")</f>
        <v/>
      </c>
      <c r="T7" s="306" t="str">
        <f ca="1">_xlfn.IFNA(OFFSET('4.3民生部門電力以外の取組'!$F$1,MATCH(E7,'4.3民生部門電力以外の取組'!$D:$D,0)+1,0),"")</f>
        <v/>
      </c>
      <c r="U7" s="131"/>
      <c r="V7" s="257"/>
    </row>
    <row r="8" spans="1:22" s="11" customFormat="1">
      <c r="B8" s="41"/>
      <c r="C8" s="375"/>
      <c r="D8" s="43"/>
      <c r="E8" s="659"/>
      <c r="F8" s="660"/>
      <c r="G8" s="611"/>
      <c r="H8" s="661"/>
      <c r="I8" s="655"/>
      <c r="J8" s="670" t="str">
        <f t="shared" ref="J8:J35" ca="1" si="2">T8</f>
        <v/>
      </c>
      <c r="K8" s="161"/>
      <c r="N8" s="12"/>
      <c r="O8" s="12"/>
      <c r="P8" s="306">
        <f t="shared" si="0"/>
        <v>3</v>
      </c>
      <c r="Q8" s="131" t="str">
        <f>IF(R8&lt;&gt;"//",COUNTA($R$6:$R8)-COUNTIF($R$6:$R8,"//"),"")</f>
        <v/>
      </c>
      <c r="R8" s="306" t="str">
        <f t="shared" si="1"/>
        <v>//</v>
      </c>
      <c r="S8" s="131" t="str">
        <f ca="1">_xlfn.IFNA(IF(COUNTIF('4.3民生部門電力以外の取組'!$D:$D,OFFSET($R$1,MATCH($P8,$Q:$Q,0)-1,0))=0,OFFSET($R$1,MATCH($P8,$Q:$Q,0)-1,0),""),"")</f>
        <v/>
      </c>
      <c r="T8" s="306" t="str">
        <f ca="1">_xlfn.IFNA(OFFSET('4.3民生部門電力以外の取組'!$F$1,MATCH(E8,'4.3民生部門電力以外の取組'!$D:$D,0)+1,0),"")</f>
        <v/>
      </c>
      <c r="U8" s="131"/>
      <c r="V8" s="257"/>
    </row>
    <row r="9" spans="1:22" s="11" customFormat="1">
      <c r="B9" s="41"/>
      <c r="C9" s="375"/>
      <c r="D9" s="43"/>
      <c r="E9" s="659"/>
      <c r="F9" s="660"/>
      <c r="G9" s="611"/>
      <c r="H9" s="661"/>
      <c r="I9" s="655"/>
      <c r="J9" s="670" t="str">
        <f t="shared" ca="1" si="2"/>
        <v/>
      </c>
      <c r="K9" s="161"/>
      <c r="N9" s="12"/>
      <c r="O9" s="12"/>
      <c r="P9" s="306">
        <f t="shared" si="0"/>
        <v>4</v>
      </c>
      <c r="Q9" s="131" t="str">
        <f>IF(R9&lt;&gt;"//",COUNTA($R$6:$R9)-COUNTIF($R$6:$R9,"//"),"")</f>
        <v/>
      </c>
      <c r="R9" s="306" t="str">
        <f t="shared" si="1"/>
        <v>//</v>
      </c>
      <c r="S9" s="131" t="str">
        <f ca="1">_xlfn.IFNA(IF(COUNTIF('4.3民生部門電力以外の取組'!$D:$D,OFFSET($R$1,MATCH($P9,$Q:$Q,0)-1,0))=0,OFFSET($R$1,MATCH($P9,$Q:$Q,0)-1,0),""),"")</f>
        <v/>
      </c>
      <c r="T9" s="306" t="str">
        <f ca="1">_xlfn.IFNA(OFFSET('4.3民生部門電力以外の取組'!$F$1,MATCH(E9,'4.3民生部門電力以外の取組'!$D:$D,0)+1,0),"")</f>
        <v/>
      </c>
      <c r="U9" s="131"/>
      <c r="V9" s="257"/>
    </row>
    <row r="10" spans="1:22" s="11" customFormat="1">
      <c r="B10" s="41"/>
      <c r="C10" s="375"/>
      <c r="D10" s="43"/>
      <c r="E10" s="662"/>
      <c r="F10" s="660"/>
      <c r="G10" s="611"/>
      <c r="H10" s="661"/>
      <c r="I10" s="655"/>
      <c r="J10" s="672" t="str">
        <f t="shared" ca="1" si="2"/>
        <v/>
      </c>
      <c r="K10" s="161"/>
      <c r="N10" s="12"/>
      <c r="O10" s="12"/>
      <c r="P10" s="306">
        <f t="shared" si="0"/>
        <v>5</v>
      </c>
      <c r="Q10" s="131" t="str">
        <f>IF(R10&lt;&gt;"//",COUNTA($R$6:$R10)-COUNTIF($R$6:$R10,"//"),"")</f>
        <v/>
      </c>
      <c r="R10" s="306" t="str">
        <f t="shared" si="1"/>
        <v>//</v>
      </c>
      <c r="S10" s="131" t="str">
        <f ca="1">_xlfn.IFNA(IF(COUNTIF('4.3民生部門電力以外の取組'!$D:$D,OFFSET($R$1,MATCH($P10,$Q:$Q,0)-1,0))=0,OFFSET($R$1,MATCH($P10,$Q:$Q,0)-1,0),""),"")</f>
        <v/>
      </c>
      <c r="T10" s="306" t="str">
        <f ca="1">_xlfn.IFNA(OFFSET('4.3民生部門電力以外の取組'!$F$1,MATCH(E10,'4.3民生部門電力以外の取組'!$D:$D,0)+1,0),"")</f>
        <v/>
      </c>
      <c r="U10" s="131"/>
      <c r="V10" s="257"/>
    </row>
    <row r="11" spans="1:22">
      <c r="B11" s="16"/>
      <c r="C11" s="76"/>
      <c r="D11" s="673" t="s">
        <v>558</v>
      </c>
      <c r="E11" s="667"/>
      <c r="F11" s="652"/>
      <c r="G11" s="854"/>
      <c r="H11" s="653"/>
      <c r="I11" s="718" t="str">
        <f>IF(AND(COUNTBLANK(H11:H16)&lt;=3,COUNTA(H11:H16)=0),0,IF(SUM(H11:H16)=0,"",SUM(H11:H16)))</f>
        <v/>
      </c>
      <c r="J11" s="654"/>
      <c r="K11" s="19"/>
      <c r="L11"/>
      <c r="N11" s="377"/>
      <c r="O11" s="377"/>
      <c r="P11" s="367">
        <f t="shared" si="0"/>
        <v>6</v>
      </c>
      <c r="Q11" s="367" t="str">
        <f>IF(R11&lt;&gt;"//",COUNTA($R$6:$R11)-COUNTIF($R$6:$R11,"//"),"")</f>
        <v/>
      </c>
      <c r="R11" s="367" t="str">
        <f t="shared" si="1"/>
        <v>//</v>
      </c>
      <c r="S11" s="217" t="str">
        <f ca="1">_xlfn.IFNA(IF(COUNTIF('4.3民生部門電力以外の取組'!$D:$D,OFFSET($R$1,MATCH($P11,$Q:$Q,0)-1,0))=0,OFFSET($R$1,MATCH($P11,$Q:$Q,0)-1,0),""),"")</f>
        <v/>
      </c>
      <c r="T11" s="367" t="str">
        <f ca="1">_xlfn.IFNA(OFFSET('4.3民生部門電力以外の取組'!$F$1,MATCH(E11,'4.3民生部門電力以外の取組'!$D:$D,0)+1,0),"")</f>
        <v/>
      </c>
      <c r="U11" s="217"/>
      <c r="V11" s="177" t="str">
        <f>IF(AND(COUNTBLANK(H11:H16)&lt;=3,COUNTA(H11:H16)=0),0,IF(SUM(H11:H16)=0,"",SUM(H11:H16)))</f>
        <v/>
      </c>
    </row>
    <row r="12" spans="1:22" s="11" customFormat="1" hidden="1">
      <c r="B12" s="22"/>
      <c r="C12" s="674"/>
      <c r="D12" s="43"/>
      <c r="E12" s="656"/>
      <c r="F12" s="657"/>
      <c r="G12" s="606"/>
      <c r="H12" s="658"/>
      <c r="I12" s="651"/>
      <c r="J12" s="669" t="str">
        <f ca="1">T12</f>
        <v/>
      </c>
      <c r="K12" s="24"/>
      <c r="N12" s="12"/>
      <c r="O12" s="12"/>
      <c r="P12" s="306">
        <f t="shared" si="0"/>
        <v>7</v>
      </c>
      <c r="Q12" s="306" t="str">
        <f>IF(R12&lt;&gt;"//",COUNTA($R$6:$R12)-COUNTIF($R$6:$R12,"//"),"")</f>
        <v/>
      </c>
      <c r="R12" s="306" t="str">
        <f t="shared" si="1"/>
        <v>//</v>
      </c>
      <c r="S12" s="131" t="str">
        <f ca="1">_xlfn.IFNA(IF(COUNTIF('4.3民生部門電力以外の取組'!$D:$D,OFFSET($R$1,MATCH($P12,$Q:$Q,0)-1,0))=0,OFFSET($R$1,MATCH($P12,$Q:$Q,0)-1,0),""),"")</f>
        <v/>
      </c>
      <c r="T12" s="306" t="str">
        <f ca="1">_xlfn.IFNA(OFFSET('4.3民生部門電力以外の取組'!$F$1,MATCH(E12,'4.3民生部門電力以外の取組'!$D:$D,0)+1,0),"")</f>
        <v/>
      </c>
      <c r="U12" s="131"/>
      <c r="V12" s="257"/>
    </row>
    <row r="13" spans="1:22" s="11" customFormat="1">
      <c r="B13" s="41"/>
      <c r="C13" s="375"/>
      <c r="D13" s="162"/>
      <c r="E13" s="663"/>
      <c r="F13" s="664"/>
      <c r="G13" s="611"/>
      <c r="H13" s="665"/>
      <c r="I13" s="655"/>
      <c r="J13" s="671" t="str">
        <f t="shared" ca="1" si="2"/>
        <v/>
      </c>
      <c r="K13" s="161"/>
      <c r="L13" s="133"/>
      <c r="N13" s="12"/>
      <c r="O13" s="12"/>
      <c r="P13" s="306">
        <f t="shared" si="0"/>
        <v>8</v>
      </c>
      <c r="Q13" s="306" t="str">
        <f>IF(R13&lt;&gt;"//",COUNTA($R$6:$R13)-COUNTIF($R$6:$R13,"//"),"")</f>
        <v/>
      </c>
      <c r="R13" s="306" t="str">
        <f t="shared" si="1"/>
        <v>//</v>
      </c>
      <c r="S13" s="131" t="str">
        <f ca="1">_xlfn.IFNA(IF(COUNTIF('4.3民生部門電力以外の取組'!$D:$D,OFFSET($R$1,MATCH($P13,$Q:$Q,0)-1,0))=0,OFFSET($R$1,MATCH($P13,$Q:$Q,0)-1,0),""),"")</f>
        <v/>
      </c>
      <c r="T13" s="306" t="str">
        <f ca="1">_xlfn.IFNA(OFFSET('4.3民生部門電力以外の取組'!$F$1,MATCH(E13,'4.3民生部門電力以外の取組'!$D:$D,0)+1,0),"")</f>
        <v/>
      </c>
      <c r="U13" s="131"/>
      <c r="V13" s="257"/>
    </row>
    <row r="14" spans="1:22" s="11" customFormat="1">
      <c r="B14" s="41"/>
      <c r="C14" s="375"/>
      <c r="D14" s="162"/>
      <c r="E14" s="663"/>
      <c r="F14" s="664"/>
      <c r="G14" s="611"/>
      <c r="H14" s="665"/>
      <c r="I14" s="655"/>
      <c r="J14" s="671" t="str">
        <f t="shared" ca="1" si="2"/>
        <v/>
      </c>
      <c r="K14" s="161"/>
      <c r="L14" s="133"/>
      <c r="N14" s="12"/>
      <c r="O14" s="12"/>
      <c r="P14" s="306">
        <f t="shared" si="0"/>
        <v>9</v>
      </c>
      <c r="Q14" s="306" t="str">
        <f>IF(R14&lt;&gt;"//",COUNTA($R$6:$R14)-COUNTIF($R$6:$R14,"//"),"")</f>
        <v/>
      </c>
      <c r="R14" s="306" t="str">
        <f t="shared" si="1"/>
        <v>//</v>
      </c>
      <c r="S14" s="131" t="str">
        <f ca="1">_xlfn.IFNA(IF(COUNTIF('4.3民生部門電力以外の取組'!$D:$D,OFFSET($R$1,MATCH($P14,$Q:$Q,0)-1,0))=0,OFFSET($R$1,MATCH($P14,$Q:$Q,0)-1,0),""),"")</f>
        <v/>
      </c>
      <c r="T14" s="306" t="str">
        <f ca="1">_xlfn.IFNA(OFFSET('4.3民生部門電力以外の取組'!$F$1,MATCH(E14,'4.3民生部門電力以外の取組'!$D:$D,0)+1,0),"")</f>
        <v/>
      </c>
      <c r="U14" s="131"/>
      <c r="V14" s="257"/>
    </row>
    <row r="15" spans="1:22" s="11" customFormat="1">
      <c r="B15" s="41"/>
      <c r="C15" s="375"/>
      <c r="D15" s="162"/>
      <c r="E15" s="666"/>
      <c r="F15" s="664"/>
      <c r="G15" s="611"/>
      <c r="H15" s="665"/>
      <c r="I15" s="655"/>
      <c r="J15" s="671" t="str">
        <f t="shared" ca="1" si="2"/>
        <v/>
      </c>
      <c r="K15" s="161"/>
      <c r="L15" s="133"/>
      <c r="N15" s="12"/>
      <c r="O15" s="12"/>
      <c r="P15" s="306">
        <f t="shared" si="0"/>
        <v>10</v>
      </c>
      <c r="Q15" s="306" t="str">
        <f>IF(R15&lt;&gt;"//",COUNTA($R$6:$R15)-COUNTIF($R$6:$R15,"//"),"")</f>
        <v/>
      </c>
      <c r="R15" s="306" t="str">
        <f t="shared" si="1"/>
        <v>//</v>
      </c>
      <c r="S15" s="131" t="str">
        <f ca="1">_xlfn.IFNA(IF(COUNTIF('4.3民生部門電力以外の取組'!$D:$D,OFFSET($R$1,MATCH($P15,$Q:$Q,0)-1,0))=0,OFFSET($R$1,MATCH($P15,$Q:$Q,0)-1,0),""),"")</f>
        <v/>
      </c>
      <c r="T15" s="306" t="str">
        <f ca="1">_xlfn.IFNA(OFFSET('4.3民生部門電力以外の取組'!$F$1,MATCH(E15,'4.3民生部門電力以外の取組'!$D:$D,0)+1,0),"")</f>
        <v/>
      </c>
      <c r="U15" s="131"/>
      <c r="V15" s="257"/>
    </row>
    <row r="16" spans="1:22">
      <c r="B16" s="16"/>
      <c r="C16" s="76"/>
      <c r="D16" s="673" t="s">
        <v>559</v>
      </c>
      <c r="E16" s="668"/>
      <c r="F16" s="652"/>
      <c r="G16" s="854"/>
      <c r="H16" s="653"/>
      <c r="I16" s="718" t="str">
        <f>IF(AND(COUNTBLANK(H16:H21)&lt;=3,COUNTA(H16:H21)=0),0,IF(SUM(H16:H21)=0,"",SUM(H16:H21)))</f>
        <v/>
      </c>
      <c r="J16" s="654"/>
      <c r="K16" s="19"/>
      <c r="L16" s="378"/>
      <c r="N16" s="377"/>
      <c r="O16" s="377"/>
      <c r="P16" s="367">
        <f t="shared" si="0"/>
        <v>11</v>
      </c>
      <c r="Q16" s="367" t="str">
        <f>IF(R16&lt;&gt;"//",COUNTA($R$6:$R16)-COUNTIF($R$6:$R16,"//"),"")</f>
        <v/>
      </c>
      <c r="R16" s="367" t="str">
        <f t="shared" si="1"/>
        <v>//</v>
      </c>
      <c r="S16" s="217" t="str">
        <f ca="1">_xlfn.IFNA(IF(COUNTIF('4.3民生部門電力以外の取組'!$D:$D,OFFSET($R$1,MATCH($P16,$Q:$Q,0)-1,0))=0,OFFSET($R$1,MATCH($P16,$Q:$Q,0)-1,0),""),"")</f>
        <v/>
      </c>
      <c r="T16" s="367" t="str">
        <f ca="1">_xlfn.IFNA(OFFSET('4.3民生部門電力以外の取組'!$F$1,MATCH(E16,'4.3民生部門電力以外の取組'!$D:$D,0)+1,0),"")</f>
        <v/>
      </c>
      <c r="U16" s="217"/>
      <c r="V16" s="177" t="str">
        <f>IF(AND(COUNTBLANK(H16:H21)&lt;=3,COUNTA(H16:H21)=0),0,IF(SUM(H16:H21)=0,"",SUM(H16:H21)))</f>
        <v/>
      </c>
    </row>
    <row r="17" spans="2:22" s="11" customFormat="1" hidden="1">
      <c r="B17" s="22"/>
      <c r="C17" s="674"/>
      <c r="D17" s="43"/>
      <c r="E17" s="656"/>
      <c r="F17" s="657"/>
      <c r="G17" s="606"/>
      <c r="H17" s="658"/>
      <c r="I17" s="651"/>
      <c r="J17" s="669" t="str">
        <f ca="1">T17</f>
        <v/>
      </c>
      <c r="K17" s="24"/>
      <c r="N17" s="12"/>
      <c r="O17" s="12"/>
      <c r="P17" s="306">
        <f t="shared" si="0"/>
        <v>12</v>
      </c>
      <c r="Q17" s="306" t="str">
        <f>IF(R17&lt;&gt;"//",COUNTA($R$6:$R17)-COUNTIF($R$6:$R17,"//"),"")</f>
        <v/>
      </c>
      <c r="R17" s="306" t="str">
        <f t="shared" si="1"/>
        <v>//</v>
      </c>
      <c r="S17" s="131" t="str">
        <f ca="1">_xlfn.IFNA(IF(COUNTIF('4.3民生部門電力以外の取組'!$D:$D,OFFSET($R$1,MATCH($P17,$Q:$Q,0)-1,0))=0,OFFSET($R$1,MATCH($P17,$Q:$Q,0)-1,0),""),"")</f>
        <v/>
      </c>
      <c r="T17" s="306" t="str">
        <f ca="1">_xlfn.IFNA(OFFSET('4.3民生部門電力以外の取組'!$F$1,MATCH(E17,'4.3民生部門電力以外の取組'!$D:$D,0)+1,0),"")</f>
        <v/>
      </c>
      <c r="U17" s="131"/>
      <c r="V17" s="257"/>
    </row>
    <row r="18" spans="2:22" s="11" customFormat="1">
      <c r="B18" s="22"/>
      <c r="C18" s="375"/>
      <c r="D18" s="162"/>
      <c r="E18" s="663"/>
      <c r="F18" s="664"/>
      <c r="G18" s="611"/>
      <c r="H18" s="665"/>
      <c r="I18" s="655"/>
      <c r="J18" s="671" t="str">
        <f t="shared" ca="1" si="2"/>
        <v/>
      </c>
      <c r="K18" s="24"/>
      <c r="N18" s="12"/>
      <c r="O18" s="12"/>
      <c r="P18" s="306">
        <f t="shared" si="0"/>
        <v>13</v>
      </c>
      <c r="Q18" s="306" t="str">
        <f>IF(R18&lt;&gt;"//",COUNTA($R$6:$R18)-COUNTIF($R$6:$R18,"//"),"")</f>
        <v/>
      </c>
      <c r="R18" s="306" t="str">
        <f t="shared" si="1"/>
        <v>//</v>
      </c>
      <c r="S18" s="131" t="str">
        <f ca="1">_xlfn.IFNA(IF(COUNTIF('4.3民生部門電力以外の取組'!$D:$D,OFFSET($R$1,MATCH($P18,$Q:$Q,0)-1,0))=0,OFFSET($R$1,MATCH($P18,$Q:$Q,0)-1,0),""),"")</f>
        <v/>
      </c>
      <c r="T18" s="306" t="str">
        <f ca="1">_xlfn.IFNA(OFFSET('4.3民生部門電力以外の取組'!$F$1,MATCH(E18,'4.3民生部門電力以外の取組'!$D:$D,0)+1,0),"")</f>
        <v/>
      </c>
      <c r="U18" s="131"/>
      <c r="V18" s="257"/>
    </row>
    <row r="19" spans="2:22" s="11" customFormat="1">
      <c r="B19" s="22"/>
      <c r="C19" s="375"/>
      <c r="D19" s="162"/>
      <c r="E19" s="663"/>
      <c r="F19" s="664"/>
      <c r="G19" s="611"/>
      <c r="H19" s="665"/>
      <c r="I19" s="655"/>
      <c r="J19" s="671" t="str">
        <f t="shared" ca="1" si="2"/>
        <v/>
      </c>
      <c r="K19" s="24"/>
      <c r="N19" s="12"/>
      <c r="O19" s="12"/>
      <c r="P19" s="306">
        <f t="shared" si="0"/>
        <v>14</v>
      </c>
      <c r="Q19" s="306" t="str">
        <f>IF(R19&lt;&gt;"//",COUNTA($R$6:$R19)-COUNTIF($R$6:$R19,"//"),"")</f>
        <v/>
      </c>
      <c r="R19" s="306" t="str">
        <f t="shared" si="1"/>
        <v>//</v>
      </c>
      <c r="S19" s="131" t="str">
        <f ca="1">_xlfn.IFNA(IF(COUNTIF('4.3民生部門電力以外の取組'!$D:$D,OFFSET($R$1,MATCH($P19,$Q:$Q,0)-1,0))=0,OFFSET($R$1,MATCH($P19,$Q:$Q,0)-1,0),""),"")</f>
        <v/>
      </c>
      <c r="T19" s="306" t="str">
        <f ca="1">_xlfn.IFNA(OFFSET('4.3民生部門電力以外の取組'!$F$1,MATCH(E19,'4.3民生部門電力以外の取組'!$D:$D,0)+1,0),"")</f>
        <v/>
      </c>
      <c r="U19" s="131"/>
      <c r="V19" s="257"/>
    </row>
    <row r="20" spans="2:22" s="11" customFormat="1">
      <c r="B20" s="22"/>
      <c r="C20" s="375"/>
      <c r="D20" s="162"/>
      <c r="E20" s="666"/>
      <c r="F20" s="664"/>
      <c r="G20" s="611"/>
      <c r="H20" s="665"/>
      <c r="I20" s="655"/>
      <c r="J20" s="671" t="str">
        <f t="shared" ca="1" si="2"/>
        <v/>
      </c>
      <c r="K20" s="24"/>
      <c r="N20" s="12"/>
      <c r="O20" s="12"/>
      <c r="P20" s="306">
        <f t="shared" si="0"/>
        <v>15</v>
      </c>
      <c r="Q20" s="306" t="str">
        <f>IF(R20&lt;&gt;"//",COUNTA($R$6:$R20)-COUNTIF($R$6:$R20,"//"),"")</f>
        <v/>
      </c>
      <c r="R20" s="306" t="str">
        <f t="shared" si="1"/>
        <v>//</v>
      </c>
      <c r="S20" s="131" t="str">
        <f ca="1">_xlfn.IFNA(IF(COUNTIF('4.3民生部門電力以外の取組'!$D:$D,OFFSET($R$1,MATCH($P20,$Q:$Q,0)-1,0))=0,OFFSET($R$1,MATCH($P20,$Q:$Q,0)-1,0),""),"")</f>
        <v/>
      </c>
      <c r="T20" s="306" t="str">
        <f ca="1">_xlfn.IFNA(OFFSET('4.3民生部門電力以外の取組'!$F$1,MATCH(E20,'4.3民生部門電力以外の取組'!$D:$D,0)+1,0),"")</f>
        <v/>
      </c>
      <c r="U20" s="131"/>
      <c r="V20" s="257"/>
    </row>
    <row r="21" spans="2:22">
      <c r="B21" s="16"/>
      <c r="C21" s="76"/>
      <c r="D21" s="673" t="s">
        <v>73</v>
      </c>
      <c r="E21" s="668"/>
      <c r="F21" s="652"/>
      <c r="G21" s="854"/>
      <c r="H21" s="653"/>
      <c r="I21" s="718" t="str">
        <f>IF(AND(COUNTBLANK(H21:H26)&lt;=3,COUNTA(H21:H26)=0),0,IF(SUM(H21:H26)=0,"",SUM(H21:H26)))</f>
        <v/>
      </c>
      <c r="J21" s="654"/>
      <c r="K21" s="19"/>
      <c r="L21"/>
      <c r="N21" s="377"/>
      <c r="O21" s="377"/>
      <c r="P21" s="367">
        <f t="shared" si="0"/>
        <v>16</v>
      </c>
      <c r="Q21" s="367" t="str">
        <f>IF(R21&lt;&gt;"//",COUNTA($R$6:$R21)-COUNTIF($R$6:$R21,"//"),"")</f>
        <v/>
      </c>
      <c r="R21" s="367" t="str">
        <f t="shared" si="1"/>
        <v>//</v>
      </c>
      <c r="S21" s="217" t="str">
        <f ca="1">_xlfn.IFNA(IF(COUNTIF('4.3民生部門電力以外の取組'!$D:$D,OFFSET($R$1,MATCH($P21,$Q:$Q,0)-1,0))=0,OFFSET($R$1,MATCH($P21,$Q:$Q,0)-1,0),""),"")</f>
        <v/>
      </c>
      <c r="T21" s="367" t="str">
        <f ca="1">_xlfn.IFNA(OFFSET('4.3民生部門電力以外の取組'!$F$1,MATCH(E21,'4.3民生部門電力以外の取組'!$D:$D,0)+1,0),"")</f>
        <v/>
      </c>
      <c r="U21" s="217"/>
      <c r="V21" s="177" t="str">
        <f>IF(AND(COUNTBLANK(H21:H26)&lt;=3,COUNTA(H21:H26)=0),0,IF(SUM(H21:H26)=0,"",SUM(H21:H26)))</f>
        <v/>
      </c>
    </row>
    <row r="22" spans="2:22" s="11" customFormat="1" hidden="1">
      <c r="B22" s="22"/>
      <c r="C22" s="674"/>
      <c r="D22" s="43"/>
      <c r="E22" s="656"/>
      <c r="F22" s="657"/>
      <c r="G22" s="606"/>
      <c r="H22" s="658"/>
      <c r="I22" s="651"/>
      <c r="J22" s="669" t="str">
        <f ca="1">T22</f>
        <v/>
      </c>
      <c r="K22" s="24"/>
      <c r="N22" s="12"/>
      <c r="O22" s="12"/>
      <c r="P22" s="306">
        <f t="shared" si="0"/>
        <v>17</v>
      </c>
      <c r="Q22" s="306" t="str">
        <f>IF(R22&lt;&gt;"//",COUNTA($R$6:$R22)-COUNTIF($R$6:$R22,"//"),"")</f>
        <v/>
      </c>
      <c r="R22" s="306" t="str">
        <f t="shared" si="1"/>
        <v>//</v>
      </c>
      <c r="S22" s="131" t="str">
        <f ca="1">_xlfn.IFNA(IF(COUNTIF('4.3民生部門電力以外の取組'!$D:$D,OFFSET($R$1,MATCH($P22,$Q:$Q,0)-1,0))=0,OFFSET($R$1,MATCH($P22,$Q:$Q,0)-1,0),""),"")</f>
        <v/>
      </c>
      <c r="T22" s="306" t="str">
        <f ca="1">_xlfn.IFNA(OFFSET('4.3民生部門電力以外の取組'!$F$1,MATCH(E22,'4.3民生部門電力以外の取組'!$D:$D,0)+1,0),"")</f>
        <v/>
      </c>
      <c r="U22" s="131"/>
      <c r="V22" s="257"/>
    </row>
    <row r="23" spans="2:22" s="11" customFormat="1">
      <c r="B23" s="22"/>
      <c r="C23" s="375"/>
      <c r="D23" s="162"/>
      <c r="E23" s="663"/>
      <c r="F23" s="663"/>
      <c r="G23" s="611"/>
      <c r="H23" s="665"/>
      <c r="I23" s="655"/>
      <c r="J23" s="671" t="str">
        <f t="shared" ca="1" si="2"/>
        <v/>
      </c>
      <c r="K23" s="24"/>
      <c r="N23" s="12"/>
      <c r="O23" s="12"/>
      <c r="P23" s="306">
        <f t="shared" si="0"/>
        <v>18</v>
      </c>
      <c r="Q23" s="306" t="str">
        <f>IF(R23&lt;&gt;"//",COUNTA($R$6:$R23)-COUNTIF($R$6:$R23,"//"),"")</f>
        <v/>
      </c>
      <c r="R23" s="306" t="str">
        <f t="shared" si="1"/>
        <v>//</v>
      </c>
      <c r="S23" s="131" t="str">
        <f ca="1">_xlfn.IFNA(IF(COUNTIF('4.3民生部門電力以外の取組'!$D:$D,OFFSET($R$1,MATCH($P23,$Q:$Q,0)-1,0))=0,OFFSET($R$1,MATCH($P23,$Q:$Q,0)-1,0),""),"")</f>
        <v/>
      </c>
      <c r="T23" s="306" t="str">
        <f ca="1">_xlfn.IFNA(OFFSET('4.3民生部門電力以外の取組'!$F$1,MATCH(E23,'4.3民生部門電力以外の取組'!$D:$D,0)+1,0),"")</f>
        <v/>
      </c>
      <c r="U23" s="131"/>
      <c r="V23" s="257"/>
    </row>
    <row r="24" spans="2:22" s="11" customFormat="1">
      <c r="B24" s="22"/>
      <c r="C24" s="375"/>
      <c r="D24" s="162"/>
      <c r="E24" s="663"/>
      <c r="F24" s="663"/>
      <c r="G24" s="611"/>
      <c r="H24" s="665"/>
      <c r="I24" s="655"/>
      <c r="J24" s="671" t="str">
        <f t="shared" ca="1" si="2"/>
        <v/>
      </c>
      <c r="K24" s="24"/>
      <c r="N24" s="12"/>
      <c r="O24" s="12"/>
      <c r="P24" s="306">
        <f t="shared" si="0"/>
        <v>19</v>
      </c>
      <c r="Q24" s="306" t="str">
        <f>IF(R24&lt;&gt;"//",COUNTA($R$6:$R24)-COUNTIF($R$6:$R24,"//"),"")</f>
        <v/>
      </c>
      <c r="R24" s="306" t="str">
        <f t="shared" si="1"/>
        <v>//</v>
      </c>
      <c r="S24" s="131" t="str">
        <f ca="1">_xlfn.IFNA(IF(COUNTIF('4.3民生部門電力以外の取組'!$D:$D,OFFSET($R$1,MATCH($P24,$Q:$Q,0)-1,0))=0,OFFSET($R$1,MATCH($P24,$Q:$Q,0)-1,0),""),"")</f>
        <v/>
      </c>
      <c r="T24" s="306" t="str">
        <f ca="1">_xlfn.IFNA(OFFSET('4.3民生部門電力以外の取組'!$F$1,MATCH(E24,'4.3民生部門電力以外の取組'!$D:$D,0)+1,0),"")</f>
        <v/>
      </c>
      <c r="U24" s="131"/>
      <c r="V24" s="257"/>
    </row>
    <row r="25" spans="2:22" s="11" customFormat="1">
      <c r="B25" s="22"/>
      <c r="C25" s="375"/>
      <c r="D25" s="162"/>
      <c r="E25" s="666"/>
      <c r="F25" s="663"/>
      <c r="G25" s="611"/>
      <c r="H25" s="665"/>
      <c r="I25" s="655"/>
      <c r="J25" s="671" t="str">
        <f t="shared" ca="1" si="2"/>
        <v/>
      </c>
      <c r="K25" s="24"/>
      <c r="N25" s="12"/>
      <c r="O25" s="12"/>
      <c r="P25" s="306">
        <f t="shared" si="0"/>
        <v>20</v>
      </c>
      <c r="Q25" s="306" t="str">
        <f>IF(R25&lt;&gt;"//",COUNTA($R$6:$R25)-COUNTIF($R$6:$R25,"//"),"")</f>
        <v/>
      </c>
      <c r="R25" s="306" t="str">
        <f t="shared" si="1"/>
        <v>//</v>
      </c>
      <c r="S25" s="131" t="str">
        <f ca="1">_xlfn.IFNA(IF(COUNTIF('4.3民生部門電力以外の取組'!$D:$D,OFFSET($R$1,MATCH($P25,$Q:$Q,0)-1,0))=0,OFFSET($R$1,MATCH($P25,$Q:$Q,0)-1,0),""),"")</f>
        <v/>
      </c>
      <c r="T25" s="306" t="str">
        <f ca="1">_xlfn.IFNA(OFFSET('4.3民生部門電力以外の取組'!$F$1,MATCH(E25,'4.3民生部門電力以外の取組'!$D:$D,0)+1,0),"")</f>
        <v/>
      </c>
      <c r="U25" s="131"/>
      <c r="V25" s="257"/>
    </row>
    <row r="26" spans="2:22">
      <c r="B26" s="16"/>
      <c r="C26" s="76"/>
      <c r="D26" s="673" t="s">
        <v>74</v>
      </c>
      <c r="E26" s="667"/>
      <c r="F26" s="652"/>
      <c r="G26" s="854"/>
      <c r="H26" s="653"/>
      <c r="I26" s="718" t="str">
        <f>IF(AND(COUNTBLANK(H26:H31)&lt;=3,COUNTA(H26:H31)=0),0,IF(SUM(H26:H31)=0,"",SUM(H26:H31)))</f>
        <v/>
      </c>
      <c r="J26" s="654"/>
      <c r="K26" s="19"/>
      <c r="L26"/>
      <c r="N26" s="377"/>
      <c r="O26" s="377"/>
      <c r="P26" s="367">
        <f t="shared" si="0"/>
        <v>21</v>
      </c>
      <c r="Q26" s="367" t="str">
        <f>IF(R26&lt;&gt;"//",COUNTA($R$6:$R26)-COUNTIF($R$6:$R26,"//"),"")</f>
        <v/>
      </c>
      <c r="R26" s="367" t="str">
        <f t="shared" si="1"/>
        <v>//</v>
      </c>
      <c r="S26" s="217" t="str">
        <f ca="1">_xlfn.IFNA(IF(COUNTIF('4.3民生部門電力以外の取組'!$D:$D,OFFSET($R$1,MATCH($P26,$Q:$Q,0)-1,0))=0,OFFSET($R$1,MATCH($P26,$Q:$Q,0)-1,0),""),"")</f>
        <v/>
      </c>
      <c r="T26" s="367" t="str">
        <f ca="1">_xlfn.IFNA(OFFSET('4.3民生部門電力以外の取組'!$F$1,MATCH(E26,'4.3民生部門電力以外の取組'!$D:$D,0)+1,0),"")</f>
        <v/>
      </c>
      <c r="U26" s="217"/>
      <c r="V26" s="177" t="str">
        <f>IF(AND(COUNTBLANK(H26:H31)&lt;=3,COUNTA(H26:H31)=0),0,IF(SUM(H26:H31)=0,"",SUM(H26:H31)))</f>
        <v/>
      </c>
    </row>
    <row r="27" spans="2:22" s="11" customFormat="1" hidden="1">
      <c r="B27" s="22"/>
      <c r="C27" s="674"/>
      <c r="D27" s="43"/>
      <c r="E27" s="656"/>
      <c r="F27" s="657"/>
      <c r="G27" s="606"/>
      <c r="H27" s="658"/>
      <c r="I27" s="651"/>
      <c r="J27" s="669" t="str">
        <f ca="1">T27</f>
        <v/>
      </c>
      <c r="K27" s="24"/>
      <c r="N27" s="12"/>
      <c r="O27" s="12"/>
      <c r="P27" s="306">
        <f t="shared" si="0"/>
        <v>22</v>
      </c>
      <c r="Q27" s="306" t="str">
        <f>IF(R27&lt;&gt;"//",COUNTA($R$6:$R27)-COUNTIF($R$6:$R27,"//"),"")</f>
        <v/>
      </c>
      <c r="R27" s="306" t="str">
        <f t="shared" si="1"/>
        <v>//</v>
      </c>
      <c r="S27" s="131" t="str">
        <f ca="1">_xlfn.IFNA(IF(COUNTIF('4.3民生部門電力以外の取組'!$D:$D,OFFSET($R$1,MATCH($P27,$Q:$Q,0)-1,0))=0,OFFSET($R$1,MATCH($P27,$Q:$Q,0)-1,0),""),"")</f>
        <v/>
      </c>
      <c r="T27" s="306" t="str">
        <f ca="1">_xlfn.IFNA(OFFSET('4.3民生部門電力以外の取組'!$F$1,MATCH(E27,'4.3民生部門電力以外の取組'!$D:$D,0)+1,0),"")</f>
        <v/>
      </c>
      <c r="U27" s="131"/>
      <c r="V27" s="257"/>
    </row>
    <row r="28" spans="2:22" s="11" customFormat="1">
      <c r="B28" s="22"/>
      <c r="C28" s="375"/>
      <c r="D28" s="162"/>
      <c r="E28" s="663"/>
      <c r="F28" s="663"/>
      <c r="G28" s="611"/>
      <c r="H28" s="665"/>
      <c r="I28" s="655"/>
      <c r="J28" s="671" t="str">
        <f t="shared" ca="1" si="2"/>
        <v/>
      </c>
      <c r="K28" s="24"/>
      <c r="N28" s="12"/>
      <c r="O28" s="12"/>
      <c r="P28" s="306">
        <f t="shared" si="0"/>
        <v>23</v>
      </c>
      <c r="Q28" s="306" t="str">
        <f>IF(R28&lt;&gt;"//",COUNTA($R$6:$R28)-COUNTIF($R$6:$R28,"//"),"")</f>
        <v/>
      </c>
      <c r="R28" s="306" t="str">
        <f t="shared" si="1"/>
        <v>//</v>
      </c>
      <c r="S28" s="131" t="str">
        <f ca="1">_xlfn.IFNA(IF(COUNTIF('4.3民生部門電力以外の取組'!$D:$D,OFFSET($R$1,MATCH($P28,$Q:$Q,0)-1,0))=0,OFFSET($R$1,MATCH($P28,$Q:$Q,0)-1,0),""),"")</f>
        <v/>
      </c>
      <c r="T28" s="306" t="str">
        <f ca="1">_xlfn.IFNA(OFFSET('4.3民生部門電力以外の取組'!$F$1,MATCH(E28,'4.3民生部門電力以外の取組'!$D:$D,0)+1,0),"")</f>
        <v/>
      </c>
      <c r="U28" s="131"/>
      <c r="V28" s="257"/>
    </row>
    <row r="29" spans="2:22" s="11" customFormat="1">
      <c r="B29" s="22"/>
      <c r="C29" s="375"/>
      <c r="D29" s="162"/>
      <c r="E29" s="663"/>
      <c r="F29" s="663"/>
      <c r="G29" s="611"/>
      <c r="H29" s="665"/>
      <c r="I29" s="655"/>
      <c r="J29" s="671" t="str">
        <f t="shared" ca="1" si="2"/>
        <v/>
      </c>
      <c r="K29" s="24"/>
      <c r="N29" s="12"/>
      <c r="O29" s="12"/>
      <c r="P29" s="306">
        <f t="shared" si="0"/>
        <v>24</v>
      </c>
      <c r="Q29" s="306" t="str">
        <f>IF(R29&lt;&gt;"//",COUNTA($R$6:$R29)-COUNTIF($R$6:$R29,"//"),"")</f>
        <v/>
      </c>
      <c r="R29" s="306" t="str">
        <f t="shared" si="1"/>
        <v>//</v>
      </c>
      <c r="S29" s="131" t="str">
        <f ca="1">_xlfn.IFNA(IF(COUNTIF('4.3民生部門電力以外の取組'!$D:$D,OFFSET($R$1,MATCH($P29,$Q:$Q,0)-1,0))=0,OFFSET($R$1,MATCH($P29,$Q:$Q,0)-1,0),""),"")</f>
        <v/>
      </c>
      <c r="T29" s="306" t="str">
        <f ca="1">_xlfn.IFNA(OFFSET('4.3民生部門電力以外の取組'!$F$1,MATCH(E29,'4.3民生部門電力以外の取組'!$D:$D,0)+1,0),"")</f>
        <v/>
      </c>
      <c r="U29" s="131"/>
      <c r="V29" s="257"/>
    </row>
    <row r="30" spans="2:22" s="11" customFormat="1">
      <c r="B30" s="22"/>
      <c r="C30" s="375"/>
      <c r="D30" s="162"/>
      <c r="E30" s="666"/>
      <c r="F30" s="663"/>
      <c r="G30" s="611"/>
      <c r="H30" s="665"/>
      <c r="I30" s="650"/>
      <c r="J30" s="671" t="str">
        <f t="shared" ca="1" si="2"/>
        <v/>
      </c>
      <c r="K30" s="24"/>
      <c r="N30" s="12"/>
      <c r="O30" s="12"/>
      <c r="P30" s="306">
        <f t="shared" si="0"/>
        <v>25</v>
      </c>
      <c r="Q30" s="306" t="str">
        <f>IF(R30&lt;&gt;"//",COUNTA($R$6:$R30)-COUNTIF($R$6:$R30,"//"),"")</f>
        <v/>
      </c>
      <c r="R30" s="306" t="str">
        <f t="shared" si="1"/>
        <v>//</v>
      </c>
      <c r="S30" s="131" t="str">
        <f ca="1">_xlfn.IFNA(IF(COUNTIF('4.3民生部門電力以外の取組'!$D:$D,OFFSET($R$1,MATCH($P30,$Q:$Q,0)-1,0))=0,OFFSET($R$1,MATCH($P30,$Q:$Q,0)-1,0),""),"")</f>
        <v/>
      </c>
      <c r="T30" s="306" t="str">
        <f ca="1">_xlfn.IFNA(OFFSET('4.3民生部門電力以外の取組'!$F$1,MATCH(E30,'4.3民生部門電力以外の取組'!$D:$D,0)+1,0),"")</f>
        <v/>
      </c>
      <c r="U30" s="131"/>
      <c r="V30" s="257"/>
    </row>
    <row r="31" spans="2:22">
      <c r="B31" s="16"/>
      <c r="C31" s="76"/>
      <c r="D31" s="673" t="s">
        <v>160</v>
      </c>
      <c r="E31" s="667"/>
      <c r="F31" s="652"/>
      <c r="G31" s="854"/>
      <c r="H31" s="653"/>
      <c r="I31" s="718" t="str">
        <f>IF(AND(COUNTBLANK(H31:H36)&lt;=3,COUNTA(H31:H36)=0),0,IF(SUM(H31:H36)=0,"",SUM(H31:H36)))</f>
        <v/>
      </c>
      <c r="J31" s="654"/>
      <c r="K31" s="19"/>
      <c r="L31"/>
      <c r="N31" s="377"/>
      <c r="O31" s="377"/>
      <c r="P31" s="367">
        <f t="shared" si="0"/>
        <v>26</v>
      </c>
      <c r="Q31" s="367" t="str">
        <f>IF(R31&lt;&gt;"//",COUNTA($R$6:$R31)-COUNTIF($R$6:$R31,"//"),"")</f>
        <v/>
      </c>
      <c r="R31" s="367" t="str">
        <f t="shared" si="1"/>
        <v>//</v>
      </c>
      <c r="S31" s="217" t="str">
        <f ca="1">_xlfn.IFNA(IF(COUNTIF('4.3民生部門電力以外の取組'!$D:$D,OFFSET($R$1,MATCH($P31,$Q:$Q,0)-1,0))=0,OFFSET($R$1,MATCH($P31,$Q:$Q,0)-1,0),""),"")</f>
        <v/>
      </c>
      <c r="T31" s="367" t="str">
        <f ca="1">_xlfn.IFNA(OFFSET('4.3民生部門電力以外の取組'!$F$1,MATCH(E31,'4.3民生部門電力以外の取組'!$D:$D,0)+1,0),"")</f>
        <v/>
      </c>
      <c r="U31" s="217"/>
      <c r="V31" s="177" t="str">
        <f>IF(AND(COUNTBLANK(H31:H36)&lt;=3,COUNTA(H31:H36)=0),0,IF(SUM(H31:H36)=0,"",SUM(H31:H36)))</f>
        <v/>
      </c>
    </row>
    <row r="32" spans="2:22" s="11" customFormat="1" hidden="1">
      <c r="B32" s="22"/>
      <c r="C32" s="674"/>
      <c r="D32" s="43"/>
      <c r="E32" s="656"/>
      <c r="F32" s="657"/>
      <c r="G32" s="606"/>
      <c r="H32" s="658"/>
      <c r="I32" s="651"/>
      <c r="J32" s="669" t="str">
        <f ca="1">T32</f>
        <v/>
      </c>
      <c r="K32" s="24"/>
      <c r="N32" s="12"/>
      <c r="O32" s="12"/>
      <c r="P32" s="306">
        <f t="shared" si="0"/>
        <v>27</v>
      </c>
      <c r="Q32" s="306" t="str">
        <f>IF(R32&lt;&gt;"//",COUNTA($R$6:$R32)-COUNTIF($R$6:$R32,"//"),"")</f>
        <v/>
      </c>
      <c r="R32" s="306" t="str">
        <f t="shared" si="1"/>
        <v>//</v>
      </c>
      <c r="S32" s="131" t="str">
        <f ca="1">_xlfn.IFNA(IF(COUNTIF('4.3民生部門電力以外の取組'!$D:$D,OFFSET($R$1,MATCH($P32,$Q:$Q,0)-1,0))=0,OFFSET($R$1,MATCH($P32,$Q:$Q,0)-1,0),""),"")</f>
        <v/>
      </c>
      <c r="T32" s="306" t="str">
        <f ca="1">_xlfn.IFNA(OFFSET('4.3民生部門電力以外の取組'!$F$1,MATCH(E32,'4.3民生部門電力以外の取組'!$D:$D,0)+1,0),"")</f>
        <v/>
      </c>
      <c r="U32" s="131"/>
      <c r="V32" s="257"/>
    </row>
    <row r="33" spans="2:22" s="11" customFormat="1">
      <c r="B33" s="22"/>
      <c r="C33" s="375"/>
      <c r="D33" s="162"/>
      <c r="E33" s="663"/>
      <c r="F33" s="663"/>
      <c r="G33" s="611"/>
      <c r="H33" s="665"/>
      <c r="I33" s="655"/>
      <c r="J33" s="671" t="str">
        <f t="shared" ca="1" si="2"/>
        <v/>
      </c>
      <c r="K33" s="24"/>
      <c r="N33" s="12"/>
      <c r="O33" s="12"/>
      <c r="P33" s="306">
        <f t="shared" si="0"/>
        <v>28</v>
      </c>
      <c r="Q33" s="306" t="str">
        <f>IF(R33&lt;&gt;"//",COUNTA($R$6:$R33)-COUNTIF($R$6:$R33,"//"),"")</f>
        <v/>
      </c>
      <c r="R33" s="306" t="str">
        <f t="shared" si="1"/>
        <v>//</v>
      </c>
      <c r="S33" s="131" t="str">
        <f ca="1">_xlfn.IFNA(IF(COUNTIF('4.3民生部門電力以外の取組'!$D:$D,OFFSET($R$1,MATCH($P33,$Q:$Q,0)-1,0))=0,OFFSET($R$1,MATCH($P33,$Q:$Q,0)-1,0),""),"")</f>
        <v/>
      </c>
      <c r="T33" s="306" t="str">
        <f ca="1">_xlfn.IFNA(OFFSET('4.3民生部門電力以外の取組'!$F$1,MATCH(E33,'4.3民生部門電力以外の取組'!$D:$D,0)+1,0),"")</f>
        <v/>
      </c>
      <c r="U33" s="131"/>
      <c r="V33" s="257"/>
    </row>
    <row r="34" spans="2:22" s="11" customFormat="1">
      <c r="B34" s="22"/>
      <c r="C34" s="375"/>
      <c r="D34" s="162"/>
      <c r="E34" s="663"/>
      <c r="F34" s="663"/>
      <c r="G34" s="611"/>
      <c r="H34" s="665"/>
      <c r="I34" s="655"/>
      <c r="J34" s="671" t="str">
        <f t="shared" ca="1" si="2"/>
        <v/>
      </c>
      <c r="K34" s="24"/>
      <c r="N34" s="12"/>
      <c r="O34" s="12"/>
      <c r="P34" s="306">
        <f t="shared" si="0"/>
        <v>29</v>
      </c>
      <c r="Q34" s="306" t="str">
        <f>IF(R34&lt;&gt;"//",COUNTA($R$6:$R34)-COUNTIF($R$6:$R34,"//"),"")</f>
        <v/>
      </c>
      <c r="R34" s="306" t="str">
        <f t="shared" si="1"/>
        <v>//</v>
      </c>
      <c r="S34" s="131" t="str">
        <f ca="1">_xlfn.IFNA(IF(COUNTIF('4.3民生部門電力以外の取組'!$D:$D,OFFSET($R$1,MATCH($P34,$Q:$Q,0)-1,0))=0,OFFSET($R$1,MATCH($P34,$Q:$Q,0)-1,0),""),"")</f>
        <v/>
      </c>
      <c r="T34" s="306" t="str">
        <f ca="1">_xlfn.IFNA(OFFSET('4.3民生部門電力以外の取組'!$F$1,MATCH(E34,'4.3民生部門電力以外の取組'!$D:$D,0)+1,0),"")</f>
        <v/>
      </c>
      <c r="U34" s="131"/>
      <c r="V34" s="257"/>
    </row>
    <row r="35" spans="2:22" s="11" customFormat="1">
      <c r="B35" s="22"/>
      <c r="C35" s="375"/>
      <c r="D35" s="162"/>
      <c r="E35" s="663"/>
      <c r="F35" s="663"/>
      <c r="G35" s="611"/>
      <c r="H35" s="665"/>
      <c r="I35" s="655"/>
      <c r="J35" s="671" t="str">
        <f t="shared" ca="1" si="2"/>
        <v/>
      </c>
      <c r="K35" s="24"/>
      <c r="N35" s="12"/>
      <c r="O35" s="12"/>
      <c r="P35" s="306">
        <f t="shared" si="0"/>
        <v>30</v>
      </c>
      <c r="Q35" s="306" t="str">
        <f>IF(R35&lt;&gt;"//",COUNTA($R$6:$R35)-COUNTIF($R$6:$R35,"//"),"")</f>
        <v/>
      </c>
      <c r="R35" s="306" t="str">
        <f t="shared" si="1"/>
        <v>//</v>
      </c>
      <c r="S35" s="131" t="str">
        <f ca="1">_xlfn.IFNA(IF(COUNTIF('4.3民生部門電力以外の取組'!$D:$D,OFFSET($R$1,MATCH($P35,$Q:$Q,0)-1,0))=0,OFFSET($R$1,MATCH($P35,$Q:$Q,0)-1,0),""),"")</f>
        <v/>
      </c>
      <c r="T35" s="306" t="str">
        <f ca="1">_xlfn.IFNA(OFFSET('4.3民生部門電力以外の取組'!$F$1,MATCH(E35,'4.3民生部門電力以外の取組'!$D:$D,0)+1,0),"")</f>
        <v/>
      </c>
      <c r="U35" s="131"/>
      <c r="V35" s="257"/>
    </row>
    <row r="36" spans="2:22">
      <c r="B36" s="16"/>
      <c r="C36" s="379" t="s">
        <v>26</v>
      </c>
      <c r="D36" s="380"/>
      <c r="E36" s="302"/>
      <c r="F36" s="302"/>
      <c r="G36" s="855"/>
      <c r="H36" s="381"/>
      <c r="I36" s="719">
        <f ca="1">SUM(OFFSET(I$5,0,0,ROW()-ROW(I$5),1))</f>
        <v>0</v>
      </c>
      <c r="J36" s="381"/>
      <c r="K36" s="19"/>
      <c r="L36"/>
      <c r="N36" s="377"/>
      <c r="O36" s="377"/>
      <c r="P36" s="367">
        <f t="shared" si="0"/>
        <v>31</v>
      </c>
      <c r="Q36" s="367" t="str">
        <f>IF(R36&lt;&gt;"//",COUNTA($R$6:$R36)-COUNTIF($R$6:$R36,"//"),"")</f>
        <v/>
      </c>
      <c r="R36" s="367" t="str">
        <f t="shared" si="1"/>
        <v>//</v>
      </c>
      <c r="S36" s="217" t="str">
        <f ca="1">_xlfn.IFNA(IF(COUNTIF('4.3民生部門電力以外の取組'!$D:$D,OFFSET($R$1,MATCH($P36,$Q:$Q,0)-1,0))=0,OFFSET($R$1,MATCH($P36,$Q:$Q,0)-1,0),""),"")</f>
        <v/>
      </c>
      <c r="T36" s="367" t="str">
        <f ca="1">_xlfn.IFNA(OFFSET('4.3民生部門電力以外の取組'!$F$1,MATCH(E36,'4.3民生部門電力以外の取組'!$D:$D,0)+1,0),"")</f>
        <v/>
      </c>
      <c r="U36" s="217"/>
      <c r="V36" s="177">
        <f ca="1">SUM(OFFSET(I$5,0,0,ROW()-ROW(I$5),1))</f>
        <v>0</v>
      </c>
    </row>
    <row r="37" spans="2:22" ht="6.65" customHeight="1">
      <c r="B37" s="46"/>
      <c r="C37" s="26"/>
      <c r="D37" s="26"/>
      <c r="E37" s="26"/>
      <c r="F37" s="26"/>
      <c r="G37" s="856"/>
      <c r="H37" s="26"/>
      <c r="I37" s="26"/>
      <c r="J37" s="26"/>
      <c r="K37" s="27"/>
      <c r="L37"/>
      <c r="P37"/>
      <c r="Q37"/>
      <c r="R37"/>
      <c r="S37"/>
    </row>
    <row r="38" spans="2:22">
      <c r="P38"/>
      <c r="Q38"/>
      <c r="R38"/>
      <c r="S38"/>
    </row>
    <row r="39" spans="2:22">
      <c r="P39"/>
      <c r="Q39"/>
      <c r="R39"/>
      <c r="S39"/>
    </row>
    <row r="40" spans="2:22">
      <c r="P40" s="177" t="s">
        <v>458</v>
      </c>
      <c r="Q40" s="177"/>
      <c r="R40"/>
      <c r="S40"/>
    </row>
    <row r="41" spans="2:22">
      <c r="P41" s="177" t="s">
        <v>602</v>
      </c>
      <c r="Q41" s="177">
        <f ca="1">IF(COUNTA(E:E)-1=COUNTIF(J:J,"?"),1,0)</f>
        <v>1</v>
      </c>
      <c r="R41"/>
      <c r="S41"/>
    </row>
    <row r="42" spans="2:22">
      <c r="P42" s="177" t="s">
        <v>220</v>
      </c>
      <c r="Q42" s="177" cm="1">
        <f t="array" aca="1" ref="Q42" ca="1">IF(SUMPRODUCT(N(J6:J36&lt;&gt;T6:T36))=0,1,0)</f>
        <v>1</v>
      </c>
      <c r="R42"/>
      <c r="S42"/>
    </row>
    <row r="43" spans="2:22">
      <c r="P43" s="177" t="s">
        <v>600</v>
      </c>
      <c r="Q43" s="177">
        <f ca="1">Q41*Q42</f>
        <v>1</v>
      </c>
      <c r="R43"/>
      <c r="S43"/>
    </row>
    <row r="44" spans="2:22">
      <c r="P44"/>
      <c r="Q44"/>
      <c r="R44"/>
      <c r="S44"/>
    </row>
    <row r="45" spans="2:22">
      <c r="P45"/>
      <c r="Q45"/>
      <c r="R45"/>
      <c r="S45"/>
    </row>
    <row r="46" spans="2:22">
      <c r="P46"/>
      <c r="Q46"/>
      <c r="R46"/>
      <c r="S46"/>
    </row>
    <row r="47" spans="2:22">
      <c r="P47"/>
      <c r="Q47"/>
      <c r="R47"/>
      <c r="S47"/>
    </row>
  </sheetData>
  <sheetProtection algorithmName="SHA-512" hashValue="qXPS1fIESfidDeZTzS1cckEOi8W6E4jPjDFXmCo1VElGKDSsJN63VEOBJAmvSErO5Qh0TWFHMV6OlnUWmKLlVA==" saltValue="3vThFgYYG87+Sr7zg9lbFA==" spinCount="100000" sheet="1" formatCells="0" insertRows="0" deleteRows="0"/>
  <phoneticPr fontId="1"/>
  <conditionalFormatting sqref="C6:C35">
    <cfRule type="notContainsBlanks" dxfId="326" priority="3">
      <formula>LEN(TRIM(C6))&gt;0</formula>
    </cfRule>
    <cfRule type="expression" dxfId="325" priority="5">
      <formula>$E6&lt;&gt;""</formula>
    </cfRule>
  </conditionalFormatting>
  <conditionalFormatting sqref="C6:J36">
    <cfRule type="expression" dxfId="324" priority="9">
      <formula>$P6=""</formula>
    </cfRule>
  </conditionalFormatting>
  <conditionalFormatting sqref="E7:J35">
    <cfRule type="notContainsBlanks" dxfId="323" priority="8">
      <formula>LEN(TRIM(E7))&gt;0</formula>
    </cfRule>
  </conditionalFormatting>
  <conditionalFormatting sqref="I6:I35">
    <cfRule type="notContainsBlanks" dxfId="322" priority="7">
      <formula>LEN(TRIM(I6))&gt;0</formula>
    </cfRule>
  </conditionalFormatting>
  <conditionalFormatting sqref="I6:I36">
    <cfRule type="expression" dxfId="321" priority="1">
      <formula>$I6&lt;&gt;$V6</formula>
    </cfRule>
  </conditionalFormatting>
  <conditionalFormatting sqref="I36">
    <cfRule type="cellIs" dxfId="320" priority="2" operator="notEqual">
      <formula>0</formula>
    </cfRule>
  </conditionalFormatting>
  <conditionalFormatting sqref="J6:J36">
    <cfRule type="expression" dxfId="319" priority="6">
      <formula>$J6&lt;&gt;$T6</formula>
    </cfRule>
  </conditionalFormatting>
  <dataValidations count="6">
    <dataValidation type="decimal" errorStyle="information" operator="greaterThanOrEqual" allowBlank="1" showInputMessage="1" showErrorMessage="1" error="数値で入力してください_x000a_削減量の算定ができない場合のみ「-」を入力してください" sqref="I36 H6:H35" xr:uid="{70F804D3-5D27-46AA-AC53-7C20728323AD}">
      <formula1>0</formula1>
    </dataValidation>
    <dataValidation type="textLength" operator="lessThan" allowBlank="1" showInputMessage="1" sqref="C16 C26 C6 C11 C21 D32:D35 D6:D30 I6:I35" xr:uid="{A1FC19D3-275E-49E1-AFBF-8E73284638C0}">
      <formula1>1</formula1>
    </dataValidation>
    <dataValidation type="custom" allowBlank="1" showInputMessage="1" showErrorMessage="1" sqref="C36" xr:uid="{7B3450A5-FA2E-4B4F-9F83-10D1EDE37C60}">
      <formula1>$D36="*"</formula1>
    </dataValidation>
    <dataValidation type="list" allowBlank="1" showInputMessage="1" showErrorMessage="1" sqref="G36" xr:uid="{7FCAB65B-CC91-4DCB-9432-949AEC0076A1}">
      <formula1>OFFSET(#REF!,MATCH($F36,#REF!,0),1,1,COUNTA(OFFSET(#REF!,MATCH($F36,#REF!,0),1,1,10)))</formula1>
    </dataValidation>
    <dataValidation type="list" allowBlank="1" showInputMessage="1" showErrorMessage="1" sqref="F36" xr:uid="{14195A26-5660-4D14-A91E-19EC1D94E584}">
      <formula1>#REF!</formula1>
    </dataValidation>
    <dataValidation operator="lessThan" allowBlank="1" showInputMessage="1" showErrorMessage="1" sqref="C31:D31" xr:uid="{64F1A80E-F243-45BE-B005-6B6D714E5A67}"/>
  </dataValidations>
  <pageMargins left="0.7" right="0.7" top="0.75" bottom="0.75" header="0.3" footer="0.3"/>
  <pageSetup paperSize="8" scale="52" orientation="landscape" r:id="rId1"/>
  <customProperties>
    <customPr name="EpmWorksheetKeyString_GUID"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0EA89-E25D-4DFD-A453-4D3EE0E2F7E2}">
  <sheetPr codeName="Sheet36">
    <tabColor theme="7" tint="0.79998168889431442"/>
    <pageSetUpPr autoPageBreaks="0" fitToPage="1"/>
  </sheetPr>
  <dimension ref="A1:AA454"/>
  <sheetViews>
    <sheetView showGridLines="0" zoomScaleNormal="100" zoomScaleSheetLayoutView="90" workbookViewId="0"/>
  </sheetViews>
  <sheetFormatPr defaultColWidth="9" defaultRowHeight="18"/>
  <cols>
    <col min="1" max="1" width="2.08203125" style="11" customWidth="1"/>
    <col min="2" max="2" width="2" style="11" customWidth="1"/>
    <col min="3" max="3" width="7.08203125" style="11" customWidth="1"/>
    <col min="4" max="4" width="21.5" style="11" customWidth="1"/>
    <col min="5" max="5" width="35" style="160" customWidth="1"/>
    <col min="6" max="10" width="15" style="11" customWidth="1"/>
    <col min="11" max="11" width="2" style="11" customWidth="1"/>
    <col min="12" max="12" width="4.08203125" style="101" customWidth="1"/>
    <col min="13" max="14" width="9" style="101"/>
    <col min="15" max="16" width="9" style="11"/>
    <col min="17" max="17" width="4.75" style="11" customWidth="1"/>
    <col min="18" max="25" width="12.58203125" style="11" hidden="1" customWidth="1"/>
    <col min="26" max="26" width="9" style="11" hidden="1" customWidth="1"/>
    <col min="27" max="27" width="0" style="11" hidden="1" customWidth="1"/>
    <col min="28" max="16384" width="9" style="11"/>
  </cols>
  <sheetData>
    <row r="1" spans="1:27" customFormat="1">
      <c r="A1" s="44" t="s">
        <v>359</v>
      </c>
      <c r="B1" s="1"/>
      <c r="C1" s="1"/>
      <c r="E1" s="3"/>
      <c r="L1" s="2"/>
      <c r="M1" s="2"/>
      <c r="N1" s="2"/>
    </row>
    <row r="2" spans="1:27" customFormat="1" ht="66" customHeight="1">
      <c r="B2" s="1081" t="s">
        <v>516</v>
      </c>
      <c r="C2" s="1081"/>
      <c r="D2" s="1081"/>
      <c r="E2" s="1081"/>
      <c r="F2" s="1081"/>
      <c r="G2" s="1081"/>
      <c r="H2" s="1081"/>
      <c r="I2" s="1081"/>
      <c r="J2" s="1081"/>
      <c r="K2" s="1081"/>
      <c r="L2" s="3"/>
      <c r="M2" s="3"/>
      <c r="N2" s="3"/>
      <c r="O2" s="3"/>
    </row>
    <row r="3" spans="1:27" customFormat="1">
      <c r="E3" s="3"/>
      <c r="L3" s="2"/>
      <c r="M3" s="2"/>
      <c r="N3" s="2"/>
    </row>
    <row r="4" spans="1:27" customFormat="1" ht="26.5">
      <c r="B4" s="73"/>
      <c r="E4" s="3"/>
      <c r="L4" s="2"/>
      <c r="M4" s="2"/>
      <c r="N4" s="2"/>
      <c r="R4" t="s">
        <v>317</v>
      </c>
    </row>
    <row r="5" spans="1:27" customFormat="1" ht="13.5" customHeight="1">
      <c r="E5" s="3"/>
      <c r="L5" s="2"/>
      <c r="M5" s="2"/>
      <c r="N5" s="2"/>
      <c r="Z5">
        <f ca="1">PRODUCT(AA:AA)</f>
        <v>1</v>
      </c>
    </row>
    <row r="6" spans="1:27" customFormat="1" ht="15" customHeight="1">
      <c r="B6" s="10"/>
      <c r="C6" s="5"/>
      <c r="D6" s="5"/>
      <c r="E6" s="307"/>
      <c r="F6" s="5"/>
      <c r="G6" s="5"/>
      <c r="H6" s="5"/>
      <c r="I6" s="5"/>
      <c r="J6" s="5"/>
      <c r="K6" s="6"/>
      <c r="R6" s="11" t="str">
        <f>D7</f>
        <v>(選択してください)</v>
      </c>
    </row>
    <row r="7" spans="1:27" customFormat="1">
      <c r="B7" s="7"/>
      <c r="C7" s="77" t="str">
        <f ca="1">IFERROR(OFFSET('4.3民生部門電力以外の排出削減取組'!$C$1,MATCH(D7,'4.3民生部門電力以外の排出削減取組'!$E:$E,0)-1,0),"")</f>
        <v/>
      </c>
      <c r="D7" s="96" t="s">
        <v>130</v>
      </c>
      <c r="E7" s="72" t="s">
        <v>12</v>
      </c>
      <c r="F7" s="1063" t="str">
        <f ca="1">IFERROR(OFFSET('4.3民生部門電力以外の排出削減取組'!$G$1,MATCH($D7,'4.3民生部門電力以外の排出削減取組'!$E:$E,0)-1,0),"")</f>
        <v/>
      </c>
      <c r="G7" s="1063"/>
      <c r="H7" s="1063"/>
      <c r="I7" s="1063"/>
      <c r="J7" s="1063"/>
      <c r="K7" s="8"/>
      <c r="R7" s="257" t="str">
        <f ca="1">IFERROR(OFFSET('4.3民生部門電力以外の排出削減取組'!$G$1,MATCH($D7,'4.3民生部門電力以外の排出削減取組'!$E:$E,0)-1,0),"")</f>
        <v/>
      </c>
      <c r="S7" s="177"/>
      <c r="T7" s="177"/>
      <c r="U7" s="177"/>
      <c r="V7" s="177"/>
      <c r="W7" s="177"/>
      <c r="X7" s="177"/>
      <c r="Y7" s="177"/>
      <c r="Z7" s="177"/>
      <c r="AA7" s="177">
        <f ca="1">(F7=R7)*1</f>
        <v>1</v>
      </c>
    </row>
    <row r="8" spans="1:27" customFormat="1">
      <c r="B8" s="7"/>
      <c r="C8" s="74"/>
      <c r="D8" s="66"/>
      <c r="E8" s="72" t="s">
        <v>282</v>
      </c>
      <c r="F8" s="1080" t="str">
        <f ca="1">IFERROR(OFFSET('4.3民生部門電力以外の排出削減取組'!$H$1,MATCH($D7,'4.3民生部門電力以外の排出削減取組'!$E:$E,0)-1,0),"")</f>
        <v/>
      </c>
      <c r="G8" s="1080"/>
      <c r="H8" s="1080"/>
      <c r="I8" s="1080"/>
      <c r="J8" s="1080"/>
      <c r="K8" s="8"/>
      <c r="R8" s="177" t="str">
        <f ca="1">IFERROR(OFFSET('4.3民生部門電力以外の排出削減取組'!$H$1,MATCH($D7,'4.3民生部門電力以外の排出削減取組'!$E:$E,0)-1,0),"")</f>
        <v/>
      </c>
      <c r="S8" s="177"/>
      <c r="T8" s="177"/>
      <c r="U8" s="177"/>
      <c r="V8" s="177"/>
      <c r="W8" s="177"/>
      <c r="X8" s="177"/>
      <c r="Y8" s="177"/>
      <c r="Z8" s="177"/>
      <c r="AA8" s="177">
        <f t="shared" ref="AA8:AA9" ca="1" si="0">(F8=R8)*1</f>
        <v>1</v>
      </c>
    </row>
    <row r="9" spans="1:27" customFormat="1">
      <c r="B9" s="7"/>
      <c r="C9" s="74"/>
      <c r="D9" s="66"/>
      <c r="E9" s="72" t="s">
        <v>176</v>
      </c>
      <c r="F9" s="1063" t="str">
        <f>_xlfn.IFNA(R9,"")</f>
        <v/>
      </c>
      <c r="G9" s="1063"/>
      <c r="H9" s="1063"/>
      <c r="I9" s="1063"/>
      <c r="J9" s="1063"/>
      <c r="K9" s="8"/>
      <c r="R9" s="131" t="str">
        <f>IF(OR(COUNTIF($E11:$E16,"&lt;&gt;〇〇(合意形成対象者名に書き換え)")=3,COUNTIF($E11:$E16,"")&gt;3),"",IF(PRODUCT($Y11:$Y16)=1,Z11,""))</f>
        <v/>
      </c>
      <c r="S9" s="177"/>
      <c r="T9" s="177"/>
      <c r="U9" s="177"/>
      <c r="V9" s="177"/>
      <c r="W9" s="177"/>
      <c r="X9" s="177"/>
      <c r="Y9" s="177"/>
      <c r="Z9" s="177"/>
      <c r="AA9" s="177">
        <f t="shared" si="0"/>
        <v>1</v>
      </c>
    </row>
    <row r="10" spans="1:27" ht="63.75" customHeight="1">
      <c r="B10" s="97"/>
      <c r="C10" s="98"/>
      <c r="D10" s="99"/>
      <c r="E10" s="895"/>
      <c r="F10" s="315" t="s">
        <v>280</v>
      </c>
      <c r="G10" s="315" t="s">
        <v>270</v>
      </c>
      <c r="H10" s="315" t="s">
        <v>443</v>
      </c>
      <c r="I10" s="315" t="s">
        <v>445</v>
      </c>
      <c r="J10" s="315" t="s">
        <v>281</v>
      </c>
      <c r="K10" s="100"/>
      <c r="L10" s="11"/>
      <c r="R10" s="128" t="s">
        <v>280</v>
      </c>
      <c r="S10" s="128" t="s">
        <v>446</v>
      </c>
      <c r="T10" s="297" t="s">
        <v>443</v>
      </c>
      <c r="U10" s="297" t="s">
        <v>444</v>
      </c>
      <c r="V10" s="258" t="s">
        <v>272</v>
      </c>
      <c r="W10" s="128" t="s">
        <v>432</v>
      </c>
      <c r="X10" s="131" t="s">
        <v>408</v>
      </c>
      <c r="Y10" s="131" t="s">
        <v>436</v>
      </c>
      <c r="Z10" s="128" t="s">
        <v>431</v>
      </c>
      <c r="AA10" s="257"/>
    </row>
    <row r="11" spans="1:27" hidden="1">
      <c r="B11" s="97"/>
      <c r="C11" s="98"/>
      <c r="D11" s="99"/>
      <c r="E11" s="896"/>
      <c r="F11" s="441"/>
      <c r="G11" s="441"/>
      <c r="H11" s="445"/>
      <c r="I11" s="445"/>
      <c r="J11" s="441"/>
      <c r="K11" s="100"/>
      <c r="L11" s="11"/>
      <c r="R11" s="131">
        <f t="shared" ref="R11:R16" si="1">IF(F11="実施済",1,0)</f>
        <v>0</v>
      </c>
      <c r="S11" s="131">
        <f t="shared" ref="S11:U12" si="2">IF(G11="実施済",R11*1,0)</f>
        <v>0</v>
      </c>
      <c r="T11" s="131">
        <f t="shared" si="2"/>
        <v>0</v>
      </c>
      <c r="U11" s="131">
        <f t="shared" si="2"/>
        <v>0</v>
      </c>
      <c r="V11" s="260"/>
      <c r="W11" s="131" t="str">
        <f>IF(OR(E11="〇〇(合意形成対象者名に書き換え)",E11=""),"",SUM(S11,T11,U11))</f>
        <v/>
      </c>
      <c r="X11" s="131">
        <f t="shared" ref="X11:X16" si="3">MIN($W$11:$W$16)+1</f>
        <v>1</v>
      </c>
      <c r="Y11" s="131">
        <f>IF(E11="",1,IF(AND(E11="〇〇(合意形成対象者名に書き換え)",COUNTA($F11:$J11)=0),1,IF(AND(E11&lt;&gt;"〇〇(合意形成対象者名に書き換え)",COUNTA($F11:$J11)=5),1,0)))</f>
        <v>1</v>
      </c>
      <c r="Z11" s="131" t="str" cm="1">
        <f t="array" ref="Z11">_xlfn.IFS(X11=4,"A",X11=3,"B",X11=2,"C",X11=1,"D")</f>
        <v>D</v>
      </c>
      <c r="AA11" s="257"/>
    </row>
    <row r="12" spans="1:27">
      <c r="B12" s="97"/>
      <c r="C12" s="98"/>
      <c r="D12" s="99"/>
      <c r="E12" s="897" t="s">
        <v>129</v>
      </c>
      <c r="F12" s="448"/>
      <c r="G12" s="448"/>
      <c r="H12" s="447"/>
      <c r="I12" s="447"/>
      <c r="J12" s="448"/>
      <c r="K12" s="100"/>
      <c r="L12" s="11"/>
      <c r="R12" s="131">
        <f t="shared" si="1"/>
        <v>0</v>
      </c>
      <c r="S12" s="131">
        <f t="shared" si="2"/>
        <v>0</v>
      </c>
      <c r="T12" s="131">
        <f t="shared" si="2"/>
        <v>0</v>
      </c>
      <c r="U12" s="131">
        <f t="shared" si="2"/>
        <v>0</v>
      </c>
      <c r="V12" s="260"/>
      <c r="W12" s="131" t="str">
        <f t="shared" ref="W12:W16" si="4">IF(OR(E12="〇〇(合意形成対象者名に書き換え)",E12=""),"",SUM(S12,T12,U12))</f>
        <v/>
      </c>
      <c r="X12" s="131">
        <f t="shared" si="3"/>
        <v>1</v>
      </c>
      <c r="Y12" s="131">
        <f t="shared" ref="Y12:Y16" si="5">IF(E12="",1,IF(AND(E12="〇〇(合意形成対象者名に書き換え)",COUNTA($F12:$J12)=0),1,IF(AND(E12&lt;&gt;"〇〇(合意形成対象者名に書き換え)",COUNTA($F12:$J12)=5),1,0)))</f>
        <v>1</v>
      </c>
      <c r="Z12" s="131" t="str" cm="1">
        <f t="array" ref="Z12">_xlfn.IFS(X12=4,"A",X12=3,"B",X12=2,"C",X12=1,"D")</f>
        <v>D</v>
      </c>
      <c r="AA12" s="257"/>
    </row>
    <row r="13" spans="1:27">
      <c r="B13" s="97"/>
      <c r="C13" s="98"/>
      <c r="D13" s="99"/>
      <c r="E13" s="897" t="s">
        <v>129</v>
      </c>
      <c r="F13" s="443"/>
      <c r="G13" s="443"/>
      <c r="H13" s="449"/>
      <c r="I13" s="449"/>
      <c r="J13" s="443"/>
      <c r="K13" s="100"/>
      <c r="L13" s="11"/>
      <c r="R13" s="131">
        <f t="shared" si="1"/>
        <v>0</v>
      </c>
      <c r="S13" s="131">
        <f t="shared" ref="S13:S16" si="6">IF(G13="実施済",R13*1,0)</f>
        <v>0</v>
      </c>
      <c r="T13" s="131">
        <f t="shared" ref="T13:U16" si="7">IF(H13="実施済",S13*1,0)</f>
        <v>0</v>
      </c>
      <c r="U13" s="131">
        <f t="shared" si="7"/>
        <v>0</v>
      </c>
      <c r="V13" s="260"/>
      <c r="W13" s="131" t="str">
        <f t="shared" si="4"/>
        <v/>
      </c>
      <c r="X13" s="131">
        <f t="shared" si="3"/>
        <v>1</v>
      </c>
      <c r="Y13" s="131">
        <f t="shared" si="5"/>
        <v>1</v>
      </c>
      <c r="Z13" s="131" t="str" cm="1">
        <f t="array" ref="Z13">_xlfn.IFS(X13=4,"A",X13=3,"B",X13=2,"C",X13=1,"D")</f>
        <v>D</v>
      </c>
      <c r="AA13" s="257"/>
    </row>
    <row r="14" spans="1:27" s="101" customFormat="1">
      <c r="A14" s="11"/>
      <c r="B14" s="97"/>
      <c r="C14" s="98"/>
      <c r="D14" s="99"/>
      <c r="E14" s="897" t="s">
        <v>129</v>
      </c>
      <c r="F14" s="443"/>
      <c r="G14" s="443"/>
      <c r="H14" s="449"/>
      <c r="I14" s="449"/>
      <c r="J14" s="443"/>
      <c r="K14" s="100"/>
      <c r="L14" s="11"/>
      <c r="O14" s="11"/>
      <c r="P14" s="11"/>
      <c r="Q14" s="11"/>
      <c r="R14" s="131">
        <f t="shared" si="1"/>
        <v>0</v>
      </c>
      <c r="S14" s="131">
        <f t="shared" si="6"/>
        <v>0</v>
      </c>
      <c r="T14" s="131">
        <f t="shared" si="7"/>
        <v>0</v>
      </c>
      <c r="U14" s="131">
        <f t="shared" si="7"/>
        <v>0</v>
      </c>
      <c r="V14" s="260"/>
      <c r="W14" s="131" t="str">
        <f t="shared" si="4"/>
        <v/>
      </c>
      <c r="X14" s="131">
        <f t="shared" si="3"/>
        <v>1</v>
      </c>
      <c r="Y14" s="131">
        <f t="shared" si="5"/>
        <v>1</v>
      </c>
      <c r="Z14" s="131" t="str" cm="1">
        <f t="array" ref="Z14">_xlfn.IFS(X14=4,"A",X14=3,"B",X14=2,"C",X14=1,"D")</f>
        <v>D</v>
      </c>
      <c r="AA14" s="131"/>
    </row>
    <row r="15" spans="1:27" customFormat="1" ht="7.5" customHeight="1">
      <c r="B15" s="65"/>
      <c r="C15" s="4"/>
      <c r="D15" s="4"/>
      <c r="E15" s="290"/>
      <c r="F15" s="4"/>
      <c r="G15" s="4"/>
      <c r="H15" s="4"/>
      <c r="I15" s="4"/>
      <c r="J15" s="4"/>
      <c r="K15" s="9"/>
      <c r="L15" s="2"/>
      <c r="M15" s="2"/>
      <c r="N15" s="2"/>
      <c r="R15" s="131">
        <f t="shared" si="1"/>
        <v>0</v>
      </c>
      <c r="S15" s="131">
        <f t="shared" si="6"/>
        <v>0</v>
      </c>
      <c r="T15" s="131">
        <f t="shared" si="7"/>
        <v>0</v>
      </c>
      <c r="U15" s="131">
        <f t="shared" si="7"/>
        <v>0</v>
      </c>
      <c r="V15" s="260"/>
      <c r="W15" s="131" t="str">
        <f t="shared" si="4"/>
        <v/>
      </c>
      <c r="X15" s="131">
        <f t="shared" si="3"/>
        <v>1</v>
      </c>
      <c r="Y15" s="131">
        <f t="shared" si="5"/>
        <v>1</v>
      </c>
      <c r="Z15" s="131" t="str" cm="1">
        <f t="array" ref="Z15">_xlfn.IFS(X15=4,"A",X15=3,"B",X15=2,"C",X15=1,"D")</f>
        <v>D</v>
      </c>
      <c r="AA15" s="177"/>
    </row>
    <row r="16" spans="1:27" customFormat="1" ht="6" customHeight="1">
      <c r="E16" s="3"/>
      <c r="L16" s="2"/>
      <c r="M16" s="2"/>
      <c r="N16" s="2"/>
      <c r="R16" s="131">
        <f t="shared" si="1"/>
        <v>0</v>
      </c>
      <c r="S16" s="131">
        <f t="shared" si="6"/>
        <v>0</v>
      </c>
      <c r="T16" s="131">
        <f t="shared" si="7"/>
        <v>0</v>
      </c>
      <c r="U16" s="131">
        <f t="shared" si="7"/>
        <v>0</v>
      </c>
      <c r="V16" s="260"/>
      <c r="W16" s="131" t="str">
        <f t="shared" si="4"/>
        <v/>
      </c>
      <c r="X16" s="131">
        <f t="shared" si="3"/>
        <v>1</v>
      </c>
      <c r="Y16" s="131">
        <f t="shared" si="5"/>
        <v>1</v>
      </c>
      <c r="Z16" s="131" t="str" cm="1">
        <f t="array" ref="Z16">_xlfn.IFS(X16=4,"A",X16=3,"B",X16=2,"C",X16=1,"D")</f>
        <v>D</v>
      </c>
      <c r="AA16" s="177"/>
    </row>
    <row r="17" spans="1:27" customFormat="1" ht="103.5" customHeight="1">
      <c r="C17" s="78"/>
      <c r="D17" s="79"/>
      <c r="E17" s="71" t="s">
        <v>238</v>
      </c>
      <c r="F17" s="1057"/>
      <c r="G17" s="1057"/>
      <c r="H17" s="1057"/>
      <c r="I17" s="1057"/>
      <c r="J17" s="1057"/>
      <c r="K17" s="80" t="s">
        <v>132</v>
      </c>
      <c r="L17" s="80"/>
    </row>
    <row r="18" spans="1:27" customFormat="1" ht="146.25" customHeight="1">
      <c r="C18" s="75"/>
      <c r="D18" s="68"/>
      <c r="E18" s="71" t="s">
        <v>237</v>
      </c>
      <c r="F18" s="1057"/>
      <c r="G18" s="1057"/>
      <c r="H18" s="1057"/>
      <c r="I18" s="1057"/>
      <c r="J18" s="1057"/>
      <c r="L18" s="2"/>
      <c r="M18" s="2"/>
      <c r="N18" s="2"/>
    </row>
    <row r="19" spans="1:27" customFormat="1" ht="13.5" customHeight="1" thickBot="1">
      <c r="A19" s="81"/>
      <c r="B19" s="81"/>
      <c r="C19" s="81"/>
      <c r="D19" s="81"/>
      <c r="E19" s="313"/>
      <c r="F19" s="81"/>
      <c r="G19" s="81"/>
      <c r="H19" s="81"/>
      <c r="I19" s="81"/>
      <c r="J19" s="81"/>
      <c r="K19" s="81"/>
      <c r="L19" s="82"/>
      <c r="M19" s="2"/>
      <c r="N19" s="2"/>
    </row>
    <row r="20" spans="1:27" customFormat="1" ht="13.5" customHeight="1">
      <c r="E20" s="3"/>
      <c r="L20" s="2"/>
      <c r="M20" s="2"/>
      <c r="N20" s="2"/>
    </row>
    <row r="21" spans="1:27" customFormat="1" ht="15" customHeight="1">
      <c r="B21" s="10"/>
      <c r="C21" s="5"/>
      <c r="D21" s="5"/>
      <c r="E21" s="307"/>
      <c r="F21" s="5"/>
      <c r="G21" s="5"/>
      <c r="H21" s="5"/>
      <c r="I21" s="5"/>
      <c r="J21" s="5"/>
      <c r="K21" s="6"/>
      <c r="R21" s="11" t="str">
        <f>D22</f>
        <v>(選択してください)</v>
      </c>
    </row>
    <row r="22" spans="1:27" customFormat="1">
      <c r="B22" s="7"/>
      <c r="C22" s="77" t="str">
        <f ca="1">IFERROR(OFFSET('4.3民生部門電力以外の排出削減取組'!$C$1,MATCH(D22,'4.3民生部門電力以外の排出削減取組'!$E:$E,0)-1,0),"")</f>
        <v/>
      </c>
      <c r="D22" s="96" t="s">
        <v>130</v>
      </c>
      <c r="E22" s="72" t="s">
        <v>12</v>
      </c>
      <c r="F22" s="1063" t="str">
        <f ca="1">IFERROR(OFFSET('4.3民生部門電力以外の排出削減取組'!$G$1,MATCH($D22,'4.3民生部門電力以外の排出削減取組'!$E:$E,0)-1,0),"")</f>
        <v/>
      </c>
      <c r="G22" s="1063"/>
      <c r="H22" s="1063"/>
      <c r="I22" s="1063"/>
      <c r="J22" s="1063"/>
      <c r="K22" s="8"/>
      <c r="R22" s="257" t="str">
        <f ca="1">IFERROR(OFFSET('4.3民生部門電力以外の排出削減取組'!$G$1,MATCH($D22,'4.3民生部門電力以外の排出削減取組'!$E:$E,0)-1,0),"")</f>
        <v/>
      </c>
      <c r="S22" s="177"/>
      <c r="T22" s="177"/>
      <c r="U22" s="177"/>
      <c r="V22" s="177"/>
      <c r="W22" s="177"/>
      <c r="X22" s="177"/>
      <c r="Y22" s="177"/>
      <c r="Z22" s="177"/>
      <c r="AA22" s="177">
        <f ca="1">(F22=R22)*1</f>
        <v>1</v>
      </c>
    </row>
    <row r="23" spans="1:27" customFormat="1">
      <c r="B23" s="7"/>
      <c r="C23" s="74"/>
      <c r="D23" s="66"/>
      <c r="E23" s="72" t="s">
        <v>282</v>
      </c>
      <c r="F23" s="1080" t="str">
        <f ca="1">IFERROR(OFFSET('4.3民生部門電力以外の排出削減取組'!$H$1,MATCH($D22,'4.3民生部門電力以外の排出削減取組'!$E:$E,0)-1,0),"")</f>
        <v/>
      </c>
      <c r="G23" s="1080"/>
      <c r="H23" s="1080"/>
      <c r="I23" s="1080"/>
      <c r="J23" s="1080"/>
      <c r="K23" s="8"/>
      <c r="R23" s="177" t="str">
        <f ca="1">IFERROR(OFFSET('4.3民生部門電力以外の排出削減取組'!$H$1,MATCH($D22,'4.3民生部門電力以外の排出削減取組'!$E:$E,0)-1,0),"")</f>
        <v/>
      </c>
      <c r="S23" s="177"/>
      <c r="T23" s="177"/>
      <c r="U23" s="177"/>
      <c r="V23" s="177"/>
      <c r="W23" s="177"/>
      <c r="X23" s="177"/>
      <c r="Y23" s="177"/>
      <c r="Z23" s="177"/>
      <c r="AA23" s="177">
        <f t="shared" ref="AA23:AA24" ca="1" si="8">(F23=R23)*1</f>
        <v>1</v>
      </c>
    </row>
    <row r="24" spans="1:27" customFormat="1">
      <c r="B24" s="7"/>
      <c r="C24" s="74"/>
      <c r="D24" s="66"/>
      <c r="E24" s="72" t="s">
        <v>176</v>
      </c>
      <c r="F24" s="1063" t="str">
        <f>_xlfn.IFNA(R24,"")</f>
        <v/>
      </c>
      <c r="G24" s="1063"/>
      <c r="H24" s="1063"/>
      <c r="I24" s="1063"/>
      <c r="J24" s="1063"/>
      <c r="K24" s="8"/>
      <c r="R24" s="131" t="str">
        <f>IF(OR(COUNTIF($E26:$E31,"&lt;&gt;〇〇(合意形成対象者名に書き換え)")=3,COUNTIF($E26:$E31,"")&gt;3),"",IF(PRODUCT($Y26:$Y31)=1,Z26,""))</f>
        <v/>
      </c>
      <c r="S24" s="177"/>
      <c r="T24" s="177"/>
      <c r="U24" s="177"/>
      <c r="V24" s="177"/>
      <c r="W24" s="177"/>
      <c r="X24" s="177"/>
      <c r="Y24" s="177"/>
      <c r="Z24" s="177"/>
      <c r="AA24" s="177">
        <f t="shared" si="8"/>
        <v>1</v>
      </c>
    </row>
    <row r="25" spans="1:27" ht="63.75" customHeight="1">
      <c r="B25" s="97"/>
      <c r="C25" s="98"/>
      <c r="D25" s="99"/>
      <c r="E25" s="895"/>
      <c r="F25" s="315" t="s">
        <v>280</v>
      </c>
      <c r="G25" s="315" t="s">
        <v>270</v>
      </c>
      <c r="H25" s="315" t="s">
        <v>443</v>
      </c>
      <c r="I25" s="315" t="s">
        <v>445</v>
      </c>
      <c r="J25" s="315" t="s">
        <v>281</v>
      </c>
      <c r="K25" s="100"/>
      <c r="L25" s="11"/>
      <c r="R25" s="128" t="s">
        <v>280</v>
      </c>
      <c r="S25" s="128" t="s">
        <v>446</v>
      </c>
      <c r="T25" s="297" t="s">
        <v>443</v>
      </c>
      <c r="U25" s="297" t="s">
        <v>444</v>
      </c>
      <c r="V25" s="258" t="s">
        <v>272</v>
      </c>
      <c r="W25" s="128" t="s">
        <v>432</v>
      </c>
      <c r="X25" s="131" t="s">
        <v>408</v>
      </c>
      <c r="Y25" s="131" t="s">
        <v>436</v>
      </c>
      <c r="Z25" s="128" t="s">
        <v>431</v>
      </c>
      <c r="AA25" s="257"/>
    </row>
    <row r="26" spans="1:27" hidden="1">
      <c r="B26" s="97"/>
      <c r="C26" s="98"/>
      <c r="D26" s="99"/>
      <c r="E26" s="896"/>
      <c r="F26" s="441"/>
      <c r="G26" s="441"/>
      <c r="H26" s="445"/>
      <c r="I26" s="445"/>
      <c r="J26" s="441"/>
      <c r="K26" s="100"/>
      <c r="L26" s="11"/>
      <c r="R26" s="131">
        <f t="shared" ref="R26:R31" si="9">IF(F26="実施済",1,0)</f>
        <v>0</v>
      </c>
      <c r="S26" s="131">
        <f t="shared" ref="S26:S31" si="10">IF(G26="実施済",R26*1,0)</f>
        <v>0</v>
      </c>
      <c r="T26" s="131">
        <f t="shared" ref="T26:T31" si="11">IF(H26="実施済",S26*1,0)</f>
        <v>0</v>
      </c>
      <c r="U26" s="131">
        <f t="shared" ref="U26:U31" si="12">IF(I26="実施済",T26*1,0)</f>
        <v>0</v>
      </c>
      <c r="V26" s="260"/>
      <c r="W26" s="131" t="str">
        <f>IF(OR(E26="〇〇(合意形成対象者名に書き換え)",E26=""),"",SUM(S26,T26,U26))</f>
        <v/>
      </c>
      <c r="X26" s="131">
        <f t="shared" ref="X26:X31" si="13">MIN($W$26:$W$31)+1</f>
        <v>1</v>
      </c>
      <c r="Y26" s="131">
        <f>IF(E26="",1,IF(AND(E26="〇〇(合意形成対象者名に書き換え)",COUNTA($F26:$J26)=0),1,IF(AND(E26&lt;&gt;"〇〇(合意形成対象者名に書き換え)",COUNTA($F26:$J26)=5),1,0)))</f>
        <v>1</v>
      </c>
      <c r="Z26" s="131" t="str" cm="1">
        <f t="array" ref="Z26">_xlfn.IFS(X26=4,"A",X26=3,"B",X26=2,"C",X26=1,"D")</f>
        <v>D</v>
      </c>
      <c r="AA26" s="257"/>
    </row>
    <row r="27" spans="1:27">
      <c r="B27" s="97"/>
      <c r="C27" s="98"/>
      <c r="D27" s="99"/>
      <c r="E27" s="897" t="s">
        <v>129</v>
      </c>
      <c r="F27" s="448"/>
      <c r="G27" s="448"/>
      <c r="H27" s="447"/>
      <c r="I27" s="447"/>
      <c r="J27" s="448"/>
      <c r="K27" s="100"/>
      <c r="L27" s="11"/>
      <c r="R27" s="131">
        <f t="shared" si="9"/>
        <v>0</v>
      </c>
      <c r="S27" s="131">
        <f t="shared" si="10"/>
        <v>0</v>
      </c>
      <c r="T27" s="131">
        <f t="shared" si="11"/>
        <v>0</v>
      </c>
      <c r="U27" s="131">
        <f t="shared" si="12"/>
        <v>0</v>
      </c>
      <c r="V27" s="260"/>
      <c r="W27" s="131" t="str">
        <f t="shared" ref="W27:W31" si="14">IF(OR(E27="〇〇(合意形成対象者名に書き換え)",E27=""),"",SUM(S27,T27,U27))</f>
        <v/>
      </c>
      <c r="X27" s="131">
        <f t="shared" si="13"/>
        <v>1</v>
      </c>
      <c r="Y27" s="131">
        <f t="shared" ref="Y27:Y31" si="15">IF(E27="",1,IF(AND(E27="〇〇(合意形成対象者名に書き換え)",COUNTA($F27:$J27)=0),1,IF(AND(E27&lt;&gt;"〇〇(合意形成対象者名に書き換え)",COUNTA($F27:$J27)=5),1,0)))</f>
        <v>1</v>
      </c>
      <c r="Z27" s="131" t="str" cm="1">
        <f t="array" ref="Z27">_xlfn.IFS(X27=4,"A",X27=3,"B",X27=2,"C",X27=1,"D")</f>
        <v>D</v>
      </c>
      <c r="AA27" s="257"/>
    </row>
    <row r="28" spans="1:27">
      <c r="B28" s="97"/>
      <c r="C28" s="98"/>
      <c r="D28" s="99"/>
      <c r="E28" s="897" t="s">
        <v>129</v>
      </c>
      <c r="F28" s="443"/>
      <c r="G28" s="443"/>
      <c r="H28" s="449"/>
      <c r="I28" s="449"/>
      <c r="J28" s="443"/>
      <c r="K28" s="100"/>
      <c r="L28" s="11"/>
      <c r="R28" s="131">
        <f t="shared" si="9"/>
        <v>0</v>
      </c>
      <c r="S28" s="131">
        <f t="shared" si="10"/>
        <v>0</v>
      </c>
      <c r="T28" s="131">
        <f t="shared" si="11"/>
        <v>0</v>
      </c>
      <c r="U28" s="131">
        <f t="shared" si="12"/>
        <v>0</v>
      </c>
      <c r="V28" s="260"/>
      <c r="W28" s="131" t="str">
        <f t="shared" si="14"/>
        <v/>
      </c>
      <c r="X28" s="131">
        <f t="shared" si="13"/>
        <v>1</v>
      </c>
      <c r="Y28" s="131">
        <f t="shared" si="15"/>
        <v>1</v>
      </c>
      <c r="Z28" s="131" t="str" cm="1">
        <f t="array" ref="Z28">_xlfn.IFS(X28=4,"A",X28=3,"B",X28=2,"C",X28=1,"D")</f>
        <v>D</v>
      </c>
      <c r="AA28" s="257"/>
    </row>
    <row r="29" spans="1:27" s="101" customFormat="1">
      <c r="A29" s="11"/>
      <c r="B29" s="97"/>
      <c r="C29" s="98"/>
      <c r="D29" s="99"/>
      <c r="E29" s="897" t="s">
        <v>129</v>
      </c>
      <c r="F29" s="443"/>
      <c r="G29" s="443"/>
      <c r="H29" s="449"/>
      <c r="I29" s="449"/>
      <c r="J29" s="443"/>
      <c r="K29" s="100"/>
      <c r="L29" s="11"/>
      <c r="O29" s="11"/>
      <c r="P29" s="11"/>
      <c r="Q29" s="11"/>
      <c r="R29" s="131">
        <f t="shared" si="9"/>
        <v>0</v>
      </c>
      <c r="S29" s="131">
        <f t="shared" si="10"/>
        <v>0</v>
      </c>
      <c r="T29" s="131">
        <f t="shared" si="11"/>
        <v>0</v>
      </c>
      <c r="U29" s="131">
        <f t="shared" si="12"/>
        <v>0</v>
      </c>
      <c r="V29" s="260"/>
      <c r="W29" s="131" t="str">
        <f t="shared" si="14"/>
        <v/>
      </c>
      <c r="X29" s="131">
        <f t="shared" si="13"/>
        <v>1</v>
      </c>
      <c r="Y29" s="131">
        <f t="shared" si="15"/>
        <v>1</v>
      </c>
      <c r="Z29" s="131" t="str" cm="1">
        <f t="array" ref="Z29">_xlfn.IFS(X29=4,"A",X29=3,"B",X29=2,"C",X29=1,"D")</f>
        <v>D</v>
      </c>
      <c r="AA29" s="131"/>
    </row>
    <row r="30" spans="1:27" customFormat="1" ht="7.5" customHeight="1">
      <c r="B30" s="65"/>
      <c r="C30" s="4"/>
      <c r="D30" s="4"/>
      <c r="E30" s="290"/>
      <c r="F30" s="4"/>
      <c r="G30" s="4"/>
      <c r="H30" s="4"/>
      <c r="I30" s="4"/>
      <c r="J30" s="4"/>
      <c r="K30" s="9"/>
      <c r="L30" s="2"/>
      <c r="M30" s="2"/>
      <c r="N30" s="2"/>
      <c r="R30" s="131">
        <f t="shared" si="9"/>
        <v>0</v>
      </c>
      <c r="S30" s="131">
        <f t="shared" si="10"/>
        <v>0</v>
      </c>
      <c r="T30" s="131">
        <f t="shared" si="11"/>
        <v>0</v>
      </c>
      <c r="U30" s="131">
        <f t="shared" si="12"/>
        <v>0</v>
      </c>
      <c r="V30" s="260"/>
      <c r="W30" s="131" t="str">
        <f t="shared" si="14"/>
        <v/>
      </c>
      <c r="X30" s="131">
        <f t="shared" si="13"/>
        <v>1</v>
      </c>
      <c r="Y30" s="131">
        <f t="shared" si="15"/>
        <v>1</v>
      </c>
      <c r="Z30" s="131" t="str" cm="1">
        <f t="array" ref="Z30">_xlfn.IFS(X30=4,"A",X30=3,"B",X30=2,"C",X30=1,"D")</f>
        <v>D</v>
      </c>
      <c r="AA30" s="177"/>
    </row>
    <row r="31" spans="1:27" customFormat="1" ht="6" customHeight="1">
      <c r="E31" s="3"/>
      <c r="L31" s="2"/>
      <c r="M31" s="2"/>
      <c r="N31" s="2"/>
      <c r="R31" s="131">
        <f t="shared" si="9"/>
        <v>0</v>
      </c>
      <c r="S31" s="131">
        <f t="shared" si="10"/>
        <v>0</v>
      </c>
      <c r="T31" s="131">
        <f t="shared" si="11"/>
        <v>0</v>
      </c>
      <c r="U31" s="131">
        <f t="shared" si="12"/>
        <v>0</v>
      </c>
      <c r="V31" s="260"/>
      <c r="W31" s="131" t="str">
        <f t="shared" si="14"/>
        <v/>
      </c>
      <c r="X31" s="131">
        <f t="shared" si="13"/>
        <v>1</v>
      </c>
      <c r="Y31" s="131">
        <f t="shared" si="15"/>
        <v>1</v>
      </c>
      <c r="Z31" s="131" t="str" cm="1">
        <f t="array" ref="Z31">_xlfn.IFS(X31=4,"A",X31=3,"B",X31=2,"C",X31=1,"D")</f>
        <v>D</v>
      </c>
      <c r="AA31" s="177"/>
    </row>
    <row r="32" spans="1:27" customFormat="1" ht="103.5" customHeight="1">
      <c r="C32" s="78"/>
      <c r="D32" s="79"/>
      <c r="E32" s="71" t="s">
        <v>238</v>
      </c>
      <c r="F32" s="1057"/>
      <c r="G32" s="1057"/>
      <c r="H32" s="1057"/>
      <c r="I32" s="1057"/>
      <c r="J32" s="1057"/>
      <c r="K32" s="80" t="s">
        <v>132</v>
      </c>
      <c r="L32" s="80"/>
    </row>
    <row r="33" spans="1:27" customFormat="1" ht="146.25" customHeight="1">
      <c r="C33" s="75"/>
      <c r="D33" s="68"/>
      <c r="E33" s="71" t="s">
        <v>237</v>
      </c>
      <c r="F33" s="1057"/>
      <c r="G33" s="1057"/>
      <c r="H33" s="1057"/>
      <c r="I33" s="1057"/>
      <c r="J33" s="1057"/>
      <c r="L33" s="2"/>
      <c r="M33" s="2"/>
      <c r="N33" s="2"/>
    </row>
    <row r="34" spans="1:27" customFormat="1" ht="13.5" customHeight="1" thickBot="1">
      <c r="A34" s="81"/>
      <c r="B34" s="81"/>
      <c r="C34" s="81"/>
      <c r="D34" s="81"/>
      <c r="E34" s="313"/>
      <c r="F34" s="81"/>
      <c r="G34" s="81"/>
      <c r="H34" s="81"/>
      <c r="I34" s="81"/>
      <c r="J34" s="81"/>
      <c r="K34" s="81"/>
      <c r="L34" s="82"/>
      <c r="M34" s="2"/>
      <c r="N34" s="2"/>
    </row>
    <row r="35" spans="1:27" customFormat="1" ht="13.5" customHeight="1">
      <c r="E35" s="3"/>
      <c r="L35" s="2"/>
      <c r="M35" s="2"/>
      <c r="N35" s="2"/>
    </row>
    <row r="36" spans="1:27" customFormat="1" ht="15" customHeight="1">
      <c r="B36" s="10"/>
      <c r="C36" s="5"/>
      <c r="D36" s="5"/>
      <c r="E36" s="307"/>
      <c r="F36" s="5"/>
      <c r="G36" s="5"/>
      <c r="H36" s="5"/>
      <c r="I36" s="5"/>
      <c r="J36" s="5"/>
      <c r="K36" s="6"/>
      <c r="R36" s="11" t="str">
        <f>D37</f>
        <v>(選択してください)</v>
      </c>
    </row>
    <row r="37" spans="1:27" customFormat="1">
      <c r="B37" s="7"/>
      <c r="C37" s="77" t="str">
        <f ca="1">IFERROR(OFFSET('4.3民生部門電力以外の排出削減取組'!$C$1,MATCH(D37,'4.3民生部門電力以外の排出削減取組'!$E:$E,0)-1,0),"")</f>
        <v/>
      </c>
      <c r="D37" s="96" t="s">
        <v>130</v>
      </c>
      <c r="E37" s="72" t="s">
        <v>12</v>
      </c>
      <c r="F37" s="1063" t="str">
        <f ca="1">IFERROR(OFFSET('4.3民生部門電力以外の排出削減取組'!$G$1,MATCH($D37,'4.3民生部門電力以外の排出削減取組'!$E:$E,0)-1,0),"")</f>
        <v/>
      </c>
      <c r="G37" s="1063"/>
      <c r="H37" s="1063"/>
      <c r="I37" s="1063"/>
      <c r="J37" s="1063"/>
      <c r="K37" s="8"/>
      <c r="R37" s="257" t="str">
        <f ca="1">IFERROR(OFFSET('4.3民生部門電力以外の排出削減取組'!$G$1,MATCH($D37,'4.3民生部門電力以外の排出削減取組'!$E:$E,0)-1,0),"")</f>
        <v/>
      </c>
      <c r="S37" s="177"/>
      <c r="T37" s="177"/>
      <c r="U37" s="177"/>
      <c r="V37" s="177"/>
      <c r="W37" s="177"/>
      <c r="X37" s="177"/>
      <c r="Y37" s="177"/>
      <c r="Z37" s="177"/>
      <c r="AA37" s="177">
        <f ca="1">(F37=R37)*1</f>
        <v>1</v>
      </c>
    </row>
    <row r="38" spans="1:27" customFormat="1">
      <c r="B38" s="7"/>
      <c r="C38" s="74"/>
      <c r="D38" s="66"/>
      <c r="E38" s="72" t="s">
        <v>282</v>
      </c>
      <c r="F38" s="1080" t="str">
        <f ca="1">IFERROR(OFFSET('4.3民生部門電力以外の排出削減取組'!$H$1,MATCH($D37,'4.3民生部門電力以外の排出削減取組'!$E:$E,0)-1,0),"")</f>
        <v/>
      </c>
      <c r="G38" s="1080"/>
      <c r="H38" s="1080"/>
      <c r="I38" s="1080"/>
      <c r="J38" s="1080"/>
      <c r="K38" s="8"/>
      <c r="R38" s="177" t="str">
        <f ca="1">IFERROR(OFFSET('4.3民生部門電力以外の排出削減取組'!$H$1,MATCH($D37,'4.3民生部門電力以外の排出削減取組'!$E:$E,0)-1,0),"")</f>
        <v/>
      </c>
      <c r="S38" s="177"/>
      <c r="T38" s="177"/>
      <c r="U38" s="177"/>
      <c r="V38" s="177"/>
      <c r="W38" s="177"/>
      <c r="X38" s="177"/>
      <c r="Y38" s="177"/>
      <c r="Z38" s="177"/>
      <c r="AA38" s="177">
        <f t="shared" ref="AA38:AA39" ca="1" si="16">(F38=R38)*1</f>
        <v>1</v>
      </c>
    </row>
    <row r="39" spans="1:27" customFormat="1">
      <c r="B39" s="7"/>
      <c r="C39" s="74"/>
      <c r="D39" s="66"/>
      <c r="E39" s="72" t="s">
        <v>176</v>
      </c>
      <c r="F39" s="1063" t="str">
        <f>_xlfn.IFNA(R39,"")</f>
        <v/>
      </c>
      <c r="G39" s="1063"/>
      <c r="H39" s="1063"/>
      <c r="I39" s="1063"/>
      <c r="J39" s="1063"/>
      <c r="K39" s="8"/>
      <c r="R39" s="131" t="str">
        <f>IF(OR(COUNTIF($E41:$E46,"&lt;&gt;〇〇(合意形成対象者名に書き換え)")=3,COUNTIF($E41:$E46,"")&gt;3),"",IF(PRODUCT($Y41:$Y46)=1,Z41,""))</f>
        <v/>
      </c>
      <c r="S39" s="177"/>
      <c r="T39" s="177"/>
      <c r="U39" s="177"/>
      <c r="V39" s="177"/>
      <c r="W39" s="177"/>
      <c r="X39" s="177"/>
      <c r="Y39" s="177"/>
      <c r="Z39" s="177"/>
      <c r="AA39" s="177">
        <f t="shared" si="16"/>
        <v>1</v>
      </c>
    </row>
    <row r="40" spans="1:27" ht="63.75" customHeight="1">
      <c r="B40" s="97"/>
      <c r="C40" s="98"/>
      <c r="D40" s="99"/>
      <c r="E40" s="895"/>
      <c r="F40" s="315" t="s">
        <v>280</v>
      </c>
      <c r="G40" s="315" t="s">
        <v>270</v>
      </c>
      <c r="H40" s="315" t="s">
        <v>443</v>
      </c>
      <c r="I40" s="315" t="s">
        <v>445</v>
      </c>
      <c r="J40" s="315" t="s">
        <v>281</v>
      </c>
      <c r="K40" s="100"/>
      <c r="L40" s="11"/>
      <c r="R40" s="128" t="s">
        <v>280</v>
      </c>
      <c r="S40" s="128" t="s">
        <v>446</v>
      </c>
      <c r="T40" s="297" t="s">
        <v>443</v>
      </c>
      <c r="U40" s="297" t="s">
        <v>444</v>
      </c>
      <c r="V40" s="258" t="s">
        <v>272</v>
      </c>
      <c r="W40" s="128" t="s">
        <v>432</v>
      </c>
      <c r="X40" s="131" t="s">
        <v>408</v>
      </c>
      <c r="Y40" s="131" t="s">
        <v>436</v>
      </c>
      <c r="Z40" s="128" t="s">
        <v>431</v>
      </c>
      <c r="AA40" s="257"/>
    </row>
    <row r="41" spans="1:27" hidden="1">
      <c r="B41" s="97"/>
      <c r="C41" s="98"/>
      <c r="D41" s="99"/>
      <c r="E41" s="896"/>
      <c r="F41" s="441"/>
      <c r="G41" s="441"/>
      <c r="H41" s="445"/>
      <c r="I41" s="445"/>
      <c r="J41" s="441"/>
      <c r="K41" s="100"/>
      <c r="L41" s="11"/>
      <c r="R41" s="131">
        <f t="shared" ref="R41:R46" si="17">IF(F41="実施済",1,0)</f>
        <v>0</v>
      </c>
      <c r="S41" s="131">
        <f t="shared" ref="S41:S46" si="18">IF(G41="実施済",R41*1,0)</f>
        <v>0</v>
      </c>
      <c r="T41" s="131">
        <f t="shared" ref="T41:T46" si="19">IF(H41="実施済",S41*1,0)</f>
        <v>0</v>
      </c>
      <c r="U41" s="131">
        <f t="shared" ref="U41:U46" si="20">IF(I41="実施済",T41*1,0)</f>
        <v>0</v>
      </c>
      <c r="V41" s="260"/>
      <c r="W41" s="131" t="str">
        <f>IF(OR(E41="〇〇(合意形成対象者名に書き換え)",E41=""),"",SUM(S41,T41,U41))</f>
        <v/>
      </c>
      <c r="X41" s="131">
        <f t="shared" ref="X41:X46" si="21">MIN($W$41:$W$46)+1</f>
        <v>1</v>
      </c>
      <c r="Y41" s="131">
        <f>IF(E41="",1,IF(AND(E41="〇〇(合意形成対象者名に書き換え)",COUNTA($F41:$J41)=0),1,IF(AND(E41&lt;&gt;"〇〇(合意形成対象者名に書き換え)",COUNTA($F41:$J41)=5),1,0)))</f>
        <v>1</v>
      </c>
      <c r="Z41" s="131" t="str" cm="1">
        <f t="array" ref="Z41">_xlfn.IFS(X41=4,"A",X41=3,"B",X41=2,"C",X41=1,"D")</f>
        <v>D</v>
      </c>
      <c r="AA41" s="257"/>
    </row>
    <row r="42" spans="1:27">
      <c r="B42" s="97"/>
      <c r="C42" s="98"/>
      <c r="D42" s="99"/>
      <c r="E42" s="897" t="s">
        <v>129</v>
      </c>
      <c r="F42" s="448"/>
      <c r="G42" s="448"/>
      <c r="H42" s="447"/>
      <c r="I42" s="447"/>
      <c r="J42" s="448"/>
      <c r="K42" s="100"/>
      <c r="L42" s="11"/>
      <c r="R42" s="131">
        <f t="shared" si="17"/>
        <v>0</v>
      </c>
      <c r="S42" s="131">
        <f t="shared" si="18"/>
        <v>0</v>
      </c>
      <c r="T42" s="131">
        <f t="shared" si="19"/>
        <v>0</v>
      </c>
      <c r="U42" s="131">
        <f t="shared" si="20"/>
        <v>0</v>
      </c>
      <c r="V42" s="260"/>
      <c r="W42" s="131" t="str">
        <f t="shared" ref="W42:W46" si="22">IF(OR(E42="〇〇(合意形成対象者名に書き換え)",E42=""),"",SUM(S42,T42,U42))</f>
        <v/>
      </c>
      <c r="X42" s="131">
        <f t="shared" si="21"/>
        <v>1</v>
      </c>
      <c r="Y42" s="131">
        <f t="shared" ref="Y42:Y46" si="23">IF(E42="",1,IF(AND(E42="〇〇(合意形成対象者名に書き換え)",COUNTA($F42:$J42)=0),1,IF(AND(E42&lt;&gt;"〇〇(合意形成対象者名に書き換え)",COUNTA($F42:$J42)=5),1,0)))</f>
        <v>1</v>
      </c>
      <c r="Z42" s="131" t="str" cm="1">
        <f t="array" ref="Z42">_xlfn.IFS(X42=4,"A",X42=3,"B",X42=2,"C",X42=1,"D")</f>
        <v>D</v>
      </c>
      <c r="AA42" s="257"/>
    </row>
    <row r="43" spans="1:27">
      <c r="B43" s="97"/>
      <c r="C43" s="98"/>
      <c r="D43" s="99"/>
      <c r="E43" s="897" t="s">
        <v>129</v>
      </c>
      <c r="F43" s="443"/>
      <c r="G43" s="443"/>
      <c r="H43" s="449"/>
      <c r="I43" s="449"/>
      <c r="J43" s="443"/>
      <c r="K43" s="100"/>
      <c r="L43" s="11"/>
      <c r="R43" s="131">
        <f t="shared" si="17"/>
        <v>0</v>
      </c>
      <c r="S43" s="131">
        <f t="shared" si="18"/>
        <v>0</v>
      </c>
      <c r="T43" s="131">
        <f t="shared" si="19"/>
        <v>0</v>
      </c>
      <c r="U43" s="131">
        <f t="shared" si="20"/>
        <v>0</v>
      </c>
      <c r="V43" s="260"/>
      <c r="W43" s="131" t="str">
        <f t="shared" si="22"/>
        <v/>
      </c>
      <c r="X43" s="131">
        <f t="shared" si="21"/>
        <v>1</v>
      </c>
      <c r="Y43" s="131">
        <f t="shared" si="23"/>
        <v>1</v>
      </c>
      <c r="Z43" s="131" t="str" cm="1">
        <f t="array" ref="Z43">_xlfn.IFS(X43=4,"A",X43=3,"B",X43=2,"C",X43=1,"D")</f>
        <v>D</v>
      </c>
      <c r="AA43" s="257"/>
    </row>
    <row r="44" spans="1:27" s="101" customFormat="1">
      <c r="A44" s="11"/>
      <c r="B44" s="97"/>
      <c r="C44" s="98"/>
      <c r="D44" s="99"/>
      <c r="E44" s="897" t="s">
        <v>129</v>
      </c>
      <c r="F44" s="443"/>
      <c r="G44" s="443"/>
      <c r="H44" s="449"/>
      <c r="I44" s="449"/>
      <c r="J44" s="443"/>
      <c r="K44" s="100"/>
      <c r="L44" s="11"/>
      <c r="O44" s="11"/>
      <c r="P44" s="11"/>
      <c r="Q44" s="11"/>
      <c r="R44" s="131">
        <f t="shared" si="17"/>
        <v>0</v>
      </c>
      <c r="S44" s="131">
        <f t="shared" si="18"/>
        <v>0</v>
      </c>
      <c r="T44" s="131">
        <f t="shared" si="19"/>
        <v>0</v>
      </c>
      <c r="U44" s="131">
        <f t="shared" si="20"/>
        <v>0</v>
      </c>
      <c r="V44" s="260"/>
      <c r="W44" s="131" t="str">
        <f t="shared" si="22"/>
        <v/>
      </c>
      <c r="X44" s="131">
        <f t="shared" si="21"/>
        <v>1</v>
      </c>
      <c r="Y44" s="131">
        <f t="shared" si="23"/>
        <v>1</v>
      </c>
      <c r="Z44" s="131" t="str" cm="1">
        <f t="array" ref="Z44">_xlfn.IFS(X44=4,"A",X44=3,"B",X44=2,"C",X44=1,"D")</f>
        <v>D</v>
      </c>
      <c r="AA44" s="131"/>
    </row>
    <row r="45" spans="1:27" customFormat="1" ht="7.5" customHeight="1">
      <c r="B45" s="65"/>
      <c r="C45" s="4"/>
      <c r="D45" s="4"/>
      <c r="E45" s="290"/>
      <c r="F45" s="4"/>
      <c r="G45" s="4"/>
      <c r="H45" s="4"/>
      <c r="I45" s="4"/>
      <c r="J45" s="4"/>
      <c r="K45" s="9"/>
      <c r="L45" s="2"/>
      <c r="M45" s="2"/>
      <c r="N45" s="2"/>
      <c r="R45" s="131">
        <f t="shared" si="17"/>
        <v>0</v>
      </c>
      <c r="S45" s="131">
        <f t="shared" si="18"/>
        <v>0</v>
      </c>
      <c r="T45" s="131">
        <f t="shared" si="19"/>
        <v>0</v>
      </c>
      <c r="U45" s="131">
        <f t="shared" si="20"/>
        <v>0</v>
      </c>
      <c r="V45" s="260"/>
      <c r="W45" s="131" t="str">
        <f t="shared" si="22"/>
        <v/>
      </c>
      <c r="X45" s="131">
        <f t="shared" si="21"/>
        <v>1</v>
      </c>
      <c r="Y45" s="131">
        <f t="shared" si="23"/>
        <v>1</v>
      </c>
      <c r="Z45" s="131" t="str" cm="1">
        <f t="array" ref="Z45">_xlfn.IFS(X45=4,"A",X45=3,"B",X45=2,"C",X45=1,"D")</f>
        <v>D</v>
      </c>
      <c r="AA45" s="177"/>
    </row>
    <row r="46" spans="1:27" customFormat="1" ht="6" customHeight="1">
      <c r="E46" s="3"/>
      <c r="L46" s="2"/>
      <c r="M46" s="2"/>
      <c r="N46" s="2"/>
      <c r="R46" s="131">
        <f t="shared" si="17"/>
        <v>0</v>
      </c>
      <c r="S46" s="131">
        <f t="shared" si="18"/>
        <v>0</v>
      </c>
      <c r="T46" s="131">
        <f t="shared" si="19"/>
        <v>0</v>
      </c>
      <c r="U46" s="131">
        <f t="shared" si="20"/>
        <v>0</v>
      </c>
      <c r="V46" s="260"/>
      <c r="W46" s="131" t="str">
        <f t="shared" si="22"/>
        <v/>
      </c>
      <c r="X46" s="131">
        <f t="shared" si="21"/>
        <v>1</v>
      </c>
      <c r="Y46" s="131">
        <f t="shared" si="23"/>
        <v>1</v>
      </c>
      <c r="Z46" s="131" t="str" cm="1">
        <f t="array" ref="Z46">_xlfn.IFS(X46=4,"A",X46=3,"B",X46=2,"C",X46=1,"D")</f>
        <v>D</v>
      </c>
      <c r="AA46" s="177"/>
    </row>
    <row r="47" spans="1:27" customFormat="1" ht="103.5" customHeight="1">
      <c r="C47" s="78"/>
      <c r="D47" s="79"/>
      <c r="E47" s="71" t="s">
        <v>238</v>
      </c>
      <c r="F47" s="1057"/>
      <c r="G47" s="1057"/>
      <c r="H47" s="1057"/>
      <c r="I47" s="1057"/>
      <c r="J47" s="1057"/>
      <c r="K47" s="80" t="s">
        <v>132</v>
      </c>
      <c r="L47" s="80"/>
    </row>
    <row r="48" spans="1:27" customFormat="1" ht="146.25" customHeight="1">
      <c r="C48" s="75"/>
      <c r="D48" s="68"/>
      <c r="E48" s="71" t="s">
        <v>237</v>
      </c>
      <c r="F48" s="1057"/>
      <c r="G48" s="1057"/>
      <c r="H48" s="1057"/>
      <c r="I48" s="1057"/>
      <c r="J48" s="1057"/>
      <c r="L48" s="2"/>
      <c r="M48" s="2"/>
      <c r="N48" s="2"/>
    </row>
    <row r="49" spans="1:27" customFormat="1" ht="13.5" customHeight="1" thickBot="1">
      <c r="A49" s="81"/>
      <c r="B49" s="81"/>
      <c r="C49" s="81"/>
      <c r="D49" s="81"/>
      <c r="E49" s="313"/>
      <c r="F49" s="81"/>
      <c r="G49" s="81"/>
      <c r="H49" s="81"/>
      <c r="I49" s="81"/>
      <c r="J49" s="81"/>
      <c r="K49" s="81"/>
      <c r="L49" s="82"/>
      <c r="M49" s="2"/>
      <c r="N49" s="2"/>
    </row>
    <row r="50" spans="1:27" customFormat="1" ht="13.5" customHeight="1">
      <c r="E50" s="3"/>
      <c r="L50" s="2"/>
      <c r="M50" s="2"/>
      <c r="N50" s="2"/>
    </row>
    <row r="51" spans="1:27" customFormat="1" ht="15" customHeight="1">
      <c r="B51" s="10"/>
      <c r="C51" s="5"/>
      <c r="D51" s="5"/>
      <c r="E51" s="307"/>
      <c r="F51" s="5"/>
      <c r="G51" s="5"/>
      <c r="H51" s="5"/>
      <c r="I51" s="5"/>
      <c r="J51" s="5"/>
      <c r="K51" s="6"/>
      <c r="R51" s="11" t="str">
        <f>D52</f>
        <v>(選択してください)</v>
      </c>
    </row>
    <row r="52" spans="1:27" customFormat="1">
      <c r="B52" s="7"/>
      <c r="C52" s="77" t="str">
        <f ca="1">IFERROR(OFFSET('4.3民生部門電力以外の排出削減取組'!$C$1,MATCH(D52,'4.3民生部門電力以外の排出削減取組'!$E:$E,0)-1,0),"")</f>
        <v/>
      </c>
      <c r="D52" s="96" t="s">
        <v>130</v>
      </c>
      <c r="E52" s="72" t="s">
        <v>12</v>
      </c>
      <c r="F52" s="1063" t="str">
        <f ca="1">IFERROR(OFFSET('4.3民生部門電力以外の排出削減取組'!$G$1,MATCH($D52,'4.3民生部門電力以外の排出削減取組'!$E:$E,0)-1,0),"")</f>
        <v/>
      </c>
      <c r="G52" s="1063"/>
      <c r="H52" s="1063"/>
      <c r="I52" s="1063"/>
      <c r="J52" s="1063"/>
      <c r="K52" s="8"/>
      <c r="R52" s="257" t="str">
        <f ca="1">IFERROR(OFFSET('4.3民生部門電力以外の排出削減取組'!$G$1,MATCH($D52,'4.3民生部門電力以外の排出削減取組'!$E:$E,0)-1,0),"")</f>
        <v/>
      </c>
      <c r="S52" s="177"/>
      <c r="T52" s="177"/>
      <c r="U52" s="177"/>
      <c r="V52" s="177"/>
      <c r="W52" s="177"/>
      <c r="X52" s="177"/>
      <c r="Y52" s="177"/>
      <c r="Z52" s="177"/>
      <c r="AA52" s="177">
        <f ca="1">(F52=R52)*1</f>
        <v>1</v>
      </c>
    </row>
    <row r="53" spans="1:27" customFormat="1">
      <c r="B53" s="7"/>
      <c r="C53" s="74"/>
      <c r="D53" s="66"/>
      <c r="E53" s="72" t="s">
        <v>282</v>
      </c>
      <c r="F53" s="1080" t="str">
        <f ca="1">IFERROR(OFFSET('4.3民生部門電力以外の排出削減取組'!$H$1,MATCH($D52,'4.3民生部門電力以外の排出削減取組'!$E:$E,0)-1,0),"")</f>
        <v/>
      </c>
      <c r="G53" s="1080"/>
      <c r="H53" s="1080"/>
      <c r="I53" s="1080"/>
      <c r="J53" s="1080"/>
      <c r="K53" s="8"/>
      <c r="R53" s="177" t="str">
        <f ca="1">IFERROR(OFFSET('4.3民生部門電力以外の排出削減取組'!$H$1,MATCH($D52,'4.3民生部門電力以外の排出削減取組'!$E:$E,0)-1,0),"")</f>
        <v/>
      </c>
      <c r="S53" s="177"/>
      <c r="T53" s="177"/>
      <c r="U53" s="177"/>
      <c r="V53" s="177"/>
      <c r="W53" s="177"/>
      <c r="X53" s="177"/>
      <c r="Y53" s="177"/>
      <c r="Z53" s="177"/>
      <c r="AA53" s="177">
        <f t="shared" ref="AA53:AA54" ca="1" si="24">(F53=R53)*1</f>
        <v>1</v>
      </c>
    </row>
    <row r="54" spans="1:27" customFormat="1">
      <c r="B54" s="7"/>
      <c r="C54" s="74"/>
      <c r="D54" s="66"/>
      <c r="E54" s="72" t="s">
        <v>176</v>
      </c>
      <c r="F54" s="1063" t="str">
        <f>_xlfn.IFNA(R54,"")</f>
        <v/>
      </c>
      <c r="G54" s="1063"/>
      <c r="H54" s="1063"/>
      <c r="I54" s="1063"/>
      <c r="J54" s="1063"/>
      <c r="K54" s="8"/>
      <c r="R54" s="131" t="str">
        <f>IF(OR(COUNTIF($E56:$E61,"&lt;&gt;〇〇(合意形成対象者名に書き換え)")=3,COUNTIF($E56:$E61,"")&gt;3),"",IF(PRODUCT($Y56:$Y61)=1,Z56,""))</f>
        <v/>
      </c>
      <c r="S54" s="177"/>
      <c r="T54" s="177"/>
      <c r="U54" s="177"/>
      <c r="V54" s="177"/>
      <c r="W54" s="177"/>
      <c r="X54" s="177"/>
      <c r="Y54" s="177"/>
      <c r="Z54" s="177"/>
      <c r="AA54" s="177">
        <f t="shared" si="24"/>
        <v>1</v>
      </c>
    </row>
    <row r="55" spans="1:27" ht="63.75" customHeight="1">
      <c r="B55" s="97"/>
      <c r="C55" s="98"/>
      <c r="D55" s="99"/>
      <c r="E55" s="895"/>
      <c r="F55" s="315" t="s">
        <v>280</v>
      </c>
      <c r="G55" s="315" t="s">
        <v>270</v>
      </c>
      <c r="H55" s="315" t="s">
        <v>443</v>
      </c>
      <c r="I55" s="315" t="s">
        <v>445</v>
      </c>
      <c r="J55" s="315" t="s">
        <v>281</v>
      </c>
      <c r="K55" s="100"/>
      <c r="L55" s="11"/>
      <c r="R55" s="128" t="s">
        <v>280</v>
      </c>
      <c r="S55" s="128" t="s">
        <v>446</v>
      </c>
      <c r="T55" s="297" t="s">
        <v>443</v>
      </c>
      <c r="U55" s="297" t="s">
        <v>444</v>
      </c>
      <c r="V55" s="258" t="s">
        <v>272</v>
      </c>
      <c r="W55" s="128" t="s">
        <v>432</v>
      </c>
      <c r="X55" s="131" t="s">
        <v>408</v>
      </c>
      <c r="Y55" s="131" t="s">
        <v>436</v>
      </c>
      <c r="Z55" s="128" t="s">
        <v>431</v>
      </c>
      <c r="AA55" s="257"/>
    </row>
    <row r="56" spans="1:27" hidden="1">
      <c r="B56" s="97"/>
      <c r="C56" s="98"/>
      <c r="D56" s="99"/>
      <c r="E56" s="896"/>
      <c r="F56" s="441"/>
      <c r="G56" s="441"/>
      <c r="H56" s="445"/>
      <c r="I56" s="445"/>
      <c r="J56" s="441"/>
      <c r="K56" s="100"/>
      <c r="L56" s="11"/>
      <c r="R56" s="131">
        <f t="shared" ref="R56:R61" si="25">IF(F56="実施済",1,0)</f>
        <v>0</v>
      </c>
      <c r="S56" s="131">
        <f t="shared" ref="S56:S61" si="26">IF(G56="実施済",R56*1,0)</f>
        <v>0</v>
      </c>
      <c r="T56" s="131">
        <f t="shared" ref="T56:T61" si="27">IF(H56="実施済",S56*1,0)</f>
        <v>0</v>
      </c>
      <c r="U56" s="131">
        <f t="shared" ref="U56:U61" si="28">IF(I56="実施済",T56*1,0)</f>
        <v>0</v>
      </c>
      <c r="V56" s="260"/>
      <c r="W56" s="131" t="str">
        <f>IF(OR(E56="〇〇(合意形成対象者名に書き換え)",E56=""),"",SUM(S56,T56,U56))</f>
        <v/>
      </c>
      <c r="X56" s="131">
        <f t="shared" ref="X56:X61" si="29">MIN($W$56:$W$61)+1</f>
        <v>1</v>
      </c>
      <c r="Y56" s="131">
        <f>IF(E56="",1,IF(AND(E56="〇〇(合意形成対象者名に書き換え)",COUNTA($F56:$J56)=0),1,IF(AND(E56&lt;&gt;"〇〇(合意形成対象者名に書き換え)",COUNTA($F56:$J56)=5),1,0)))</f>
        <v>1</v>
      </c>
      <c r="Z56" s="131" t="str" cm="1">
        <f t="array" ref="Z56">_xlfn.IFS(X56=4,"A",X56=3,"B",X56=2,"C",X56=1,"D")</f>
        <v>D</v>
      </c>
      <c r="AA56" s="257"/>
    </row>
    <row r="57" spans="1:27">
      <c r="B57" s="97"/>
      <c r="C57" s="98"/>
      <c r="D57" s="99"/>
      <c r="E57" s="897" t="s">
        <v>129</v>
      </c>
      <c r="F57" s="448"/>
      <c r="G57" s="448"/>
      <c r="H57" s="447"/>
      <c r="I57" s="447"/>
      <c r="J57" s="448"/>
      <c r="K57" s="100"/>
      <c r="L57" s="11"/>
      <c r="R57" s="131">
        <f t="shared" si="25"/>
        <v>0</v>
      </c>
      <c r="S57" s="131">
        <f t="shared" si="26"/>
        <v>0</v>
      </c>
      <c r="T57" s="131">
        <f t="shared" si="27"/>
        <v>0</v>
      </c>
      <c r="U57" s="131">
        <f t="shared" si="28"/>
        <v>0</v>
      </c>
      <c r="V57" s="260"/>
      <c r="W57" s="131" t="str">
        <f t="shared" ref="W57:W61" si="30">IF(OR(E57="〇〇(合意形成対象者名に書き換え)",E57=""),"",SUM(S57,T57,U57))</f>
        <v/>
      </c>
      <c r="X57" s="131">
        <f t="shared" si="29"/>
        <v>1</v>
      </c>
      <c r="Y57" s="131">
        <f t="shared" ref="Y57:Y61" si="31">IF(E57="",1,IF(AND(E57="〇〇(合意形成対象者名に書き換え)",COUNTA($F57:$J57)=0),1,IF(AND(E57&lt;&gt;"〇〇(合意形成対象者名に書き換え)",COUNTA($F57:$J57)=5),1,0)))</f>
        <v>1</v>
      </c>
      <c r="Z57" s="131" t="str" cm="1">
        <f t="array" ref="Z57">_xlfn.IFS(X57=4,"A",X57=3,"B",X57=2,"C",X57=1,"D")</f>
        <v>D</v>
      </c>
      <c r="AA57" s="257"/>
    </row>
    <row r="58" spans="1:27">
      <c r="B58" s="97"/>
      <c r="C58" s="98"/>
      <c r="D58" s="99"/>
      <c r="E58" s="897" t="s">
        <v>129</v>
      </c>
      <c r="F58" s="443"/>
      <c r="G58" s="443"/>
      <c r="H58" s="449"/>
      <c r="I58" s="449"/>
      <c r="J58" s="443"/>
      <c r="K58" s="100"/>
      <c r="L58" s="11"/>
      <c r="R58" s="131">
        <f t="shared" si="25"/>
        <v>0</v>
      </c>
      <c r="S58" s="131">
        <f t="shared" si="26"/>
        <v>0</v>
      </c>
      <c r="T58" s="131">
        <f t="shared" si="27"/>
        <v>0</v>
      </c>
      <c r="U58" s="131">
        <f t="shared" si="28"/>
        <v>0</v>
      </c>
      <c r="V58" s="260"/>
      <c r="W58" s="131" t="str">
        <f t="shared" si="30"/>
        <v/>
      </c>
      <c r="X58" s="131">
        <f t="shared" si="29"/>
        <v>1</v>
      </c>
      <c r="Y58" s="131">
        <f t="shared" si="31"/>
        <v>1</v>
      </c>
      <c r="Z58" s="131" t="str" cm="1">
        <f t="array" ref="Z58">_xlfn.IFS(X58=4,"A",X58=3,"B",X58=2,"C",X58=1,"D")</f>
        <v>D</v>
      </c>
      <c r="AA58" s="257"/>
    </row>
    <row r="59" spans="1:27" s="101" customFormat="1">
      <c r="A59" s="11"/>
      <c r="B59" s="97"/>
      <c r="C59" s="98"/>
      <c r="D59" s="99"/>
      <c r="E59" s="897" t="s">
        <v>129</v>
      </c>
      <c r="F59" s="443"/>
      <c r="G59" s="443"/>
      <c r="H59" s="449"/>
      <c r="I59" s="449"/>
      <c r="J59" s="443"/>
      <c r="K59" s="100"/>
      <c r="L59" s="11"/>
      <c r="O59" s="11"/>
      <c r="P59" s="11"/>
      <c r="Q59" s="11"/>
      <c r="R59" s="131">
        <f t="shared" si="25"/>
        <v>0</v>
      </c>
      <c r="S59" s="131">
        <f t="shared" si="26"/>
        <v>0</v>
      </c>
      <c r="T59" s="131">
        <f t="shared" si="27"/>
        <v>0</v>
      </c>
      <c r="U59" s="131">
        <f t="shared" si="28"/>
        <v>0</v>
      </c>
      <c r="V59" s="260"/>
      <c r="W59" s="131" t="str">
        <f t="shared" si="30"/>
        <v/>
      </c>
      <c r="X59" s="131">
        <f t="shared" si="29"/>
        <v>1</v>
      </c>
      <c r="Y59" s="131">
        <f t="shared" si="31"/>
        <v>1</v>
      </c>
      <c r="Z59" s="131" t="str" cm="1">
        <f t="array" ref="Z59">_xlfn.IFS(X59=4,"A",X59=3,"B",X59=2,"C",X59=1,"D")</f>
        <v>D</v>
      </c>
      <c r="AA59" s="131"/>
    </row>
    <row r="60" spans="1:27" customFormat="1" ht="7.5" customHeight="1">
      <c r="B60" s="65"/>
      <c r="C60" s="4"/>
      <c r="D60" s="4"/>
      <c r="E60" s="290"/>
      <c r="F60" s="4"/>
      <c r="G60" s="4"/>
      <c r="H60" s="4"/>
      <c r="I60" s="4"/>
      <c r="J60" s="4"/>
      <c r="K60" s="9"/>
      <c r="L60" s="2"/>
      <c r="M60" s="2"/>
      <c r="N60" s="2"/>
      <c r="R60" s="131">
        <f t="shared" si="25"/>
        <v>0</v>
      </c>
      <c r="S60" s="131">
        <f t="shared" si="26"/>
        <v>0</v>
      </c>
      <c r="T60" s="131">
        <f t="shared" si="27"/>
        <v>0</v>
      </c>
      <c r="U60" s="131">
        <f t="shared" si="28"/>
        <v>0</v>
      </c>
      <c r="V60" s="260"/>
      <c r="W60" s="131" t="str">
        <f t="shared" si="30"/>
        <v/>
      </c>
      <c r="X60" s="131">
        <f t="shared" si="29"/>
        <v>1</v>
      </c>
      <c r="Y60" s="131">
        <f t="shared" si="31"/>
        <v>1</v>
      </c>
      <c r="Z60" s="131" t="str" cm="1">
        <f t="array" ref="Z60">_xlfn.IFS(X60=4,"A",X60=3,"B",X60=2,"C",X60=1,"D")</f>
        <v>D</v>
      </c>
      <c r="AA60" s="177"/>
    </row>
    <row r="61" spans="1:27" customFormat="1" ht="6" customHeight="1">
      <c r="E61" s="3"/>
      <c r="L61" s="2"/>
      <c r="M61" s="2"/>
      <c r="N61" s="2"/>
      <c r="R61" s="131">
        <f t="shared" si="25"/>
        <v>0</v>
      </c>
      <c r="S61" s="131">
        <f t="shared" si="26"/>
        <v>0</v>
      </c>
      <c r="T61" s="131">
        <f t="shared" si="27"/>
        <v>0</v>
      </c>
      <c r="U61" s="131">
        <f t="shared" si="28"/>
        <v>0</v>
      </c>
      <c r="V61" s="260"/>
      <c r="W61" s="131" t="str">
        <f t="shared" si="30"/>
        <v/>
      </c>
      <c r="X61" s="131">
        <f t="shared" si="29"/>
        <v>1</v>
      </c>
      <c r="Y61" s="131">
        <f t="shared" si="31"/>
        <v>1</v>
      </c>
      <c r="Z61" s="131" t="str" cm="1">
        <f t="array" ref="Z61">_xlfn.IFS(X61=4,"A",X61=3,"B",X61=2,"C",X61=1,"D")</f>
        <v>D</v>
      </c>
      <c r="AA61" s="177"/>
    </row>
    <row r="62" spans="1:27" customFormat="1" ht="103.5" customHeight="1">
      <c r="C62" s="78"/>
      <c r="D62" s="79"/>
      <c r="E62" s="71" t="s">
        <v>238</v>
      </c>
      <c r="F62" s="1057"/>
      <c r="G62" s="1057"/>
      <c r="H62" s="1057"/>
      <c r="I62" s="1057"/>
      <c r="J62" s="1057"/>
      <c r="K62" s="80" t="s">
        <v>132</v>
      </c>
      <c r="L62" s="80"/>
    </row>
    <row r="63" spans="1:27" customFormat="1" ht="146.25" customHeight="1">
      <c r="C63" s="75"/>
      <c r="D63" s="68"/>
      <c r="E63" s="71" t="s">
        <v>237</v>
      </c>
      <c r="F63" s="1057"/>
      <c r="G63" s="1057"/>
      <c r="H63" s="1057"/>
      <c r="I63" s="1057"/>
      <c r="J63" s="1057"/>
      <c r="L63" s="2"/>
      <c r="M63" s="2"/>
      <c r="N63" s="2"/>
    </row>
    <row r="64" spans="1:27" customFormat="1" ht="13.5" customHeight="1" thickBot="1">
      <c r="A64" s="81"/>
      <c r="B64" s="81"/>
      <c r="C64" s="81"/>
      <c r="D64" s="81"/>
      <c r="E64" s="313"/>
      <c r="F64" s="81"/>
      <c r="G64" s="81"/>
      <c r="H64" s="81"/>
      <c r="I64" s="81"/>
      <c r="J64" s="81"/>
      <c r="K64" s="81"/>
      <c r="L64" s="82"/>
      <c r="M64" s="2"/>
      <c r="N64" s="2"/>
    </row>
    <row r="65" spans="1:27" customFormat="1" ht="13.5" customHeight="1">
      <c r="E65" s="3"/>
      <c r="L65" s="2"/>
      <c r="M65" s="2"/>
      <c r="N65" s="2"/>
    </row>
    <row r="66" spans="1:27" customFormat="1" ht="15" customHeight="1">
      <c r="B66" s="10"/>
      <c r="C66" s="5"/>
      <c r="D66" s="5"/>
      <c r="E66" s="307"/>
      <c r="F66" s="5"/>
      <c r="G66" s="5"/>
      <c r="H66" s="5"/>
      <c r="I66" s="5"/>
      <c r="J66" s="5"/>
      <c r="K66" s="6"/>
      <c r="R66" s="11" t="str">
        <f>D67</f>
        <v>(選択してください)</v>
      </c>
    </row>
    <row r="67" spans="1:27" customFormat="1">
      <c r="B67" s="7"/>
      <c r="C67" s="77" t="str">
        <f ca="1">IFERROR(OFFSET('4.3民生部門電力以外の排出削減取組'!$C$1,MATCH(D67,'4.3民生部門電力以外の排出削減取組'!$E:$E,0)-1,0),"")</f>
        <v/>
      </c>
      <c r="D67" s="96" t="s">
        <v>130</v>
      </c>
      <c r="E67" s="72" t="s">
        <v>12</v>
      </c>
      <c r="F67" s="1063" t="str">
        <f ca="1">IFERROR(OFFSET('4.3民生部門電力以外の排出削減取組'!$G$1,MATCH($D67,'4.3民生部門電力以外の排出削減取組'!$E:$E,0)-1,0),"")</f>
        <v/>
      </c>
      <c r="G67" s="1063"/>
      <c r="H67" s="1063"/>
      <c r="I67" s="1063"/>
      <c r="J67" s="1063"/>
      <c r="K67" s="8"/>
      <c r="R67" s="257" t="str">
        <f ca="1">IFERROR(OFFSET('4.3民生部門電力以外の排出削減取組'!$G$1,MATCH($D67,'4.3民生部門電力以外の排出削減取組'!$E:$E,0)-1,0),"")</f>
        <v/>
      </c>
      <c r="S67" s="177"/>
      <c r="T67" s="177"/>
      <c r="U67" s="177"/>
      <c r="V67" s="177"/>
      <c r="W67" s="177"/>
      <c r="X67" s="177"/>
      <c r="Y67" s="177"/>
      <c r="Z67" s="177"/>
      <c r="AA67" s="177">
        <f ca="1">(F67=R67)*1</f>
        <v>1</v>
      </c>
    </row>
    <row r="68" spans="1:27" customFormat="1">
      <c r="B68" s="7"/>
      <c r="C68" s="74"/>
      <c r="D68" s="66"/>
      <c r="E68" s="72" t="s">
        <v>282</v>
      </c>
      <c r="F68" s="1080" t="str">
        <f ca="1">IFERROR(OFFSET('4.3民生部門電力以外の排出削減取組'!$H$1,MATCH($D67,'4.3民生部門電力以外の排出削減取組'!$E:$E,0)-1,0),"")</f>
        <v/>
      </c>
      <c r="G68" s="1080"/>
      <c r="H68" s="1080"/>
      <c r="I68" s="1080"/>
      <c r="J68" s="1080"/>
      <c r="K68" s="8"/>
      <c r="R68" s="177" t="str">
        <f ca="1">IFERROR(OFFSET('4.3民生部門電力以外の排出削減取組'!$H$1,MATCH($D67,'4.3民生部門電力以外の排出削減取組'!$E:$E,0)-1,0),"")</f>
        <v/>
      </c>
      <c r="S68" s="177"/>
      <c r="T68" s="177"/>
      <c r="U68" s="177"/>
      <c r="V68" s="177"/>
      <c r="W68" s="177"/>
      <c r="X68" s="177"/>
      <c r="Y68" s="177"/>
      <c r="Z68" s="177"/>
      <c r="AA68" s="177">
        <f t="shared" ref="AA68:AA69" ca="1" si="32">(F68=R68)*1</f>
        <v>1</v>
      </c>
    </row>
    <row r="69" spans="1:27" customFormat="1">
      <c r="B69" s="7"/>
      <c r="C69" s="74"/>
      <c r="D69" s="66"/>
      <c r="E69" s="72" t="s">
        <v>176</v>
      </c>
      <c r="F69" s="1063" t="str">
        <f>_xlfn.IFNA(R69,"")</f>
        <v/>
      </c>
      <c r="G69" s="1063"/>
      <c r="H69" s="1063"/>
      <c r="I69" s="1063"/>
      <c r="J69" s="1063"/>
      <c r="K69" s="8"/>
      <c r="R69" s="131" t="str">
        <f>IF(OR(COUNTIF($E71:$E76,"&lt;&gt;〇〇(合意形成対象者名に書き換え)")=3,COUNTIF($E71:$E76,"")&gt;3),"",IF(PRODUCT($Y71:$Y76)=1,Z71,""))</f>
        <v/>
      </c>
      <c r="S69" s="177"/>
      <c r="T69" s="177"/>
      <c r="U69" s="177"/>
      <c r="V69" s="177"/>
      <c r="W69" s="177"/>
      <c r="X69" s="177"/>
      <c r="Y69" s="177"/>
      <c r="Z69" s="177"/>
      <c r="AA69" s="177">
        <f t="shared" si="32"/>
        <v>1</v>
      </c>
    </row>
    <row r="70" spans="1:27" ht="63.75" customHeight="1">
      <c r="B70" s="97"/>
      <c r="C70" s="98"/>
      <c r="D70" s="99"/>
      <c r="E70" s="895"/>
      <c r="F70" s="315" t="s">
        <v>280</v>
      </c>
      <c r="G70" s="315" t="s">
        <v>270</v>
      </c>
      <c r="H70" s="315" t="s">
        <v>443</v>
      </c>
      <c r="I70" s="315" t="s">
        <v>445</v>
      </c>
      <c r="J70" s="315" t="s">
        <v>281</v>
      </c>
      <c r="K70" s="100"/>
      <c r="L70" s="11"/>
      <c r="R70" s="128" t="s">
        <v>280</v>
      </c>
      <c r="S70" s="128" t="s">
        <v>446</v>
      </c>
      <c r="T70" s="297" t="s">
        <v>443</v>
      </c>
      <c r="U70" s="297" t="s">
        <v>444</v>
      </c>
      <c r="V70" s="258" t="s">
        <v>272</v>
      </c>
      <c r="W70" s="128" t="s">
        <v>432</v>
      </c>
      <c r="X70" s="131" t="s">
        <v>408</v>
      </c>
      <c r="Y70" s="131" t="s">
        <v>436</v>
      </c>
      <c r="Z70" s="128" t="s">
        <v>431</v>
      </c>
      <c r="AA70" s="257"/>
    </row>
    <row r="71" spans="1:27" hidden="1">
      <c r="B71" s="97"/>
      <c r="C71" s="98"/>
      <c r="D71" s="99"/>
      <c r="E71" s="896"/>
      <c r="F71" s="441"/>
      <c r="G71" s="441"/>
      <c r="H71" s="445"/>
      <c r="I71" s="445"/>
      <c r="J71" s="441"/>
      <c r="K71" s="100"/>
      <c r="L71" s="11"/>
      <c r="R71" s="131">
        <f t="shared" ref="R71:R76" si="33">IF(F71="実施済",1,0)</f>
        <v>0</v>
      </c>
      <c r="S71" s="131">
        <f t="shared" ref="S71:S76" si="34">IF(G71="実施済",R71*1,0)</f>
        <v>0</v>
      </c>
      <c r="T71" s="131">
        <f t="shared" ref="T71:T76" si="35">IF(H71="実施済",S71*1,0)</f>
        <v>0</v>
      </c>
      <c r="U71" s="131">
        <f t="shared" ref="U71:U76" si="36">IF(I71="実施済",T71*1,0)</f>
        <v>0</v>
      </c>
      <c r="V71" s="260"/>
      <c r="W71" s="131" t="str">
        <f>IF(OR(E71="〇〇(合意形成対象者名に書き換え)",E71=""),"",SUM(S71,T71,U71))</f>
        <v/>
      </c>
      <c r="X71" s="131">
        <f t="shared" ref="X71:X76" si="37">MIN($W$71:$W$76)+1</f>
        <v>1</v>
      </c>
      <c r="Y71" s="131">
        <f>IF(E71="",1,IF(AND(E71="〇〇(合意形成対象者名に書き換え)",COUNTA($F71:$J71)=0),1,IF(AND(E71&lt;&gt;"〇〇(合意形成対象者名に書き換え)",COUNTA($F71:$J71)=5),1,0)))</f>
        <v>1</v>
      </c>
      <c r="Z71" s="131" t="str" cm="1">
        <f t="array" ref="Z71">_xlfn.IFS(X71=4,"A",X71=3,"B",X71=2,"C",X71=1,"D")</f>
        <v>D</v>
      </c>
      <c r="AA71" s="257"/>
    </row>
    <row r="72" spans="1:27">
      <c r="B72" s="97"/>
      <c r="C72" s="98"/>
      <c r="D72" s="99"/>
      <c r="E72" s="897" t="s">
        <v>129</v>
      </c>
      <c r="F72" s="448"/>
      <c r="G72" s="448"/>
      <c r="H72" s="447"/>
      <c r="I72" s="447"/>
      <c r="J72" s="448"/>
      <c r="K72" s="100"/>
      <c r="L72" s="11"/>
      <c r="R72" s="131">
        <f t="shared" si="33"/>
        <v>0</v>
      </c>
      <c r="S72" s="131">
        <f t="shared" si="34"/>
        <v>0</v>
      </c>
      <c r="T72" s="131">
        <f t="shared" si="35"/>
        <v>0</v>
      </c>
      <c r="U72" s="131">
        <f t="shared" si="36"/>
        <v>0</v>
      </c>
      <c r="V72" s="260"/>
      <c r="W72" s="131" t="str">
        <f t="shared" ref="W72:W76" si="38">IF(OR(E72="〇〇(合意形成対象者名に書き換え)",E72=""),"",SUM(S72,T72,U72))</f>
        <v/>
      </c>
      <c r="X72" s="131">
        <f t="shared" si="37"/>
        <v>1</v>
      </c>
      <c r="Y72" s="131">
        <f t="shared" ref="Y72:Y76" si="39">IF(E72="",1,IF(AND(E72="〇〇(合意形成対象者名に書き換え)",COUNTA($F72:$J72)=0),1,IF(AND(E72&lt;&gt;"〇〇(合意形成対象者名に書き換え)",COUNTA($F72:$J72)=5),1,0)))</f>
        <v>1</v>
      </c>
      <c r="Z72" s="131" t="str" cm="1">
        <f t="array" ref="Z72">_xlfn.IFS(X72=4,"A",X72=3,"B",X72=2,"C",X72=1,"D")</f>
        <v>D</v>
      </c>
      <c r="AA72" s="257"/>
    </row>
    <row r="73" spans="1:27">
      <c r="B73" s="97"/>
      <c r="C73" s="98"/>
      <c r="D73" s="99"/>
      <c r="E73" s="897" t="s">
        <v>129</v>
      </c>
      <c r="F73" s="443"/>
      <c r="G73" s="443"/>
      <c r="H73" s="449"/>
      <c r="I73" s="449"/>
      <c r="J73" s="443"/>
      <c r="K73" s="100"/>
      <c r="L73" s="11"/>
      <c r="R73" s="131">
        <f t="shared" si="33"/>
        <v>0</v>
      </c>
      <c r="S73" s="131">
        <f t="shared" si="34"/>
        <v>0</v>
      </c>
      <c r="T73" s="131">
        <f t="shared" si="35"/>
        <v>0</v>
      </c>
      <c r="U73" s="131">
        <f t="shared" si="36"/>
        <v>0</v>
      </c>
      <c r="V73" s="260"/>
      <c r="W73" s="131" t="str">
        <f t="shared" si="38"/>
        <v/>
      </c>
      <c r="X73" s="131">
        <f t="shared" si="37"/>
        <v>1</v>
      </c>
      <c r="Y73" s="131">
        <f t="shared" si="39"/>
        <v>1</v>
      </c>
      <c r="Z73" s="131" t="str" cm="1">
        <f t="array" ref="Z73">_xlfn.IFS(X73=4,"A",X73=3,"B",X73=2,"C",X73=1,"D")</f>
        <v>D</v>
      </c>
      <c r="AA73" s="257"/>
    </row>
    <row r="74" spans="1:27" s="101" customFormat="1">
      <c r="A74" s="11"/>
      <c r="B74" s="97"/>
      <c r="C74" s="98"/>
      <c r="D74" s="99"/>
      <c r="E74" s="897" t="s">
        <v>129</v>
      </c>
      <c r="F74" s="443"/>
      <c r="G74" s="443"/>
      <c r="H74" s="449"/>
      <c r="I74" s="449"/>
      <c r="J74" s="443"/>
      <c r="K74" s="100"/>
      <c r="L74" s="11"/>
      <c r="O74" s="11"/>
      <c r="P74" s="11"/>
      <c r="Q74" s="11"/>
      <c r="R74" s="131">
        <f t="shared" si="33"/>
        <v>0</v>
      </c>
      <c r="S74" s="131">
        <f t="shared" si="34"/>
        <v>0</v>
      </c>
      <c r="T74" s="131">
        <f t="shared" si="35"/>
        <v>0</v>
      </c>
      <c r="U74" s="131">
        <f t="shared" si="36"/>
        <v>0</v>
      </c>
      <c r="V74" s="260"/>
      <c r="W74" s="131" t="str">
        <f t="shared" si="38"/>
        <v/>
      </c>
      <c r="X74" s="131">
        <f t="shared" si="37"/>
        <v>1</v>
      </c>
      <c r="Y74" s="131">
        <f t="shared" si="39"/>
        <v>1</v>
      </c>
      <c r="Z74" s="131" t="str" cm="1">
        <f t="array" ref="Z74">_xlfn.IFS(X74=4,"A",X74=3,"B",X74=2,"C",X74=1,"D")</f>
        <v>D</v>
      </c>
      <c r="AA74" s="131"/>
    </row>
    <row r="75" spans="1:27" customFormat="1" ht="7.5" customHeight="1">
      <c r="B75" s="65"/>
      <c r="C75" s="4"/>
      <c r="D75" s="4"/>
      <c r="E75" s="290"/>
      <c r="F75" s="4"/>
      <c r="G75" s="4"/>
      <c r="H75" s="4"/>
      <c r="I75" s="4"/>
      <c r="J75" s="4"/>
      <c r="K75" s="9"/>
      <c r="L75" s="2"/>
      <c r="M75" s="2"/>
      <c r="N75" s="2"/>
      <c r="R75" s="131">
        <f t="shared" si="33"/>
        <v>0</v>
      </c>
      <c r="S75" s="131">
        <f t="shared" si="34"/>
        <v>0</v>
      </c>
      <c r="T75" s="131">
        <f t="shared" si="35"/>
        <v>0</v>
      </c>
      <c r="U75" s="131">
        <f t="shared" si="36"/>
        <v>0</v>
      </c>
      <c r="V75" s="260"/>
      <c r="W75" s="131" t="str">
        <f t="shared" si="38"/>
        <v/>
      </c>
      <c r="X75" s="131">
        <f t="shared" si="37"/>
        <v>1</v>
      </c>
      <c r="Y75" s="131">
        <f t="shared" si="39"/>
        <v>1</v>
      </c>
      <c r="Z75" s="131" t="str" cm="1">
        <f t="array" ref="Z75">_xlfn.IFS(X75=4,"A",X75=3,"B",X75=2,"C",X75=1,"D")</f>
        <v>D</v>
      </c>
      <c r="AA75" s="177"/>
    </row>
    <row r="76" spans="1:27" customFormat="1" ht="6" customHeight="1">
      <c r="E76" s="3"/>
      <c r="L76" s="2"/>
      <c r="M76" s="2"/>
      <c r="N76" s="2"/>
      <c r="R76" s="131">
        <f t="shared" si="33"/>
        <v>0</v>
      </c>
      <c r="S76" s="131">
        <f t="shared" si="34"/>
        <v>0</v>
      </c>
      <c r="T76" s="131">
        <f t="shared" si="35"/>
        <v>0</v>
      </c>
      <c r="U76" s="131">
        <f t="shared" si="36"/>
        <v>0</v>
      </c>
      <c r="V76" s="260"/>
      <c r="W76" s="131" t="str">
        <f t="shared" si="38"/>
        <v/>
      </c>
      <c r="X76" s="131">
        <f t="shared" si="37"/>
        <v>1</v>
      </c>
      <c r="Y76" s="131">
        <f t="shared" si="39"/>
        <v>1</v>
      </c>
      <c r="Z76" s="131" t="str" cm="1">
        <f t="array" ref="Z76">_xlfn.IFS(X76=4,"A",X76=3,"B",X76=2,"C",X76=1,"D")</f>
        <v>D</v>
      </c>
      <c r="AA76" s="177"/>
    </row>
    <row r="77" spans="1:27" customFormat="1" ht="103.5" customHeight="1">
      <c r="C77" s="78"/>
      <c r="D77" s="79"/>
      <c r="E77" s="71" t="s">
        <v>238</v>
      </c>
      <c r="F77" s="1057"/>
      <c r="G77" s="1057"/>
      <c r="H77" s="1057"/>
      <c r="I77" s="1057"/>
      <c r="J77" s="1057"/>
      <c r="K77" s="80" t="s">
        <v>132</v>
      </c>
      <c r="L77" s="80"/>
    </row>
    <row r="78" spans="1:27" customFormat="1" ht="146.25" customHeight="1">
      <c r="C78" s="75"/>
      <c r="D78" s="68"/>
      <c r="E78" s="71" t="s">
        <v>237</v>
      </c>
      <c r="F78" s="1057"/>
      <c r="G78" s="1057"/>
      <c r="H78" s="1057"/>
      <c r="I78" s="1057"/>
      <c r="J78" s="1057"/>
      <c r="L78" s="2"/>
      <c r="M78" s="2"/>
      <c r="N78" s="2"/>
    </row>
    <row r="79" spans="1:27" customFormat="1" ht="13.5" customHeight="1" thickBot="1">
      <c r="A79" s="81"/>
      <c r="B79" s="81"/>
      <c r="C79" s="81"/>
      <c r="D79" s="81"/>
      <c r="E79" s="313"/>
      <c r="F79" s="81"/>
      <c r="G79" s="81"/>
      <c r="H79" s="81"/>
      <c r="I79" s="81"/>
      <c r="J79" s="81"/>
      <c r="K79" s="81"/>
      <c r="L79" s="82"/>
      <c r="M79" s="2"/>
      <c r="N79" s="2"/>
    </row>
    <row r="80" spans="1:27" customFormat="1" ht="13.5" customHeight="1">
      <c r="E80" s="3"/>
      <c r="L80" s="2"/>
      <c r="M80" s="2"/>
      <c r="N80" s="2"/>
    </row>
    <row r="81" spans="1:27" customFormat="1" ht="15" customHeight="1">
      <c r="B81" s="10"/>
      <c r="C81" s="5"/>
      <c r="D81" s="5"/>
      <c r="E81" s="307"/>
      <c r="F81" s="5"/>
      <c r="G81" s="5"/>
      <c r="H81" s="5"/>
      <c r="I81" s="5"/>
      <c r="J81" s="5"/>
      <c r="K81" s="6"/>
      <c r="R81" s="11" t="str">
        <f>D82</f>
        <v>(選択してください)</v>
      </c>
    </row>
    <row r="82" spans="1:27" customFormat="1">
      <c r="B82" s="7"/>
      <c r="C82" s="77" t="str">
        <f ca="1">IFERROR(OFFSET('4.3民生部門電力以外の排出削減取組'!$C$1,MATCH(D82,'4.3民生部門電力以外の排出削減取組'!$E:$E,0)-1,0),"")</f>
        <v/>
      </c>
      <c r="D82" s="96" t="s">
        <v>130</v>
      </c>
      <c r="E82" s="72" t="s">
        <v>12</v>
      </c>
      <c r="F82" s="1063" t="str">
        <f ca="1">IFERROR(OFFSET('4.3民生部門電力以外の排出削減取組'!$G$1,MATCH($D82,'4.3民生部門電力以外の排出削減取組'!$E:$E,0)-1,0),"")</f>
        <v/>
      </c>
      <c r="G82" s="1063"/>
      <c r="H82" s="1063"/>
      <c r="I82" s="1063"/>
      <c r="J82" s="1063"/>
      <c r="K82" s="8"/>
      <c r="R82" s="257" t="str">
        <f ca="1">IFERROR(OFFSET('4.3民生部門電力以外の排出削減取組'!$G$1,MATCH($D82,'4.3民生部門電力以外の排出削減取組'!$E:$E,0)-1,0),"")</f>
        <v/>
      </c>
      <c r="S82" s="177"/>
      <c r="T82" s="177"/>
      <c r="U82" s="177"/>
      <c r="V82" s="177"/>
      <c r="W82" s="177"/>
      <c r="X82" s="177"/>
      <c r="Y82" s="177"/>
      <c r="Z82" s="177"/>
      <c r="AA82" s="177">
        <f ca="1">(F82=R82)*1</f>
        <v>1</v>
      </c>
    </row>
    <row r="83" spans="1:27" customFormat="1">
      <c r="B83" s="7"/>
      <c r="C83" s="74"/>
      <c r="D83" s="66"/>
      <c r="E83" s="72" t="s">
        <v>282</v>
      </c>
      <c r="F83" s="1080" t="str">
        <f ca="1">IFERROR(OFFSET('4.3民生部門電力以外の排出削減取組'!$H$1,MATCH($D82,'4.3民生部門電力以外の排出削減取組'!$E:$E,0)-1,0),"")</f>
        <v/>
      </c>
      <c r="G83" s="1080"/>
      <c r="H83" s="1080"/>
      <c r="I83" s="1080"/>
      <c r="J83" s="1080"/>
      <c r="K83" s="8"/>
      <c r="R83" s="177" t="str">
        <f ca="1">IFERROR(OFFSET('4.3民生部門電力以外の排出削減取組'!$H$1,MATCH($D82,'4.3民生部門電力以外の排出削減取組'!$E:$E,0)-1,0),"")</f>
        <v/>
      </c>
      <c r="S83" s="177"/>
      <c r="T83" s="177"/>
      <c r="U83" s="177"/>
      <c r="V83" s="177"/>
      <c r="W83" s="177"/>
      <c r="X83" s="177"/>
      <c r="Y83" s="177"/>
      <c r="Z83" s="177"/>
      <c r="AA83" s="177">
        <f t="shared" ref="AA83:AA84" ca="1" si="40">(F83=R83)*1</f>
        <v>1</v>
      </c>
    </row>
    <row r="84" spans="1:27" customFormat="1">
      <c r="B84" s="7"/>
      <c r="C84" s="74"/>
      <c r="D84" s="66"/>
      <c r="E84" s="72" t="s">
        <v>176</v>
      </c>
      <c r="F84" s="1063" t="str">
        <f>_xlfn.IFNA(R84,"")</f>
        <v/>
      </c>
      <c r="G84" s="1063"/>
      <c r="H84" s="1063"/>
      <c r="I84" s="1063"/>
      <c r="J84" s="1063"/>
      <c r="K84" s="8"/>
      <c r="R84" s="131" t="str">
        <f>IF(OR(COUNTIF($E86:$E91,"&lt;&gt;〇〇(合意形成対象者名に書き換え)")=3,COUNTIF($E86:$E91,"")&gt;3),"",IF(PRODUCT($Y86:$Y91)=1,Z86,""))</f>
        <v/>
      </c>
      <c r="S84" s="177"/>
      <c r="T84" s="177"/>
      <c r="U84" s="177"/>
      <c r="V84" s="177"/>
      <c r="W84" s="177"/>
      <c r="X84" s="177"/>
      <c r="Y84" s="177"/>
      <c r="Z84" s="177"/>
      <c r="AA84" s="177">
        <f t="shared" si="40"/>
        <v>1</v>
      </c>
    </row>
    <row r="85" spans="1:27" ht="63.75" customHeight="1">
      <c r="B85" s="97"/>
      <c r="C85" s="98"/>
      <c r="D85" s="99"/>
      <c r="E85" s="895"/>
      <c r="F85" s="315" t="s">
        <v>280</v>
      </c>
      <c r="G85" s="315" t="s">
        <v>270</v>
      </c>
      <c r="H85" s="315" t="s">
        <v>443</v>
      </c>
      <c r="I85" s="315" t="s">
        <v>445</v>
      </c>
      <c r="J85" s="315" t="s">
        <v>281</v>
      </c>
      <c r="K85" s="100"/>
      <c r="L85" s="11"/>
      <c r="R85" s="128" t="s">
        <v>280</v>
      </c>
      <c r="S85" s="128" t="s">
        <v>446</v>
      </c>
      <c r="T85" s="297" t="s">
        <v>443</v>
      </c>
      <c r="U85" s="297" t="s">
        <v>444</v>
      </c>
      <c r="V85" s="258" t="s">
        <v>272</v>
      </c>
      <c r="W85" s="128" t="s">
        <v>432</v>
      </c>
      <c r="X85" s="131" t="s">
        <v>408</v>
      </c>
      <c r="Y85" s="131" t="s">
        <v>436</v>
      </c>
      <c r="Z85" s="128" t="s">
        <v>431</v>
      </c>
      <c r="AA85" s="257"/>
    </row>
    <row r="86" spans="1:27" hidden="1">
      <c r="B86" s="97"/>
      <c r="C86" s="98"/>
      <c r="D86" s="99"/>
      <c r="E86" s="896"/>
      <c r="F86" s="441"/>
      <c r="G86" s="441"/>
      <c r="H86" s="445"/>
      <c r="I86" s="445"/>
      <c r="J86" s="441"/>
      <c r="K86" s="100"/>
      <c r="L86" s="11"/>
      <c r="R86" s="131">
        <f t="shared" ref="R86:R91" si="41">IF(F86="実施済",1,0)</f>
        <v>0</v>
      </c>
      <c r="S86" s="131">
        <f t="shared" ref="S86:S91" si="42">IF(G86="実施済",R86*1,0)</f>
        <v>0</v>
      </c>
      <c r="T86" s="131">
        <f t="shared" ref="T86:T91" si="43">IF(H86="実施済",S86*1,0)</f>
        <v>0</v>
      </c>
      <c r="U86" s="131">
        <f t="shared" ref="U86:U91" si="44">IF(I86="実施済",T86*1,0)</f>
        <v>0</v>
      </c>
      <c r="V86" s="260"/>
      <c r="W86" s="131" t="str">
        <f>IF(OR(E86="〇〇(合意形成対象者名に書き換え)",E86=""),"",SUM(S86,T86,U86))</f>
        <v/>
      </c>
      <c r="X86" s="131">
        <f t="shared" ref="X86:X91" si="45">MIN($W$86:$W$91)+1</f>
        <v>1</v>
      </c>
      <c r="Y86" s="131">
        <f>IF(E86="",1,IF(AND(E86="〇〇(合意形成対象者名に書き換え)",COUNTA($F86:$J86)=0),1,IF(AND(E86&lt;&gt;"〇〇(合意形成対象者名に書き換え)",COUNTA($F86:$J86)=5),1,0)))</f>
        <v>1</v>
      </c>
      <c r="Z86" s="131" t="str" cm="1">
        <f t="array" ref="Z86">_xlfn.IFS(X86=4,"A",X86=3,"B",X86=2,"C",X86=1,"D")</f>
        <v>D</v>
      </c>
      <c r="AA86" s="257"/>
    </row>
    <row r="87" spans="1:27">
      <c r="B87" s="97"/>
      <c r="C87" s="98"/>
      <c r="D87" s="99"/>
      <c r="E87" s="897" t="s">
        <v>129</v>
      </c>
      <c r="F87" s="448"/>
      <c r="G87" s="448"/>
      <c r="H87" s="447"/>
      <c r="I87" s="447"/>
      <c r="J87" s="448"/>
      <c r="K87" s="100"/>
      <c r="L87" s="11"/>
      <c r="R87" s="131">
        <f t="shared" si="41"/>
        <v>0</v>
      </c>
      <c r="S87" s="131">
        <f t="shared" si="42"/>
        <v>0</v>
      </c>
      <c r="T87" s="131">
        <f t="shared" si="43"/>
        <v>0</v>
      </c>
      <c r="U87" s="131">
        <f t="shared" si="44"/>
        <v>0</v>
      </c>
      <c r="V87" s="260"/>
      <c r="W87" s="131" t="str">
        <f t="shared" ref="W87:W91" si="46">IF(OR(E87="〇〇(合意形成対象者名に書き換え)",E87=""),"",SUM(S87,T87,U87))</f>
        <v/>
      </c>
      <c r="X87" s="131">
        <f t="shared" si="45"/>
        <v>1</v>
      </c>
      <c r="Y87" s="131">
        <f t="shared" ref="Y87:Y91" si="47">IF(E87="",1,IF(AND(E87="〇〇(合意形成対象者名に書き換え)",COUNTA($F87:$J87)=0),1,IF(AND(E87&lt;&gt;"〇〇(合意形成対象者名に書き換え)",COUNTA($F87:$J87)=5),1,0)))</f>
        <v>1</v>
      </c>
      <c r="Z87" s="131" t="str" cm="1">
        <f t="array" ref="Z87">_xlfn.IFS(X87=4,"A",X87=3,"B",X87=2,"C",X87=1,"D")</f>
        <v>D</v>
      </c>
      <c r="AA87" s="257"/>
    </row>
    <row r="88" spans="1:27">
      <c r="B88" s="97"/>
      <c r="C88" s="98"/>
      <c r="D88" s="99"/>
      <c r="E88" s="897" t="s">
        <v>129</v>
      </c>
      <c r="F88" s="443"/>
      <c r="G88" s="443"/>
      <c r="H88" s="449"/>
      <c r="I88" s="449"/>
      <c r="J88" s="443"/>
      <c r="K88" s="100"/>
      <c r="L88" s="11"/>
      <c r="R88" s="131">
        <f t="shared" si="41"/>
        <v>0</v>
      </c>
      <c r="S88" s="131">
        <f t="shared" si="42"/>
        <v>0</v>
      </c>
      <c r="T88" s="131">
        <f t="shared" si="43"/>
        <v>0</v>
      </c>
      <c r="U88" s="131">
        <f t="shared" si="44"/>
        <v>0</v>
      </c>
      <c r="V88" s="260"/>
      <c r="W88" s="131" t="str">
        <f t="shared" si="46"/>
        <v/>
      </c>
      <c r="X88" s="131">
        <f t="shared" si="45"/>
        <v>1</v>
      </c>
      <c r="Y88" s="131">
        <f t="shared" si="47"/>
        <v>1</v>
      </c>
      <c r="Z88" s="131" t="str" cm="1">
        <f t="array" ref="Z88">_xlfn.IFS(X88=4,"A",X88=3,"B",X88=2,"C",X88=1,"D")</f>
        <v>D</v>
      </c>
      <c r="AA88" s="257"/>
    </row>
    <row r="89" spans="1:27" s="101" customFormat="1">
      <c r="A89" s="11"/>
      <c r="B89" s="97"/>
      <c r="C89" s="98"/>
      <c r="D89" s="99"/>
      <c r="E89" s="897" t="s">
        <v>129</v>
      </c>
      <c r="F89" s="443"/>
      <c r="G89" s="443"/>
      <c r="H89" s="449"/>
      <c r="I89" s="449"/>
      <c r="J89" s="443"/>
      <c r="K89" s="100"/>
      <c r="L89" s="11"/>
      <c r="O89" s="11"/>
      <c r="P89" s="11"/>
      <c r="Q89" s="11"/>
      <c r="R89" s="131">
        <f t="shared" si="41"/>
        <v>0</v>
      </c>
      <c r="S89" s="131">
        <f t="shared" si="42"/>
        <v>0</v>
      </c>
      <c r="T89" s="131">
        <f t="shared" si="43"/>
        <v>0</v>
      </c>
      <c r="U89" s="131">
        <f t="shared" si="44"/>
        <v>0</v>
      </c>
      <c r="V89" s="260"/>
      <c r="W89" s="131" t="str">
        <f t="shared" si="46"/>
        <v/>
      </c>
      <c r="X89" s="131">
        <f t="shared" si="45"/>
        <v>1</v>
      </c>
      <c r="Y89" s="131">
        <f t="shared" si="47"/>
        <v>1</v>
      </c>
      <c r="Z89" s="131" t="str" cm="1">
        <f t="array" ref="Z89">_xlfn.IFS(X89=4,"A",X89=3,"B",X89=2,"C",X89=1,"D")</f>
        <v>D</v>
      </c>
      <c r="AA89" s="131"/>
    </row>
    <row r="90" spans="1:27" customFormat="1" ht="7.5" customHeight="1">
      <c r="B90" s="65"/>
      <c r="C90" s="4"/>
      <c r="D90" s="4"/>
      <c r="E90" s="290"/>
      <c r="F90" s="4"/>
      <c r="G90" s="4"/>
      <c r="H90" s="4"/>
      <c r="I90" s="4"/>
      <c r="J90" s="4"/>
      <c r="K90" s="9"/>
      <c r="L90" s="2"/>
      <c r="M90" s="2"/>
      <c r="N90" s="2"/>
      <c r="R90" s="131">
        <f t="shared" si="41"/>
        <v>0</v>
      </c>
      <c r="S90" s="131">
        <f t="shared" si="42"/>
        <v>0</v>
      </c>
      <c r="T90" s="131">
        <f t="shared" si="43"/>
        <v>0</v>
      </c>
      <c r="U90" s="131">
        <f t="shared" si="44"/>
        <v>0</v>
      </c>
      <c r="V90" s="260"/>
      <c r="W90" s="131" t="str">
        <f t="shared" si="46"/>
        <v/>
      </c>
      <c r="X90" s="131">
        <f t="shared" si="45"/>
        <v>1</v>
      </c>
      <c r="Y90" s="131">
        <f t="shared" si="47"/>
        <v>1</v>
      </c>
      <c r="Z90" s="131" t="str" cm="1">
        <f t="array" ref="Z90">_xlfn.IFS(X90=4,"A",X90=3,"B",X90=2,"C",X90=1,"D")</f>
        <v>D</v>
      </c>
      <c r="AA90" s="177"/>
    </row>
    <row r="91" spans="1:27" customFormat="1" ht="6" customHeight="1">
      <c r="E91" s="3"/>
      <c r="L91" s="2"/>
      <c r="M91" s="2"/>
      <c r="N91" s="2"/>
      <c r="R91" s="131">
        <f t="shared" si="41"/>
        <v>0</v>
      </c>
      <c r="S91" s="131">
        <f t="shared" si="42"/>
        <v>0</v>
      </c>
      <c r="T91" s="131">
        <f t="shared" si="43"/>
        <v>0</v>
      </c>
      <c r="U91" s="131">
        <f t="shared" si="44"/>
        <v>0</v>
      </c>
      <c r="V91" s="260"/>
      <c r="W91" s="131" t="str">
        <f t="shared" si="46"/>
        <v/>
      </c>
      <c r="X91" s="131">
        <f t="shared" si="45"/>
        <v>1</v>
      </c>
      <c r="Y91" s="131">
        <f t="shared" si="47"/>
        <v>1</v>
      </c>
      <c r="Z91" s="131" t="str" cm="1">
        <f t="array" ref="Z91">_xlfn.IFS(X91=4,"A",X91=3,"B",X91=2,"C",X91=1,"D")</f>
        <v>D</v>
      </c>
      <c r="AA91" s="177"/>
    </row>
    <row r="92" spans="1:27" customFormat="1" ht="103.5" customHeight="1">
      <c r="C92" s="78"/>
      <c r="D92" s="79"/>
      <c r="E92" s="71" t="s">
        <v>238</v>
      </c>
      <c r="F92" s="1057"/>
      <c r="G92" s="1057"/>
      <c r="H92" s="1057"/>
      <c r="I92" s="1057"/>
      <c r="J92" s="1057"/>
      <c r="K92" s="80" t="s">
        <v>132</v>
      </c>
      <c r="L92" s="80"/>
    </row>
    <row r="93" spans="1:27" customFormat="1" ht="146.25" customHeight="1">
      <c r="C93" s="75"/>
      <c r="D93" s="68"/>
      <c r="E93" s="71" t="s">
        <v>237</v>
      </c>
      <c r="F93" s="1057"/>
      <c r="G93" s="1057"/>
      <c r="H93" s="1057"/>
      <c r="I93" s="1057"/>
      <c r="J93" s="1057"/>
      <c r="L93" s="2"/>
      <c r="M93" s="2"/>
      <c r="N93" s="2"/>
    </row>
    <row r="94" spans="1:27" customFormat="1" ht="13.5" customHeight="1" thickBot="1">
      <c r="A94" s="81"/>
      <c r="B94" s="81"/>
      <c r="C94" s="81"/>
      <c r="D94" s="81"/>
      <c r="E94" s="313"/>
      <c r="F94" s="81"/>
      <c r="G94" s="81"/>
      <c r="H94" s="81"/>
      <c r="I94" s="81"/>
      <c r="J94" s="81"/>
      <c r="K94" s="81"/>
      <c r="L94" s="82"/>
      <c r="M94" s="2"/>
      <c r="N94" s="2"/>
    </row>
    <row r="95" spans="1:27" customFormat="1" ht="13.5" customHeight="1">
      <c r="E95" s="3"/>
      <c r="L95" s="2"/>
      <c r="M95" s="2"/>
      <c r="N95" s="2"/>
    </row>
    <row r="96" spans="1:27" customFormat="1" ht="15" customHeight="1">
      <c r="B96" s="10"/>
      <c r="C96" s="5"/>
      <c r="D96" s="5"/>
      <c r="E96" s="307"/>
      <c r="F96" s="5"/>
      <c r="G96" s="5"/>
      <c r="H96" s="5"/>
      <c r="I96" s="5"/>
      <c r="J96" s="5"/>
      <c r="K96" s="6"/>
      <c r="R96" s="11" t="str">
        <f>D97</f>
        <v>(選択してください)</v>
      </c>
    </row>
    <row r="97" spans="1:27" customFormat="1">
      <c r="B97" s="7"/>
      <c r="C97" s="77" t="str">
        <f ca="1">IFERROR(OFFSET('4.3民生部門電力以外の排出削減取組'!$C$1,MATCH(D97,'4.3民生部門電力以外の排出削減取組'!$E:$E,0)-1,0),"")</f>
        <v/>
      </c>
      <c r="D97" s="96" t="s">
        <v>130</v>
      </c>
      <c r="E97" s="72" t="s">
        <v>12</v>
      </c>
      <c r="F97" s="1063" t="str">
        <f ca="1">IFERROR(OFFSET('4.3民生部門電力以外の排出削減取組'!$G$1,MATCH($D97,'4.3民生部門電力以外の排出削減取組'!$E:$E,0)-1,0),"")</f>
        <v/>
      </c>
      <c r="G97" s="1063"/>
      <c r="H97" s="1063"/>
      <c r="I97" s="1063"/>
      <c r="J97" s="1063"/>
      <c r="K97" s="8"/>
      <c r="R97" s="257" t="str">
        <f ca="1">IFERROR(OFFSET('4.3民生部門電力以外の排出削減取組'!$G$1,MATCH($D97,'4.3民生部門電力以外の排出削減取組'!$E:$E,0)-1,0),"")</f>
        <v/>
      </c>
      <c r="S97" s="177"/>
      <c r="T97" s="177"/>
      <c r="U97" s="177"/>
      <c r="V97" s="177"/>
      <c r="W97" s="177"/>
      <c r="X97" s="177"/>
      <c r="Y97" s="177"/>
      <c r="Z97" s="177"/>
      <c r="AA97" s="177">
        <f ca="1">(F97=R97)*1</f>
        <v>1</v>
      </c>
    </row>
    <row r="98" spans="1:27" customFormat="1">
      <c r="B98" s="7"/>
      <c r="C98" s="74"/>
      <c r="D98" s="66"/>
      <c r="E98" s="72" t="s">
        <v>282</v>
      </c>
      <c r="F98" s="1080" t="str">
        <f ca="1">IFERROR(OFFSET('4.3民生部門電力以外の排出削減取組'!$H$1,MATCH($D97,'4.3民生部門電力以外の排出削減取組'!$E:$E,0)-1,0),"")</f>
        <v/>
      </c>
      <c r="G98" s="1080"/>
      <c r="H98" s="1080"/>
      <c r="I98" s="1080"/>
      <c r="J98" s="1080"/>
      <c r="K98" s="8"/>
      <c r="R98" s="177" t="str">
        <f ca="1">IFERROR(OFFSET('4.3民生部門電力以外の排出削減取組'!$H$1,MATCH($D97,'4.3民生部門電力以外の排出削減取組'!$E:$E,0)-1,0),"")</f>
        <v/>
      </c>
      <c r="S98" s="177"/>
      <c r="T98" s="177"/>
      <c r="U98" s="177"/>
      <c r="V98" s="177"/>
      <c r="W98" s="177"/>
      <c r="X98" s="177"/>
      <c r="Y98" s="177"/>
      <c r="Z98" s="177"/>
      <c r="AA98" s="177">
        <f t="shared" ref="AA98:AA99" ca="1" si="48">(F98=R98)*1</f>
        <v>1</v>
      </c>
    </row>
    <row r="99" spans="1:27" customFormat="1">
      <c r="B99" s="7"/>
      <c r="C99" s="74"/>
      <c r="D99" s="66"/>
      <c r="E99" s="72" t="s">
        <v>176</v>
      </c>
      <c r="F99" s="1063" t="str">
        <f>_xlfn.IFNA(R99,"")</f>
        <v/>
      </c>
      <c r="G99" s="1063"/>
      <c r="H99" s="1063"/>
      <c r="I99" s="1063"/>
      <c r="J99" s="1063"/>
      <c r="K99" s="8"/>
      <c r="R99" s="131" t="str">
        <f>IF(OR(COUNTIF($E101:$E106,"&lt;&gt;〇〇(合意形成対象者名に書き換え)")=3,COUNTIF($E101:$E106,"")&gt;3),"",IF(PRODUCT($Y101:$Y106)=1,Z101,""))</f>
        <v/>
      </c>
      <c r="S99" s="177"/>
      <c r="T99" s="177"/>
      <c r="U99" s="177"/>
      <c r="V99" s="177"/>
      <c r="W99" s="177"/>
      <c r="X99" s="177"/>
      <c r="Y99" s="177"/>
      <c r="Z99" s="177"/>
      <c r="AA99" s="177">
        <f t="shared" si="48"/>
        <v>1</v>
      </c>
    </row>
    <row r="100" spans="1:27" ht="63.75" customHeight="1">
      <c r="B100" s="97"/>
      <c r="C100" s="98"/>
      <c r="D100" s="99"/>
      <c r="E100" s="895"/>
      <c r="F100" s="315" t="s">
        <v>280</v>
      </c>
      <c r="G100" s="315" t="s">
        <v>270</v>
      </c>
      <c r="H100" s="315" t="s">
        <v>443</v>
      </c>
      <c r="I100" s="315" t="s">
        <v>445</v>
      </c>
      <c r="J100" s="315" t="s">
        <v>281</v>
      </c>
      <c r="K100" s="100"/>
      <c r="L100" s="11"/>
      <c r="R100" s="128" t="s">
        <v>280</v>
      </c>
      <c r="S100" s="128" t="s">
        <v>446</v>
      </c>
      <c r="T100" s="297" t="s">
        <v>443</v>
      </c>
      <c r="U100" s="297" t="s">
        <v>444</v>
      </c>
      <c r="V100" s="258" t="s">
        <v>272</v>
      </c>
      <c r="W100" s="128" t="s">
        <v>432</v>
      </c>
      <c r="X100" s="131" t="s">
        <v>408</v>
      </c>
      <c r="Y100" s="131" t="s">
        <v>436</v>
      </c>
      <c r="Z100" s="128" t="s">
        <v>431</v>
      </c>
      <c r="AA100" s="257"/>
    </row>
    <row r="101" spans="1:27" hidden="1">
      <c r="B101" s="97"/>
      <c r="C101" s="98"/>
      <c r="D101" s="99"/>
      <c r="E101" s="896"/>
      <c r="F101" s="441"/>
      <c r="G101" s="441"/>
      <c r="H101" s="445"/>
      <c r="I101" s="445"/>
      <c r="J101" s="441"/>
      <c r="K101" s="100"/>
      <c r="L101" s="11"/>
      <c r="R101" s="131">
        <f t="shared" ref="R101:R106" si="49">IF(F101="実施済",1,0)</f>
        <v>0</v>
      </c>
      <c r="S101" s="131">
        <f t="shared" ref="S101:S106" si="50">IF(G101="実施済",R101*1,0)</f>
        <v>0</v>
      </c>
      <c r="T101" s="131">
        <f t="shared" ref="T101:T106" si="51">IF(H101="実施済",S101*1,0)</f>
        <v>0</v>
      </c>
      <c r="U101" s="131">
        <f t="shared" ref="U101:U106" si="52">IF(I101="実施済",T101*1,0)</f>
        <v>0</v>
      </c>
      <c r="V101" s="260"/>
      <c r="W101" s="131" t="str">
        <f>IF(OR(E101="〇〇(合意形成対象者名に書き換え)",E101=""),"",SUM(S101,T101,U101))</f>
        <v/>
      </c>
      <c r="X101" s="131">
        <f t="shared" ref="X101:X106" si="53">MIN($W$101:$W$106)+1</f>
        <v>1</v>
      </c>
      <c r="Y101" s="131">
        <f>IF(E101="",1,IF(AND(E101="〇〇(合意形成対象者名に書き換え)",COUNTA($F101:$J101)=0),1,IF(AND(E101&lt;&gt;"〇〇(合意形成対象者名に書き換え)",COUNTA($F101:$J101)=5),1,0)))</f>
        <v>1</v>
      </c>
      <c r="Z101" s="131" t="str" cm="1">
        <f t="array" ref="Z101">_xlfn.IFS(X101=4,"A",X101=3,"B",X101=2,"C",X101=1,"D")</f>
        <v>D</v>
      </c>
      <c r="AA101" s="257"/>
    </row>
    <row r="102" spans="1:27">
      <c r="B102" s="97"/>
      <c r="C102" s="98"/>
      <c r="D102" s="99"/>
      <c r="E102" s="897" t="s">
        <v>129</v>
      </c>
      <c r="F102" s="448"/>
      <c r="G102" s="448"/>
      <c r="H102" s="447"/>
      <c r="I102" s="447"/>
      <c r="J102" s="448"/>
      <c r="K102" s="100"/>
      <c r="L102" s="11"/>
      <c r="R102" s="131">
        <f t="shared" si="49"/>
        <v>0</v>
      </c>
      <c r="S102" s="131">
        <f t="shared" si="50"/>
        <v>0</v>
      </c>
      <c r="T102" s="131">
        <f t="shared" si="51"/>
        <v>0</v>
      </c>
      <c r="U102" s="131">
        <f t="shared" si="52"/>
        <v>0</v>
      </c>
      <c r="V102" s="260"/>
      <c r="W102" s="131" t="str">
        <f t="shared" ref="W102:W106" si="54">IF(OR(E102="〇〇(合意形成対象者名に書き換え)",E102=""),"",SUM(S102,T102,U102))</f>
        <v/>
      </c>
      <c r="X102" s="131">
        <f t="shared" si="53"/>
        <v>1</v>
      </c>
      <c r="Y102" s="131">
        <f t="shared" ref="Y102:Y106" si="55">IF(E102="",1,IF(AND(E102="〇〇(合意形成対象者名に書き換え)",COUNTA($F102:$J102)=0),1,IF(AND(E102&lt;&gt;"〇〇(合意形成対象者名に書き換え)",COUNTA($F102:$J102)=5),1,0)))</f>
        <v>1</v>
      </c>
      <c r="Z102" s="131" t="str" cm="1">
        <f t="array" ref="Z102">_xlfn.IFS(X102=4,"A",X102=3,"B",X102=2,"C",X102=1,"D")</f>
        <v>D</v>
      </c>
      <c r="AA102" s="257"/>
    </row>
    <row r="103" spans="1:27">
      <c r="B103" s="97"/>
      <c r="C103" s="98"/>
      <c r="D103" s="99"/>
      <c r="E103" s="897" t="s">
        <v>129</v>
      </c>
      <c r="F103" s="443"/>
      <c r="G103" s="443"/>
      <c r="H103" s="449"/>
      <c r="I103" s="449"/>
      <c r="J103" s="443"/>
      <c r="K103" s="100"/>
      <c r="L103" s="11"/>
      <c r="R103" s="131">
        <f t="shared" si="49"/>
        <v>0</v>
      </c>
      <c r="S103" s="131">
        <f t="shared" si="50"/>
        <v>0</v>
      </c>
      <c r="T103" s="131">
        <f t="shared" si="51"/>
        <v>0</v>
      </c>
      <c r="U103" s="131">
        <f t="shared" si="52"/>
        <v>0</v>
      </c>
      <c r="V103" s="260"/>
      <c r="W103" s="131" t="str">
        <f t="shared" si="54"/>
        <v/>
      </c>
      <c r="X103" s="131">
        <f t="shared" si="53"/>
        <v>1</v>
      </c>
      <c r="Y103" s="131">
        <f t="shared" si="55"/>
        <v>1</v>
      </c>
      <c r="Z103" s="131" t="str" cm="1">
        <f t="array" ref="Z103">_xlfn.IFS(X103=4,"A",X103=3,"B",X103=2,"C",X103=1,"D")</f>
        <v>D</v>
      </c>
      <c r="AA103" s="257"/>
    </row>
    <row r="104" spans="1:27" s="101" customFormat="1">
      <c r="A104" s="11"/>
      <c r="B104" s="97"/>
      <c r="C104" s="98"/>
      <c r="D104" s="99"/>
      <c r="E104" s="897" t="s">
        <v>129</v>
      </c>
      <c r="F104" s="443"/>
      <c r="G104" s="443"/>
      <c r="H104" s="449"/>
      <c r="I104" s="449"/>
      <c r="J104" s="443"/>
      <c r="K104" s="100"/>
      <c r="L104" s="11"/>
      <c r="O104" s="11"/>
      <c r="P104" s="11"/>
      <c r="Q104" s="11"/>
      <c r="R104" s="131">
        <f t="shared" si="49"/>
        <v>0</v>
      </c>
      <c r="S104" s="131">
        <f t="shared" si="50"/>
        <v>0</v>
      </c>
      <c r="T104" s="131">
        <f t="shared" si="51"/>
        <v>0</v>
      </c>
      <c r="U104" s="131">
        <f t="shared" si="52"/>
        <v>0</v>
      </c>
      <c r="V104" s="260"/>
      <c r="W104" s="131" t="str">
        <f t="shared" si="54"/>
        <v/>
      </c>
      <c r="X104" s="131">
        <f t="shared" si="53"/>
        <v>1</v>
      </c>
      <c r="Y104" s="131">
        <f t="shared" si="55"/>
        <v>1</v>
      </c>
      <c r="Z104" s="131" t="str" cm="1">
        <f t="array" ref="Z104">_xlfn.IFS(X104=4,"A",X104=3,"B",X104=2,"C",X104=1,"D")</f>
        <v>D</v>
      </c>
      <c r="AA104" s="131"/>
    </row>
    <row r="105" spans="1:27" customFormat="1" ht="7.5" customHeight="1">
      <c r="B105" s="65"/>
      <c r="C105" s="4"/>
      <c r="D105" s="4"/>
      <c r="E105" s="290"/>
      <c r="F105" s="4"/>
      <c r="G105" s="4"/>
      <c r="H105" s="4"/>
      <c r="I105" s="4"/>
      <c r="J105" s="4"/>
      <c r="K105" s="9"/>
      <c r="L105" s="2"/>
      <c r="M105" s="2"/>
      <c r="N105" s="2"/>
      <c r="R105" s="131">
        <f t="shared" si="49"/>
        <v>0</v>
      </c>
      <c r="S105" s="131">
        <f t="shared" si="50"/>
        <v>0</v>
      </c>
      <c r="T105" s="131">
        <f t="shared" si="51"/>
        <v>0</v>
      </c>
      <c r="U105" s="131">
        <f t="shared" si="52"/>
        <v>0</v>
      </c>
      <c r="V105" s="260"/>
      <c r="W105" s="131" t="str">
        <f t="shared" si="54"/>
        <v/>
      </c>
      <c r="X105" s="131">
        <f t="shared" si="53"/>
        <v>1</v>
      </c>
      <c r="Y105" s="131">
        <f t="shared" si="55"/>
        <v>1</v>
      </c>
      <c r="Z105" s="131" t="str" cm="1">
        <f t="array" ref="Z105">_xlfn.IFS(X105=4,"A",X105=3,"B",X105=2,"C",X105=1,"D")</f>
        <v>D</v>
      </c>
      <c r="AA105" s="177"/>
    </row>
    <row r="106" spans="1:27" customFormat="1" ht="6" customHeight="1">
      <c r="E106" s="3"/>
      <c r="L106" s="2"/>
      <c r="M106" s="2"/>
      <c r="N106" s="2"/>
      <c r="R106" s="131">
        <f t="shared" si="49"/>
        <v>0</v>
      </c>
      <c r="S106" s="131">
        <f t="shared" si="50"/>
        <v>0</v>
      </c>
      <c r="T106" s="131">
        <f t="shared" si="51"/>
        <v>0</v>
      </c>
      <c r="U106" s="131">
        <f t="shared" si="52"/>
        <v>0</v>
      </c>
      <c r="V106" s="260"/>
      <c r="W106" s="131" t="str">
        <f t="shared" si="54"/>
        <v/>
      </c>
      <c r="X106" s="131">
        <f t="shared" si="53"/>
        <v>1</v>
      </c>
      <c r="Y106" s="131">
        <f t="shared" si="55"/>
        <v>1</v>
      </c>
      <c r="Z106" s="131" t="str" cm="1">
        <f t="array" ref="Z106">_xlfn.IFS(X106=4,"A",X106=3,"B",X106=2,"C",X106=1,"D")</f>
        <v>D</v>
      </c>
      <c r="AA106" s="177"/>
    </row>
    <row r="107" spans="1:27" customFormat="1" ht="103.5" customHeight="1">
      <c r="C107" s="78"/>
      <c r="D107" s="79"/>
      <c r="E107" s="71" t="s">
        <v>238</v>
      </c>
      <c r="F107" s="1057"/>
      <c r="G107" s="1057"/>
      <c r="H107" s="1057"/>
      <c r="I107" s="1057"/>
      <c r="J107" s="1057"/>
      <c r="K107" s="80" t="s">
        <v>132</v>
      </c>
      <c r="L107" s="80"/>
    </row>
    <row r="108" spans="1:27" customFormat="1" ht="146.25" customHeight="1">
      <c r="C108" s="75"/>
      <c r="D108" s="68"/>
      <c r="E108" s="71" t="s">
        <v>237</v>
      </c>
      <c r="F108" s="1057"/>
      <c r="G108" s="1057"/>
      <c r="H108" s="1057"/>
      <c r="I108" s="1057"/>
      <c r="J108" s="1057"/>
      <c r="L108" s="2"/>
      <c r="M108" s="2"/>
      <c r="N108" s="2"/>
    </row>
    <row r="109" spans="1:27" customFormat="1" ht="13.5" customHeight="1" thickBot="1">
      <c r="A109" s="81"/>
      <c r="B109" s="81"/>
      <c r="C109" s="81"/>
      <c r="D109" s="81"/>
      <c r="E109" s="313"/>
      <c r="F109" s="81"/>
      <c r="G109" s="81"/>
      <c r="H109" s="81"/>
      <c r="I109" s="81"/>
      <c r="J109" s="81"/>
      <c r="K109" s="81"/>
      <c r="L109" s="82"/>
      <c r="M109" s="2"/>
      <c r="N109" s="2"/>
    </row>
    <row r="110" spans="1:27" customFormat="1" ht="13.5" customHeight="1">
      <c r="E110" s="3"/>
      <c r="L110" s="2"/>
      <c r="M110" s="2"/>
      <c r="N110" s="2"/>
    </row>
    <row r="111" spans="1:27" customFormat="1" ht="15" customHeight="1">
      <c r="B111" s="10"/>
      <c r="C111" s="5"/>
      <c r="D111" s="5"/>
      <c r="E111" s="307"/>
      <c r="F111" s="5"/>
      <c r="G111" s="5"/>
      <c r="H111" s="5"/>
      <c r="I111" s="5"/>
      <c r="J111" s="5"/>
      <c r="K111" s="6"/>
      <c r="R111" s="11" t="str">
        <f>D112</f>
        <v>(選択してください)</v>
      </c>
    </row>
    <row r="112" spans="1:27" customFormat="1">
      <c r="B112" s="7"/>
      <c r="C112" s="77" t="str">
        <f ca="1">IFERROR(OFFSET('4.3民生部門電力以外の排出削減取組'!$C$1,MATCH(D112,'4.3民生部門電力以外の排出削減取組'!$E:$E,0)-1,0),"")</f>
        <v/>
      </c>
      <c r="D112" s="96" t="s">
        <v>130</v>
      </c>
      <c r="E112" s="72" t="s">
        <v>12</v>
      </c>
      <c r="F112" s="1063" t="str">
        <f ca="1">IFERROR(OFFSET('4.3民生部門電力以外の排出削減取組'!$G$1,MATCH($D112,'4.3民生部門電力以外の排出削減取組'!$E:$E,0)-1,0),"")</f>
        <v/>
      </c>
      <c r="G112" s="1063"/>
      <c r="H112" s="1063"/>
      <c r="I112" s="1063"/>
      <c r="J112" s="1063"/>
      <c r="K112" s="8"/>
      <c r="R112" s="257" t="str">
        <f ca="1">IFERROR(OFFSET('4.3民生部門電力以外の排出削減取組'!$G$1,MATCH($D112,'4.3民生部門電力以外の排出削減取組'!$E:$E,0)-1,0),"")</f>
        <v/>
      </c>
      <c r="S112" s="177"/>
      <c r="T112" s="177"/>
      <c r="U112" s="177"/>
      <c r="V112" s="177"/>
      <c r="W112" s="177"/>
      <c r="X112" s="177"/>
      <c r="Y112" s="177"/>
      <c r="Z112" s="177"/>
      <c r="AA112" s="177">
        <f ca="1">(F112=R112)*1</f>
        <v>1</v>
      </c>
    </row>
    <row r="113" spans="1:27" customFormat="1">
      <c r="B113" s="7"/>
      <c r="C113" s="74"/>
      <c r="D113" s="66"/>
      <c r="E113" s="72" t="s">
        <v>282</v>
      </c>
      <c r="F113" s="1080" t="str">
        <f ca="1">IFERROR(OFFSET('4.3民生部門電力以外の排出削減取組'!$H$1,MATCH($D112,'4.3民生部門電力以外の排出削減取組'!$E:$E,0)-1,0),"")</f>
        <v/>
      </c>
      <c r="G113" s="1080"/>
      <c r="H113" s="1080"/>
      <c r="I113" s="1080"/>
      <c r="J113" s="1080"/>
      <c r="K113" s="8"/>
      <c r="R113" s="177" t="str">
        <f ca="1">IFERROR(OFFSET('4.3民生部門電力以外の排出削減取組'!$H$1,MATCH($D112,'4.3民生部門電力以外の排出削減取組'!$E:$E,0)-1,0),"")</f>
        <v/>
      </c>
      <c r="S113" s="177"/>
      <c r="T113" s="177"/>
      <c r="U113" s="177"/>
      <c r="V113" s="177"/>
      <c r="W113" s="177"/>
      <c r="X113" s="177"/>
      <c r="Y113" s="177"/>
      <c r="Z113" s="177"/>
      <c r="AA113" s="177">
        <f t="shared" ref="AA113:AA114" ca="1" si="56">(F113=R113)*1</f>
        <v>1</v>
      </c>
    </row>
    <row r="114" spans="1:27" customFormat="1">
      <c r="B114" s="7"/>
      <c r="C114" s="74"/>
      <c r="D114" s="66"/>
      <c r="E114" s="72" t="s">
        <v>176</v>
      </c>
      <c r="F114" s="1063" t="str">
        <f>_xlfn.IFNA(R114,"")</f>
        <v/>
      </c>
      <c r="G114" s="1063"/>
      <c r="H114" s="1063"/>
      <c r="I114" s="1063"/>
      <c r="J114" s="1063"/>
      <c r="K114" s="8"/>
      <c r="R114" s="131" t="str">
        <f>IF(OR(COUNTIF($E116:$E121,"&lt;&gt;〇〇(合意形成対象者名に書き換え)")=3,COUNTIF($E116:$E121,"")&gt;3),"",IF(PRODUCT($Y116:$Y121)=1,Z116,""))</f>
        <v/>
      </c>
      <c r="S114" s="177"/>
      <c r="T114" s="177"/>
      <c r="U114" s="177"/>
      <c r="V114" s="177"/>
      <c r="W114" s="177"/>
      <c r="X114" s="177"/>
      <c r="Y114" s="177"/>
      <c r="Z114" s="177"/>
      <c r="AA114" s="177">
        <f t="shared" si="56"/>
        <v>1</v>
      </c>
    </row>
    <row r="115" spans="1:27" ht="63.75" customHeight="1">
      <c r="B115" s="97"/>
      <c r="C115" s="98"/>
      <c r="D115" s="99"/>
      <c r="E115" s="895"/>
      <c r="F115" s="315" t="s">
        <v>280</v>
      </c>
      <c r="G115" s="315" t="s">
        <v>270</v>
      </c>
      <c r="H115" s="315" t="s">
        <v>443</v>
      </c>
      <c r="I115" s="315" t="s">
        <v>445</v>
      </c>
      <c r="J115" s="315" t="s">
        <v>281</v>
      </c>
      <c r="K115" s="100"/>
      <c r="L115" s="11"/>
      <c r="R115" s="128" t="s">
        <v>280</v>
      </c>
      <c r="S115" s="128" t="s">
        <v>446</v>
      </c>
      <c r="T115" s="297" t="s">
        <v>443</v>
      </c>
      <c r="U115" s="297" t="s">
        <v>444</v>
      </c>
      <c r="V115" s="258" t="s">
        <v>272</v>
      </c>
      <c r="W115" s="128" t="s">
        <v>432</v>
      </c>
      <c r="X115" s="131" t="s">
        <v>408</v>
      </c>
      <c r="Y115" s="131" t="s">
        <v>436</v>
      </c>
      <c r="Z115" s="128" t="s">
        <v>431</v>
      </c>
      <c r="AA115" s="257"/>
    </row>
    <row r="116" spans="1:27" hidden="1">
      <c r="B116" s="97"/>
      <c r="C116" s="98"/>
      <c r="D116" s="99"/>
      <c r="E116" s="896"/>
      <c r="F116" s="441"/>
      <c r="G116" s="441"/>
      <c r="H116" s="445"/>
      <c r="I116" s="445"/>
      <c r="J116" s="441"/>
      <c r="K116" s="100"/>
      <c r="L116" s="11"/>
      <c r="R116" s="131">
        <f t="shared" ref="R116:R121" si="57">IF(F116="実施済",1,0)</f>
        <v>0</v>
      </c>
      <c r="S116" s="131">
        <f t="shared" ref="S116:S121" si="58">IF(G116="実施済",R116*1,0)</f>
        <v>0</v>
      </c>
      <c r="T116" s="131">
        <f t="shared" ref="T116:T121" si="59">IF(H116="実施済",S116*1,0)</f>
        <v>0</v>
      </c>
      <c r="U116" s="131">
        <f t="shared" ref="U116:U121" si="60">IF(I116="実施済",T116*1,0)</f>
        <v>0</v>
      </c>
      <c r="V116" s="260"/>
      <c r="W116" s="131" t="str">
        <f>IF(OR(E116="〇〇(合意形成対象者名に書き換え)",E116=""),"",SUM(S116,T116,U116))</f>
        <v/>
      </c>
      <c r="X116" s="131">
        <f t="shared" ref="X116:X121" si="61">MIN($W$116:$W$121)+1</f>
        <v>1</v>
      </c>
      <c r="Y116" s="131">
        <f>IF(E116="",1,IF(AND(E116="〇〇(合意形成対象者名に書き換え)",COUNTA($F116:$J116)=0),1,IF(AND(E116&lt;&gt;"〇〇(合意形成対象者名に書き換え)",COUNTA($F116:$J116)=5),1,0)))</f>
        <v>1</v>
      </c>
      <c r="Z116" s="131" t="str" cm="1">
        <f t="array" ref="Z116">_xlfn.IFS(X116=4,"A",X116=3,"B",X116=2,"C",X116=1,"D")</f>
        <v>D</v>
      </c>
      <c r="AA116" s="257"/>
    </row>
    <row r="117" spans="1:27">
      <c r="B117" s="97"/>
      <c r="C117" s="98"/>
      <c r="D117" s="99"/>
      <c r="E117" s="897" t="s">
        <v>129</v>
      </c>
      <c r="F117" s="448"/>
      <c r="G117" s="448"/>
      <c r="H117" s="447"/>
      <c r="I117" s="447"/>
      <c r="J117" s="448"/>
      <c r="K117" s="100"/>
      <c r="L117" s="11"/>
      <c r="R117" s="131">
        <f t="shared" si="57"/>
        <v>0</v>
      </c>
      <c r="S117" s="131">
        <f t="shared" si="58"/>
        <v>0</v>
      </c>
      <c r="T117" s="131">
        <f t="shared" si="59"/>
        <v>0</v>
      </c>
      <c r="U117" s="131">
        <f t="shared" si="60"/>
        <v>0</v>
      </c>
      <c r="V117" s="260"/>
      <c r="W117" s="131" t="str">
        <f t="shared" ref="W117:W121" si="62">IF(OR(E117="〇〇(合意形成対象者名に書き換え)",E117=""),"",SUM(S117,T117,U117))</f>
        <v/>
      </c>
      <c r="X117" s="131">
        <f t="shared" si="61"/>
        <v>1</v>
      </c>
      <c r="Y117" s="131">
        <f t="shared" ref="Y117:Y121" si="63">IF(E117="",1,IF(AND(E117="〇〇(合意形成対象者名に書き換え)",COUNTA($F117:$J117)=0),1,IF(AND(E117&lt;&gt;"〇〇(合意形成対象者名に書き換え)",COUNTA($F117:$J117)=5),1,0)))</f>
        <v>1</v>
      </c>
      <c r="Z117" s="131" t="str" cm="1">
        <f t="array" ref="Z117">_xlfn.IFS(X117=4,"A",X117=3,"B",X117=2,"C",X117=1,"D")</f>
        <v>D</v>
      </c>
      <c r="AA117" s="257"/>
    </row>
    <row r="118" spans="1:27">
      <c r="B118" s="97"/>
      <c r="C118" s="98"/>
      <c r="D118" s="99"/>
      <c r="E118" s="897" t="s">
        <v>129</v>
      </c>
      <c r="F118" s="443"/>
      <c r="G118" s="443"/>
      <c r="H118" s="449"/>
      <c r="I118" s="449"/>
      <c r="J118" s="443"/>
      <c r="K118" s="100"/>
      <c r="L118" s="11"/>
      <c r="R118" s="131">
        <f t="shared" si="57"/>
        <v>0</v>
      </c>
      <c r="S118" s="131">
        <f t="shared" si="58"/>
        <v>0</v>
      </c>
      <c r="T118" s="131">
        <f t="shared" si="59"/>
        <v>0</v>
      </c>
      <c r="U118" s="131">
        <f t="shared" si="60"/>
        <v>0</v>
      </c>
      <c r="V118" s="260"/>
      <c r="W118" s="131" t="str">
        <f t="shared" si="62"/>
        <v/>
      </c>
      <c r="X118" s="131">
        <f t="shared" si="61"/>
        <v>1</v>
      </c>
      <c r="Y118" s="131">
        <f t="shared" si="63"/>
        <v>1</v>
      </c>
      <c r="Z118" s="131" t="str" cm="1">
        <f t="array" ref="Z118">_xlfn.IFS(X118=4,"A",X118=3,"B",X118=2,"C",X118=1,"D")</f>
        <v>D</v>
      </c>
      <c r="AA118" s="257"/>
    </row>
    <row r="119" spans="1:27" s="101" customFormat="1">
      <c r="A119" s="11"/>
      <c r="B119" s="97"/>
      <c r="C119" s="98"/>
      <c r="D119" s="99"/>
      <c r="E119" s="897" t="s">
        <v>129</v>
      </c>
      <c r="F119" s="443"/>
      <c r="G119" s="443"/>
      <c r="H119" s="449"/>
      <c r="I119" s="449"/>
      <c r="J119" s="443"/>
      <c r="K119" s="100"/>
      <c r="L119" s="11"/>
      <c r="O119" s="11"/>
      <c r="P119" s="11"/>
      <c r="Q119" s="11"/>
      <c r="R119" s="131">
        <f t="shared" si="57"/>
        <v>0</v>
      </c>
      <c r="S119" s="131">
        <f t="shared" si="58"/>
        <v>0</v>
      </c>
      <c r="T119" s="131">
        <f t="shared" si="59"/>
        <v>0</v>
      </c>
      <c r="U119" s="131">
        <f t="shared" si="60"/>
        <v>0</v>
      </c>
      <c r="V119" s="260"/>
      <c r="W119" s="131" t="str">
        <f t="shared" si="62"/>
        <v/>
      </c>
      <c r="X119" s="131">
        <f t="shared" si="61"/>
        <v>1</v>
      </c>
      <c r="Y119" s="131">
        <f t="shared" si="63"/>
        <v>1</v>
      </c>
      <c r="Z119" s="131" t="str" cm="1">
        <f t="array" ref="Z119">_xlfn.IFS(X119=4,"A",X119=3,"B",X119=2,"C",X119=1,"D")</f>
        <v>D</v>
      </c>
      <c r="AA119" s="131"/>
    </row>
    <row r="120" spans="1:27" customFormat="1" ht="7.5" customHeight="1">
      <c r="B120" s="65"/>
      <c r="C120" s="4"/>
      <c r="D120" s="4"/>
      <c r="E120" s="290"/>
      <c r="F120" s="4"/>
      <c r="G120" s="4"/>
      <c r="H120" s="4"/>
      <c r="I120" s="4"/>
      <c r="J120" s="4"/>
      <c r="K120" s="9"/>
      <c r="L120" s="2"/>
      <c r="M120" s="2"/>
      <c r="N120" s="2"/>
      <c r="R120" s="131">
        <f t="shared" si="57"/>
        <v>0</v>
      </c>
      <c r="S120" s="131">
        <f t="shared" si="58"/>
        <v>0</v>
      </c>
      <c r="T120" s="131">
        <f t="shared" si="59"/>
        <v>0</v>
      </c>
      <c r="U120" s="131">
        <f t="shared" si="60"/>
        <v>0</v>
      </c>
      <c r="V120" s="260"/>
      <c r="W120" s="131" t="str">
        <f t="shared" si="62"/>
        <v/>
      </c>
      <c r="X120" s="131">
        <f t="shared" si="61"/>
        <v>1</v>
      </c>
      <c r="Y120" s="131">
        <f t="shared" si="63"/>
        <v>1</v>
      </c>
      <c r="Z120" s="131" t="str" cm="1">
        <f t="array" ref="Z120">_xlfn.IFS(X120=4,"A",X120=3,"B",X120=2,"C",X120=1,"D")</f>
        <v>D</v>
      </c>
      <c r="AA120" s="177"/>
    </row>
    <row r="121" spans="1:27" customFormat="1" ht="6" customHeight="1">
      <c r="E121" s="3"/>
      <c r="L121" s="2"/>
      <c r="M121" s="2"/>
      <c r="N121" s="2"/>
      <c r="R121" s="131">
        <f t="shared" si="57"/>
        <v>0</v>
      </c>
      <c r="S121" s="131">
        <f t="shared" si="58"/>
        <v>0</v>
      </c>
      <c r="T121" s="131">
        <f t="shared" si="59"/>
        <v>0</v>
      </c>
      <c r="U121" s="131">
        <f t="shared" si="60"/>
        <v>0</v>
      </c>
      <c r="V121" s="260"/>
      <c r="W121" s="131" t="str">
        <f t="shared" si="62"/>
        <v/>
      </c>
      <c r="X121" s="131">
        <f t="shared" si="61"/>
        <v>1</v>
      </c>
      <c r="Y121" s="131">
        <f t="shared" si="63"/>
        <v>1</v>
      </c>
      <c r="Z121" s="131" t="str" cm="1">
        <f t="array" ref="Z121">_xlfn.IFS(X121=4,"A",X121=3,"B",X121=2,"C",X121=1,"D")</f>
        <v>D</v>
      </c>
      <c r="AA121" s="177"/>
    </row>
    <row r="122" spans="1:27" customFormat="1" ht="103.5" customHeight="1">
      <c r="C122" s="78"/>
      <c r="D122" s="79"/>
      <c r="E122" s="71" t="s">
        <v>238</v>
      </c>
      <c r="F122" s="1057"/>
      <c r="G122" s="1057"/>
      <c r="H122" s="1057"/>
      <c r="I122" s="1057"/>
      <c r="J122" s="1057"/>
      <c r="K122" s="80" t="s">
        <v>132</v>
      </c>
      <c r="L122" s="80"/>
    </row>
    <row r="123" spans="1:27" customFormat="1" ht="146.25" customHeight="1">
      <c r="C123" s="75"/>
      <c r="D123" s="68"/>
      <c r="E123" s="71" t="s">
        <v>237</v>
      </c>
      <c r="F123" s="1057"/>
      <c r="G123" s="1057"/>
      <c r="H123" s="1057"/>
      <c r="I123" s="1057"/>
      <c r="J123" s="1057"/>
      <c r="L123" s="2"/>
      <c r="M123" s="2"/>
      <c r="N123" s="2"/>
    </row>
    <row r="124" spans="1:27" customFormat="1" ht="13.5" customHeight="1" thickBot="1">
      <c r="A124" s="81"/>
      <c r="B124" s="81"/>
      <c r="C124" s="81"/>
      <c r="D124" s="81"/>
      <c r="E124" s="313"/>
      <c r="F124" s="81"/>
      <c r="G124" s="81"/>
      <c r="H124" s="81"/>
      <c r="I124" s="81"/>
      <c r="J124" s="81"/>
      <c r="K124" s="81"/>
      <c r="L124" s="82"/>
      <c r="M124" s="2"/>
      <c r="N124" s="2"/>
    </row>
    <row r="125" spans="1:27" customFormat="1" ht="13.5" customHeight="1">
      <c r="E125" s="3"/>
      <c r="L125" s="2"/>
      <c r="M125" s="2"/>
      <c r="N125" s="2"/>
    </row>
    <row r="126" spans="1:27" customFormat="1" ht="15" customHeight="1">
      <c r="B126" s="10"/>
      <c r="C126" s="5"/>
      <c r="D126" s="5"/>
      <c r="E126" s="307"/>
      <c r="F126" s="5"/>
      <c r="G126" s="5"/>
      <c r="H126" s="5"/>
      <c r="I126" s="5"/>
      <c r="J126" s="5"/>
      <c r="K126" s="6"/>
      <c r="R126" s="11" t="str">
        <f>D127</f>
        <v>(選択してください)</v>
      </c>
    </row>
    <row r="127" spans="1:27" customFormat="1">
      <c r="B127" s="7"/>
      <c r="C127" s="77" t="str">
        <f ca="1">IFERROR(OFFSET('4.3民生部門電力以外の排出削減取組'!$C$1,MATCH(D127,'4.3民生部門電力以外の排出削減取組'!$E:$E,0)-1,0),"")</f>
        <v/>
      </c>
      <c r="D127" s="96" t="s">
        <v>130</v>
      </c>
      <c r="E127" s="72" t="s">
        <v>12</v>
      </c>
      <c r="F127" s="1063" t="str">
        <f ca="1">IFERROR(OFFSET('4.3民生部門電力以外の排出削減取組'!$G$1,MATCH($D127,'4.3民生部門電力以外の排出削減取組'!$E:$E,0)-1,0),"")</f>
        <v/>
      </c>
      <c r="G127" s="1063"/>
      <c r="H127" s="1063"/>
      <c r="I127" s="1063"/>
      <c r="J127" s="1063"/>
      <c r="K127" s="8"/>
      <c r="R127" s="257" t="str">
        <f ca="1">IFERROR(OFFSET('4.3民生部門電力以外の排出削減取組'!$G$1,MATCH($D127,'4.3民生部門電力以外の排出削減取組'!$E:$E,0)-1,0),"")</f>
        <v/>
      </c>
      <c r="S127" s="177"/>
      <c r="T127" s="177"/>
      <c r="U127" s="177"/>
      <c r="V127" s="177"/>
      <c r="W127" s="177"/>
      <c r="X127" s="177"/>
      <c r="Y127" s="177"/>
      <c r="Z127" s="177"/>
      <c r="AA127" s="177">
        <f ca="1">(F127=R127)*1</f>
        <v>1</v>
      </c>
    </row>
    <row r="128" spans="1:27" customFormat="1">
      <c r="B128" s="7"/>
      <c r="C128" s="74"/>
      <c r="D128" s="66"/>
      <c r="E128" s="72" t="s">
        <v>282</v>
      </c>
      <c r="F128" s="1080" t="str">
        <f ca="1">IFERROR(OFFSET('4.3民生部門電力以外の排出削減取組'!$H$1,MATCH($D127,'4.3民生部門電力以外の排出削減取組'!$E:$E,0)-1,0),"")</f>
        <v/>
      </c>
      <c r="G128" s="1080"/>
      <c r="H128" s="1080"/>
      <c r="I128" s="1080"/>
      <c r="J128" s="1080"/>
      <c r="K128" s="8"/>
      <c r="R128" s="177" t="str">
        <f ca="1">IFERROR(OFFSET('4.3民生部門電力以外の排出削減取組'!$H$1,MATCH($D127,'4.3民生部門電力以外の排出削減取組'!$E:$E,0)-1,0),"")</f>
        <v/>
      </c>
      <c r="S128" s="177"/>
      <c r="T128" s="177"/>
      <c r="U128" s="177"/>
      <c r="V128" s="177"/>
      <c r="W128" s="177"/>
      <c r="X128" s="177"/>
      <c r="Y128" s="177"/>
      <c r="Z128" s="177"/>
      <c r="AA128" s="177">
        <f t="shared" ref="AA128:AA129" ca="1" si="64">(F128=R128)*1</f>
        <v>1</v>
      </c>
    </row>
    <row r="129" spans="1:27" customFormat="1">
      <c r="B129" s="7"/>
      <c r="C129" s="74"/>
      <c r="D129" s="66"/>
      <c r="E129" s="72" t="s">
        <v>176</v>
      </c>
      <c r="F129" s="1063" t="str">
        <f>_xlfn.IFNA(R129,"")</f>
        <v/>
      </c>
      <c r="G129" s="1063"/>
      <c r="H129" s="1063"/>
      <c r="I129" s="1063"/>
      <c r="J129" s="1063"/>
      <c r="K129" s="8"/>
      <c r="R129" s="131" t="str">
        <f>IF(OR(COUNTIF($E131:$E136,"&lt;&gt;〇〇(合意形成対象者名に書き換え)")=3,COUNTIF($E131:$E136,"")&gt;3),"",IF(PRODUCT($Y131:$Y136)=1,Z131,""))</f>
        <v/>
      </c>
      <c r="S129" s="177"/>
      <c r="T129" s="177"/>
      <c r="U129" s="177"/>
      <c r="V129" s="177"/>
      <c r="W129" s="177"/>
      <c r="X129" s="177"/>
      <c r="Y129" s="177"/>
      <c r="Z129" s="177"/>
      <c r="AA129" s="177">
        <f t="shared" si="64"/>
        <v>1</v>
      </c>
    </row>
    <row r="130" spans="1:27" ht="63.75" customHeight="1">
      <c r="B130" s="97"/>
      <c r="C130" s="98"/>
      <c r="D130" s="99"/>
      <c r="E130" s="895"/>
      <c r="F130" s="315" t="s">
        <v>280</v>
      </c>
      <c r="G130" s="315" t="s">
        <v>270</v>
      </c>
      <c r="H130" s="315" t="s">
        <v>443</v>
      </c>
      <c r="I130" s="315" t="s">
        <v>445</v>
      </c>
      <c r="J130" s="315" t="s">
        <v>281</v>
      </c>
      <c r="K130" s="100"/>
      <c r="L130" s="11"/>
      <c r="R130" s="128" t="s">
        <v>280</v>
      </c>
      <c r="S130" s="128" t="s">
        <v>446</v>
      </c>
      <c r="T130" s="297" t="s">
        <v>443</v>
      </c>
      <c r="U130" s="297" t="s">
        <v>444</v>
      </c>
      <c r="V130" s="258" t="s">
        <v>272</v>
      </c>
      <c r="W130" s="128" t="s">
        <v>432</v>
      </c>
      <c r="X130" s="131" t="s">
        <v>408</v>
      </c>
      <c r="Y130" s="131" t="s">
        <v>436</v>
      </c>
      <c r="Z130" s="128" t="s">
        <v>431</v>
      </c>
      <c r="AA130" s="257"/>
    </row>
    <row r="131" spans="1:27" hidden="1">
      <c r="B131" s="97"/>
      <c r="C131" s="98"/>
      <c r="D131" s="99"/>
      <c r="E131" s="896"/>
      <c r="F131" s="441"/>
      <c r="G131" s="441"/>
      <c r="H131" s="445"/>
      <c r="I131" s="445"/>
      <c r="J131" s="441"/>
      <c r="K131" s="100"/>
      <c r="L131" s="11"/>
      <c r="R131" s="131">
        <f t="shared" ref="R131:R136" si="65">IF(F131="実施済",1,0)</f>
        <v>0</v>
      </c>
      <c r="S131" s="131">
        <f t="shared" ref="S131:S136" si="66">IF(G131="実施済",R131*1,0)</f>
        <v>0</v>
      </c>
      <c r="T131" s="131">
        <f t="shared" ref="T131:T136" si="67">IF(H131="実施済",S131*1,0)</f>
        <v>0</v>
      </c>
      <c r="U131" s="131">
        <f t="shared" ref="U131:U136" si="68">IF(I131="実施済",T131*1,0)</f>
        <v>0</v>
      </c>
      <c r="V131" s="260"/>
      <c r="W131" s="131" t="str">
        <f>IF(OR(E131="〇〇(合意形成対象者名に書き換え)",E131=""),"",SUM(S131,T131,U131))</f>
        <v/>
      </c>
      <c r="X131" s="131">
        <f t="shared" ref="X131:X136" si="69">MIN($W$131:$W$136)+1</f>
        <v>1</v>
      </c>
      <c r="Y131" s="131">
        <f>IF(E131="",1,IF(AND(E131="〇〇(合意形成対象者名に書き換え)",COUNTA($F131:$J131)=0),1,IF(AND(E131&lt;&gt;"〇〇(合意形成対象者名に書き換え)",COUNTA($F131:$J131)=5),1,0)))</f>
        <v>1</v>
      </c>
      <c r="Z131" s="131" t="str" cm="1">
        <f t="array" ref="Z131">_xlfn.IFS(X131=4,"A",X131=3,"B",X131=2,"C",X131=1,"D")</f>
        <v>D</v>
      </c>
      <c r="AA131" s="257"/>
    </row>
    <row r="132" spans="1:27">
      <c r="B132" s="97"/>
      <c r="C132" s="98"/>
      <c r="D132" s="99"/>
      <c r="E132" s="897" t="s">
        <v>129</v>
      </c>
      <c r="F132" s="448"/>
      <c r="G132" s="448"/>
      <c r="H132" s="447"/>
      <c r="I132" s="447"/>
      <c r="J132" s="448"/>
      <c r="K132" s="100"/>
      <c r="L132" s="11"/>
      <c r="R132" s="131">
        <f t="shared" si="65"/>
        <v>0</v>
      </c>
      <c r="S132" s="131">
        <f t="shared" si="66"/>
        <v>0</v>
      </c>
      <c r="T132" s="131">
        <f t="shared" si="67"/>
        <v>0</v>
      </c>
      <c r="U132" s="131">
        <f t="shared" si="68"/>
        <v>0</v>
      </c>
      <c r="V132" s="260"/>
      <c r="W132" s="131" t="str">
        <f t="shared" ref="W132:W136" si="70">IF(OR(E132="〇〇(合意形成対象者名に書き換え)",E132=""),"",SUM(S132,T132,U132))</f>
        <v/>
      </c>
      <c r="X132" s="131">
        <f t="shared" si="69"/>
        <v>1</v>
      </c>
      <c r="Y132" s="131">
        <f t="shared" ref="Y132:Y136" si="71">IF(E132="",1,IF(AND(E132="〇〇(合意形成対象者名に書き換え)",COUNTA($F132:$J132)=0),1,IF(AND(E132&lt;&gt;"〇〇(合意形成対象者名に書き換え)",COUNTA($F132:$J132)=5),1,0)))</f>
        <v>1</v>
      </c>
      <c r="Z132" s="131" t="str" cm="1">
        <f t="array" ref="Z132">_xlfn.IFS(X132=4,"A",X132=3,"B",X132=2,"C",X132=1,"D")</f>
        <v>D</v>
      </c>
      <c r="AA132" s="257"/>
    </row>
    <row r="133" spans="1:27">
      <c r="B133" s="97"/>
      <c r="C133" s="98"/>
      <c r="D133" s="99"/>
      <c r="E133" s="897" t="s">
        <v>129</v>
      </c>
      <c r="F133" s="443"/>
      <c r="G133" s="443"/>
      <c r="H133" s="449"/>
      <c r="I133" s="449"/>
      <c r="J133" s="443"/>
      <c r="K133" s="100"/>
      <c r="L133" s="11"/>
      <c r="R133" s="131">
        <f t="shared" si="65"/>
        <v>0</v>
      </c>
      <c r="S133" s="131">
        <f t="shared" si="66"/>
        <v>0</v>
      </c>
      <c r="T133" s="131">
        <f t="shared" si="67"/>
        <v>0</v>
      </c>
      <c r="U133" s="131">
        <f t="shared" si="68"/>
        <v>0</v>
      </c>
      <c r="V133" s="260"/>
      <c r="W133" s="131" t="str">
        <f t="shared" si="70"/>
        <v/>
      </c>
      <c r="X133" s="131">
        <f t="shared" si="69"/>
        <v>1</v>
      </c>
      <c r="Y133" s="131">
        <f t="shared" si="71"/>
        <v>1</v>
      </c>
      <c r="Z133" s="131" t="str" cm="1">
        <f t="array" ref="Z133">_xlfn.IFS(X133=4,"A",X133=3,"B",X133=2,"C",X133=1,"D")</f>
        <v>D</v>
      </c>
      <c r="AA133" s="257"/>
    </row>
    <row r="134" spans="1:27" s="101" customFormat="1">
      <c r="A134" s="11"/>
      <c r="B134" s="97"/>
      <c r="C134" s="98"/>
      <c r="D134" s="99"/>
      <c r="E134" s="897" t="s">
        <v>129</v>
      </c>
      <c r="F134" s="443"/>
      <c r="G134" s="443"/>
      <c r="H134" s="449"/>
      <c r="I134" s="449"/>
      <c r="J134" s="443"/>
      <c r="K134" s="100"/>
      <c r="L134" s="11"/>
      <c r="O134" s="11"/>
      <c r="P134" s="11"/>
      <c r="Q134" s="11"/>
      <c r="R134" s="131">
        <f t="shared" si="65"/>
        <v>0</v>
      </c>
      <c r="S134" s="131">
        <f t="shared" si="66"/>
        <v>0</v>
      </c>
      <c r="T134" s="131">
        <f t="shared" si="67"/>
        <v>0</v>
      </c>
      <c r="U134" s="131">
        <f t="shared" si="68"/>
        <v>0</v>
      </c>
      <c r="V134" s="260"/>
      <c r="W134" s="131" t="str">
        <f t="shared" si="70"/>
        <v/>
      </c>
      <c r="X134" s="131">
        <f t="shared" si="69"/>
        <v>1</v>
      </c>
      <c r="Y134" s="131">
        <f t="shared" si="71"/>
        <v>1</v>
      </c>
      <c r="Z134" s="131" t="str" cm="1">
        <f t="array" ref="Z134">_xlfn.IFS(X134=4,"A",X134=3,"B",X134=2,"C",X134=1,"D")</f>
        <v>D</v>
      </c>
      <c r="AA134" s="131"/>
    </row>
    <row r="135" spans="1:27" customFormat="1" ht="7.5" customHeight="1">
      <c r="B135" s="65"/>
      <c r="C135" s="4"/>
      <c r="D135" s="4"/>
      <c r="E135" s="290"/>
      <c r="F135" s="4"/>
      <c r="G135" s="4"/>
      <c r="H135" s="4"/>
      <c r="I135" s="4"/>
      <c r="J135" s="4"/>
      <c r="K135" s="9"/>
      <c r="L135" s="2"/>
      <c r="M135" s="2"/>
      <c r="N135" s="2"/>
      <c r="R135" s="131">
        <f t="shared" si="65"/>
        <v>0</v>
      </c>
      <c r="S135" s="131">
        <f t="shared" si="66"/>
        <v>0</v>
      </c>
      <c r="T135" s="131">
        <f t="shared" si="67"/>
        <v>0</v>
      </c>
      <c r="U135" s="131">
        <f t="shared" si="68"/>
        <v>0</v>
      </c>
      <c r="V135" s="260"/>
      <c r="W135" s="131" t="str">
        <f t="shared" si="70"/>
        <v/>
      </c>
      <c r="X135" s="131">
        <f t="shared" si="69"/>
        <v>1</v>
      </c>
      <c r="Y135" s="131">
        <f t="shared" si="71"/>
        <v>1</v>
      </c>
      <c r="Z135" s="131" t="str" cm="1">
        <f t="array" ref="Z135">_xlfn.IFS(X135=4,"A",X135=3,"B",X135=2,"C",X135=1,"D")</f>
        <v>D</v>
      </c>
      <c r="AA135" s="177"/>
    </row>
    <row r="136" spans="1:27" customFormat="1" ht="6" customHeight="1">
      <c r="E136" s="3"/>
      <c r="L136" s="2"/>
      <c r="M136" s="2"/>
      <c r="N136" s="2"/>
      <c r="R136" s="131">
        <f t="shared" si="65"/>
        <v>0</v>
      </c>
      <c r="S136" s="131">
        <f t="shared" si="66"/>
        <v>0</v>
      </c>
      <c r="T136" s="131">
        <f t="shared" si="67"/>
        <v>0</v>
      </c>
      <c r="U136" s="131">
        <f t="shared" si="68"/>
        <v>0</v>
      </c>
      <c r="V136" s="260"/>
      <c r="W136" s="131" t="str">
        <f t="shared" si="70"/>
        <v/>
      </c>
      <c r="X136" s="131">
        <f t="shared" si="69"/>
        <v>1</v>
      </c>
      <c r="Y136" s="131">
        <f t="shared" si="71"/>
        <v>1</v>
      </c>
      <c r="Z136" s="131" t="str" cm="1">
        <f t="array" ref="Z136">_xlfn.IFS(X136=4,"A",X136=3,"B",X136=2,"C",X136=1,"D")</f>
        <v>D</v>
      </c>
      <c r="AA136" s="177"/>
    </row>
    <row r="137" spans="1:27" customFormat="1" ht="103.5" customHeight="1">
      <c r="C137" s="78"/>
      <c r="D137" s="79"/>
      <c r="E137" s="71" t="s">
        <v>238</v>
      </c>
      <c r="F137" s="1057"/>
      <c r="G137" s="1057"/>
      <c r="H137" s="1057"/>
      <c r="I137" s="1057"/>
      <c r="J137" s="1057"/>
      <c r="K137" s="80" t="s">
        <v>132</v>
      </c>
      <c r="L137" s="80"/>
    </row>
    <row r="138" spans="1:27" customFormat="1" ht="146.25" customHeight="1">
      <c r="C138" s="75"/>
      <c r="D138" s="68"/>
      <c r="E138" s="71" t="s">
        <v>237</v>
      </c>
      <c r="F138" s="1057"/>
      <c r="G138" s="1057"/>
      <c r="H138" s="1057"/>
      <c r="I138" s="1057"/>
      <c r="J138" s="1057"/>
      <c r="L138" s="2"/>
      <c r="M138" s="2"/>
      <c r="N138" s="2"/>
    </row>
    <row r="139" spans="1:27" customFormat="1" ht="13.5" customHeight="1" thickBot="1">
      <c r="A139" s="81"/>
      <c r="B139" s="81"/>
      <c r="C139" s="81"/>
      <c r="D139" s="81"/>
      <c r="E139" s="313"/>
      <c r="F139" s="81"/>
      <c r="G139" s="81"/>
      <c r="H139" s="81"/>
      <c r="I139" s="81"/>
      <c r="J139" s="81"/>
      <c r="K139" s="81"/>
      <c r="L139" s="82"/>
      <c r="M139" s="2"/>
      <c r="N139" s="2"/>
    </row>
    <row r="140" spans="1:27" customFormat="1" ht="13.5" customHeight="1">
      <c r="E140" s="3"/>
      <c r="L140" s="2"/>
      <c r="M140" s="2"/>
      <c r="N140" s="2"/>
    </row>
    <row r="141" spans="1:27" customFormat="1" ht="15" customHeight="1">
      <c r="B141" s="10"/>
      <c r="C141" s="5"/>
      <c r="D141" s="5"/>
      <c r="E141" s="307"/>
      <c r="F141" s="5"/>
      <c r="G141" s="5"/>
      <c r="H141" s="5"/>
      <c r="I141" s="5"/>
      <c r="J141" s="5"/>
      <c r="K141" s="6"/>
      <c r="R141" s="11" t="str">
        <f>D142</f>
        <v>(選択してください)</v>
      </c>
    </row>
    <row r="142" spans="1:27" customFormat="1">
      <c r="B142" s="7"/>
      <c r="C142" s="77" t="str">
        <f ca="1">IFERROR(OFFSET('4.3民生部門電力以外の排出削減取組'!$C$1,MATCH(D142,'4.3民生部門電力以外の排出削減取組'!$E:$E,0)-1,0),"")</f>
        <v/>
      </c>
      <c r="D142" s="96" t="s">
        <v>130</v>
      </c>
      <c r="E142" s="72" t="s">
        <v>12</v>
      </c>
      <c r="F142" s="1063" t="str">
        <f ca="1">IFERROR(OFFSET('4.3民生部門電力以外の排出削減取組'!$G$1,MATCH($D142,'4.3民生部門電力以外の排出削減取組'!$E:$E,0)-1,0),"")</f>
        <v/>
      </c>
      <c r="G142" s="1063"/>
      <c r="H142" s="1063"/>
      <c r="I142" s="1063"/>
      <c r="J142" s="1063"/>
      <c r="K142" s="8"/>
      <c r="R142" s="257" t="str">
        <f ca="1">IFERROR(OFFSET('4.3民生部門電力以外の排出削減取組'!$G$1,MATCH($D142,'4.3民生部門電力以外の排出削減取組'!$E:$E,0)-1,0),"")</f>
        <v/>
      </c>
      <c r="S142" s="177"/>
      <c r="T142" s="177"/>
      <c r="U142" s="177"/>
      <c r="V142" s="177"/>
      <c r="W142" s="177"/>
      <c r="X142" s="177"/>
      <c r="Y142" s="177"/>
      <c r="Z142" s="177"/>
      <c r="AA142" s="177">
        <f ca="1">(F142=R142)*1</f>
        <v>1</v>
      </c>
    </row>
    <row r="143" spans="1:27" customFormat="1">
      <c r="B143" s="7"/>
      <c r="C143" s="74"/>
      <c r="D143" s="66"/>
      <c r="E143" s="72" t="s">
        <v>282</v>
      </c>
      <c r="F143" s="1080" t="str">
        <f ca="1">IFERROR(OFFSET('4.3民生部門電力以外の排出削減取組'!$H$1,MATCH($D142,'4.3民生部門電力以外の排出削減取組'!$E:$E,0)-1,0),"")</f>
        <v/>
      </c>
      <c r="G143" s="1080"/>
      <c r="H143" s="1080"/>
      <c r="I143" s="1080"/>
      <c r="J143" s="1080"/>
      <c r="K143" s="8"/>
      <c r="R143" s="177" t="str">
        <f ca="1">IFERROR(OFFSET('4.3民生部門電力以外の排出削減取組'!$H$1,MATCH($D142,'4.3民生部門電力以外の排出削減取組'!$E:$E,0)-1,0),"")</f>
        <v/>
      </c>
      <c r="S143" s="177"/>
      <c r="T143" s="177"/>
      <c r="U143" s="177"/>
      <c r="V143" s="177"/>
      <c r="W143" s="177"/>
      <c r="X143" s="177"/>
      <c r="Y143" s="177"/>
      <c r="Z143" s="177"/>
      <c r="AA143" s="177">
        <f t="shared" ref="AA143:AA144" ca="1" si="72">(F143=R143)*1</f>
        <v>1</v>
      </c>
    </row>
    <row r="144" spans="1:27" customFormat="1">
      <c r="B144" s="7"/>
      <c r="C144" s="74"/>
      <c r="D144" s="66"/>
      <c r="E144" s="72" t="s">
        <v>176</v>
      </c>
      <c r="F144" s="1063" t="str">
        <f>_xlfn.IFNA(R144,"")</f>
        <v/>
      </c>
      <c r="G144" s="1063"/>
      <c r="H144" s="1063"/>
      <c r="I144" s="1063"/>
      <c r="J144" s="1063"/>
      <c r="K144" s="8"/>
      <c r="R144" s="131" t="str">
        <f>IF(OR(COUNTIF($E146:$E151,"&lt;&gt;〇〇(合意形成対象者名に書き換え)")=3,COUNTIF($E146:$E151,"")&gt;3),"",IF(PRODUCT($Y146:$Y151)=1,Z146,""))</f>
        <v/>
      </c>
      <c r="S144" s="177"/>
      <c r="T144" s="177"/>
      <c r="U144" s="177"/>
      <c r="V144" s="177"/>
      <c r="W144" s="177"/>
      <c r="X144" s="177"/>
      <c r="Y144" s="177"/>
      <c r="Z144" s="177"/>
      <c r="AA144" s="177">
        <f t="shared" si="72"/>
        <v>1</v>
      </c>
    </row>
    <row r="145" spans="1:27" ht="63.75" customHeight="1">
      <c r="B145" s="97"/>
      <c r="C145" s="98"/>
      <c r="D145" s="99"/>
      <c r="E145" s="895"/>
      <c r="F145" s="315" t="s">
        <v>280</v>
      </c>
      <c r="G145" s="315" t="s">
        <v>270</v>
      </c>
      <c r="H145" s="315" t="s">
        <v>443</v>
      </c>
      <c r="I145" s="315" t="s">
        <v>445</v>
      </c>
      <c r="J145" s="315" t="s">
        <v>281</v>
      </c>
      <c r="K145" s="100"/>
      <c r="L145" s="11"/>
      <c r="R145" s="128" t="s">
        <v>280</v>
      </c>
      <c r="S145" s="128" t="s">
        <v>446</v>
      </c>
      <c r="T145" s="297" t="s">
        <v>443</v>
      </c>
      <c r="U145" s="297" t="s">
        <v>444</v>
      </c>
      <c r="V145" s="258" t="s">
        <v>272</v>
      </c>
      <c r="W145" s="128" t="s">
        <v>432</v>
      </c>
      <c r="X145" s="131" t="s">
        <v>408</v>
      </c>
      <c r="Y145" s="131" t="s">
        <v>436</v>
      </c>
      <c r="Z145" s="128" t="s">
        <v>431</v>
      </c>
      <c r="AA145" s="257"/>
    </row>
    <row r="146" spans="1:27" hidden="1">
      <c r="B146" s="97"/>
      <c r="C146" s="98"/>
      <c r="D146" s="99"/>
      <c r="E146" s="896"/>
      <c r="F146" s="441"/>
      <c r="G146" s="441"/>
      <c r="H146" s="445"/>
      <c r="I146" s="445"/>
      <c r="J146" s="441"/>
      <c r="K146" s="100"/>
      <c r="L146" s="11"/>
      <c r="R146" s="131">
        <f t="shared" ref="R146:R151" si="73">IF(F146="実施済",1,0)</f>
        <v>0</v>
      </c>
      <c r="S146" s="131">
        <f t="shared" ref="S146:S151" si="74">IF(G146="実施済",R146*1,0)</f>
        <v>0</v>
      </c>
      <c r="T146" s="131">
        <f t="shared" ref="T146:T151" si="75">IF(H146="実施済",S146*1,0)</f>
        <v>0</v>
      </c>
      <c r="U146" s="131">
        <f t="shared" ref="U146:U151" si="76">IF(I146="実施済",T146*1,0)</f>
        <v>0</v>
      </c>
      <c r="V146" s="260"/>
      <c r="W146" s="131" t="str">
        <f>IF(OR(E146="〇〇(合意形成対象者名に書き換え)",E146=""),"",SUM(S146,T146,U146))</f>
        <v/>
      </c>
      <c r="X146" s="131">
        <f t="shared" ref="X146:X151" si="77">MIN($W$146:$W$151)+1</f>
        <v>1</v>
      </c>
      <c r="Y146" s="131">
        <f>IF(E146="",1,IF(AND(E146="〇〇(合意形成対象者名に書き換え)",COUNTA($F146:$J146)=0),1,IF(AND(E146&lt;&gt;"〇〇(合意形成対象者名に書き換え)",COUNTA($F146:$J146)=5),1,0)))</f>
        <v>1</v>
      </c>
      <c r="Z146" s="131" t="str" cm="1">
        <f t="array" ref="Z146">_xlfn.IFS(X146=4,"A",X146=3,"B",X146=2,"C",X146=1,"D")</f>
        <v>D</v>
      </c>
      <c r="AA146" s="257"/>
    </row>
    <row r="147" spans="1:27">
      <c r="B147" s="97"/>
      <c r="C147" s="98"/>
      <c r="D147" s="99"/>
      <c r="E147" s="897" t="s">
        <v>129</v>
      </c>
      <c r="F147" s="448"/>
      <c r="G147" s="448"/>
      <c r="H147" s="447"/>
      <c r="I147" s="447"/>
      <c r="J147" s="448"/>
      <c r="K147" s="100"/>
      <c r="L147" s="11"/>
      <c r="R147" s="131">
        <f t="shared" si="73"/>
        <v>0</v>
      </c>
      <c r="S147" s="131">
        <f t="shared" si="74"/>
        <v>0</v>
      </c>
      <c r="T147" s="131">
        <f t="shared" si="75"/>
        <v>0</v>
      </c>
      <c r="U147" s="131">
        <f t="shared" si="76"/>
        <v>0</v>
      </c>
      <c r="V147" s="260"/>
      <c r="W147" s="131" t="str">
        <f t="shared" ref="W147:W151" si="78">IF(OR(E147="〇〇(合意形成対象者名に書き換え)",E147=""),"",SUM(S147,T147,U147))</f>
        <v/>
      </c>
      <c r="X147" s="131">
        <f t="shared" si="77"/>
        <v>1</v>
      </c>
      <c r="Y147" s="131">
        <f t="shared" ref="Y147:Y151" si="79">IF(E147="",1,IF(AND(E147="〇〇(合意形成対象者名に書き換え)",COUNTA($F147:$J147)=0),1,IF(AND(E147&lt;&gt;"〇〇(合意形成対象者名に書き換え)",COUNTA($F147:$J147)=5),1,0)))</f>
        <v>1</v>
      </c>
      <c r="Z147" s="131" t="str" cm="1">
        <f t="array" ref="Z147">_xlfn.IFS(X147=4,"A",X147=3,"B",X147=2,"C",X147=1,"D")</f>
        <v>D</v>
      </c>
      <c r="AA147" s="257"/>
    </row>
    <row r="148" spans="1:27">
      <c r="B148" s="97"/>
      <c r="C148" s="98"/>
      <c r="D148" s="99"/>
      <c r="E148" s="897" t="s">
        <v>129</v>
      </c>
      <c r="F148" s="443"/>
      <c r="G148" s="443"/>
      <c r="H148" s="449"/>
      <c r="I148" s="449"/>
      <c r="J148" s="443"/>
      <c r="K148" s="100"/>
      <c r="L148" s="11"/>
      <c r="R148" s="131">
        <f t="shared" si="73"/>
        <v>0</v>
      </c>
      <c r="S148" s="131">
        <f t="shared" si="74"/>
        <v>0</v>
      </c>
      <c r="T148" s="131">
        <f t="shared" si="75"/>
        <v>0</v>
      </c>
      <c r="U148" s="131">
        <f t="shared" si="76"/>
        <v>0</v>
      </c>
      <c r="V148" s="260"/>
      <c r="W148" s="131" t="str">
        <f t="shared" si="78"/>
        <v/>
      </c>
      <c r="X148" s="131">
        <f t="shared" si="77"/>
        <v>1</v>
      </c>
      <c r="Y148" s="131">
        <f t="shared" si="79"/>
        <v>1</v>
      </c>
      <c r="Z148" s="131" t="str" cm="1">
        <f t="array" ref="Z148">_xlfn.IFS(X148=4,"A",X148=3,"B",X148=2,"C",X148=1,"D")</f>
        <v>D</v>
      </c>
      <c r="AA148" s="257"/>
    </row>
    <row r="149" spans="1:27" s="101" customFormat="1">
      <c r="A149" s="11"/>
      <c r="B149" s="97"/>
      <c r="C149" s="98"/>
      <c r="D149" s="99"/>
      <c r="E149" s="897" t="s">
        <v>129</v>
      </c>
      <c r="F149" s="443"/>
      <c r="G149" s="443"/>
      <c r="H149" s="449"/>
      <c r="I149" s="449"/>
      <c r="J149" s="443"/>
      <c r="K149" s="100"/>
      <c r="L149" s="11"/>
      <c r="O149" s="11"/>
      <c r="P149" s="11"/>
      <c r="Q149" s="11"/>
      <c r="R149" s="131">
        <f t="shared" si="73"/>
        <v>0</v>
      </c>
      <c r="S149" s="131">
        <f t="shared" si="74"/>
        <v>0</v>
      </c>
      <c r="T149" s="131">
        <f t="shared" si="75"/>
        <v>0</v>
      </c>
      <c r="U149" s="131">
        <f t="shared" si="76"/>
        <v>0</v>
      </c>
      <c r="V149" s="260"/>
      <c r="W149" s="131" t="str">
        <f t="shared" si="78"/>
        <v/>
      </c>
      <c r="X149" s="131">
        <f t="shared" si="77"/>
        <v>1</v>
      </c>
      <c r="Y149" s="131">
        <f t="shared" si="79"/>
        <v>1</v>
      </c>
      <c r="Z149" s="131" t="str" cm="1">
        <f t="array" ref="Z149">_xlfn.IFS(X149=4,"A",X149=3,"B",X149=2,"C",X149=1,"D")</f>
        <v>D</v>
      </c>
      <c r="AA149" s="131"/>
    </row>
    <row r="150" spans="1:27" customFormat="1" ht="7.5" customHeight="1">
      <c r="B150" s="65"/>
      <c r="C150" s="4"/>
      <c r="D150" s="4"/>
      <c r="E150" s="290"/>
      <c r="F150" s="4"/>
      <c r="G150" s="4"/>
      <c r="H150" s="4"/>
      <c r="I150" s="4"/>
      <c r="J150" s="4"/>
      <c r="K150" s="9"/>
      <c r="L150" s="2"/>
      <c r="M150" s="2"/>
      <c r="N150" s="2"/>
      <c r="R150" s="131">
        <f t="shared" si="73"/>
        <v>0</v>
      </c>
      <c r="S150" s="131">
        <f t="shared" si="74"/>
        <v>0</v>
      </c>
      <c r="T150" s="131">
        <f t="shared" si="75"/>
        <v>0</v>
      </c>
      <c r="U150" s="131">
        <f t="shared" si="76"/>
        <v>0</v>
      </c>
      <c r="V150" s="260"/>
      <c r="W150" s="131" t="str">
        <f t="shared" si="78"/>
        <v/>
      </c>
      <c r="X150" s="131">
        <f t="shared" si="77"/>
        <v>1</v>
      </c>
      <c r="Y150" s="131">
        <f t="shared" si="79"/>
        <v>1</v>
      </c>
      <c r="Z150" s="131" t="str" cm="1">
        <f t="array" ref="Z150">_xlfn.IFS(X150=4,"A",X150=3,"B",X150=2,"C",X150=1,"D")</f>
        <v>D</v>
      </c>
      <c r="AA150" s="177"/>
    </row>
    <row r="151" spans="1:27" customFormat="1" ht="6" customHeight="1">
      <c r="E151" s="3"/>
      <c r="L151" s="2"/>
      <c r="M151" s="2"/>
      <c r="N151" s="2"/>
      <c r="R151" s="131">
        <f t="shared" si="73"/>
        <v>0</v>
      </c>
      <c r="S151" s="131">
        <f t="shared" si="74"/>
        <v>0</v>
      </c>
      <c r="T151" s="131">
        <f t="shared" si="75"/>
        <v>0</v>
      </c>
      <c r="U151" s="131">
        <f t="shared" si="76"/>
        <v>0</v>
      </c>
      <c r="V151" s="260"/>
      <c r="W151" s="131" t="str">
        <f t="shared" si="78"/>
        <v/>
      </c>
      <c r="X151" s="131">
        <f t="shared" si="77"/>
        <v>1</v>
      </c>
      <c r="Y151" s="131">
        <f t="shared" si="79"/>
        <v>1</v>
      </c>
      <c r="Z151" s="131" t="str" cm="1">
        <f t="array" ref="Z151">_xlfn.IFS(X151=4,"A",X151=3,"B",X151=2,"C",X151=1,"D")</f>
        <v>D</v>
      </c>
      <c r="AA151" s="177"/>
    </row>
    <row r="152" spans="1:27" customFormat="1" ht="103.5" customHeight="1">
      <c r="C152" s="78"/>
      <c r="D152" s="79"/>
      <c r="E152" s="71" t="s">
        <v>238</v>
      </c>
      <c r="F152" s="1057"/>
      <c r="G152" s="1057"/>
      <c r="H152" s="1057"/>
      <c r="I152" s="1057"/>
      <c r="J152" s="1057"/>
      <c r="K152" s="80" t="s">
        <v>132</v>
      </c>
      <c r="L152" s="80"/>
    </row>
    <row r="153" spans="1:27" customFormat="1" ht="146.25" customHeight="1">
      <c r="C153" s="75"/>
      <c r="D153" s="68"/>
      <c r="E153" s="71" t="s">
        <v>237</v>
      </c>
      <c r="F153" s="1057"/>
      <c r="G153" s="1057"/>
      <c r="H153" s="1057"/>
      <c r="I153" s="1057"/>
      <c r="J153" s="1057"/>
      <c r="L153" s="2"/>
      <c r="M153" s="2"/>
      <c r="N153" s="2"/>
    </row>
    <row r="154" spans="1:27" customFormat="1" ht="13.5" customHeight="1" thickBot="1">
      <c r="A154" s="81"/>
      <c r="B154" s="81"/>
      <c r="C154" s="81"/>
      <c r="D154" s="81"/>
      <c r="E154" s="313"/>
      <c r="F154" s="81"/>
      <c r="G154" s="81"/>
      <c r="H154" s="81"/>
      <c r="I154" s="81"/>
      <c r="J154" s="81"/>
      <c r="K154" s="81"/>
      <c r="L154" s="82"/>
      <c r="M154" s="2"/>
      <c r="N154" s="2"/>
    </row>
    <row r="155" spans="1:27" customFormat="1" ht="13.5" customHeight="1">
      <c r="E155" s="3"/>
      <c r="L155" s="2"/>
      <c r="M155" s="2"/>
      <c r="N155" s="2"/>
    </row>
    <row r="156" spans="1:27" customFormat="1" ht="15" customHeight="1">
      <c r="B156" s="10"/>
      <c r="C156" s="5"/>
      <c r="D156" s="5"/>
      <c r="E156" s="307"/>
      <c r="F156" s="5"/>
      <c r="G156" s="5"/>
      <c r="H156" s="5"/>
      <c r="I156" s="5"/>
      <c r="J156" s="5"/>
      <c r="K156" s="6"/>
      <c r="R156" s="11" t="str">
        <f>D157</f>
        <v>(選択してください)</v>
      </c>
    </row>
    <row r="157" spans="1:27" customFormat="1">
      <c r="B157" s="7"/>
      <c r="C157" s="77" t="str">
        <f ca="1">IFERROR(OFFSET('4.3民生部門電力以外の排出削減取組'!$C$1,MATCH(D157,'4.3民生部門電力以外の排出削減取組'!$E:$E,0)-1,0),"")</f>
        <v/>
      </c>
      <c r="D157" s="96" t="s">
        <v>130</v>
      </c>
      <c r="E157" s="72" t="s">
        <v>12</v>
      </c>
      <c r="F157" s="1063" t="str">
        <f ca="1">IFERROR(OFFSET('4.3民生部門電力以外の排出削減取組'!$G$1,MATCH($D157,'4.3民生部門電力以外の排出削減取組'!$E:$E,0)-1,0),"")</f>
        <v/>
      </c>
      <c r="G157" s="1063"/>
      <c r="H157" s="1063"/>
      <c r="I157" s="1063"/>
      <c r="J157" s="1063"/>
      <c r="K157" s="8"/>
      <c r="R157" s="257" t="str">
        <f ca="1">IFERROR(OFFSET('4.3民生部門電力以外の排出削減取組'!$G$1,MATCH($D157,'4.3民生部門電力以外の排出削減取組'!$E:$E,0)-1,0),"")</f>
        <v/>
      </c>
      <c r="S157" s="177"/>
      <c r="T157" s="177"/>
      <c r="U157" s="177"/>
      <c r="V157" s="177"/>
      <c r="W157" s="177"/>
      <c r="X157" s="177"/>
      <c r="Y157" s="177"/>
      <c r="Z157" s="177"/>
      <c r="AA157" s="177">
        <f ca="1">(F157=R157)*1</f>
        <v>1</v>
      </c>
    </row>
    <row r="158" spans="1:27" customFormat="1">
      <c r="B158" s="7"/>
      <c r="C158" s="74"/>
      <c r="D158" s="66"/>
      <c r="E158" s="72" t="s">
        <v>282</v>
      </c>
      <c r="F158" s="1080" t="str">
        <f ca="1">IFERROR(OFFSET('4.3民生部門電力以外の排出削減取組'!$H$1,MATCH($D157,'4.3民生部門電力以外の排出削減取組'!$E:$E,0)-1,0),"")</f>
        <v/>
      </c>
      <c r="G158" s="1080"/>
      <c r="H158" s="1080"/>
      <c r="I158" s="1080"/>
      <c r="J158" s="1080"/>
      <c r="K158" s="8"/>
      <c r="R158" s="177" t="str">
        <f ca="1">IFERROR(OFFSET('4.3民生部門電力以外の排出削減取組'!$H$1,MATCH($D157,'4.3民生部門電力以外の排出削減取組'!$E:$E,0)-1,0),"")</f>
        <v/>
      </c>
      <c r="S158" s="177"/>
      <c r="T158" s="177"/>
      <c r="U158" s="177"/>
      <c r="V158" s="177"/>
      <c r="W158" s="177"/>
      <c r="X158" s="177"/>
      <c r="Y158" s="177"/>
      <c r="Z158" s="177"/>
      <c r="AA158" s="177">
        <f t="shared" ref="AA158:AA159" ca="1" si="80">(F158=R158)*1</f>
        <v>1</v>
      </c>
    </row>
    <row r="159" spans="1:27" customFormat="1">
      <c r="B159" s="7"/>
      <c r="C159" s="74"/>
      <c r="D159" s="66"/>
      <c r="E159" s="72" t="s">
        <v>176</v>
      </c>
      <c r="F159" s="1063" t="str">
        <f>_xlfn.IFNA(R159,"")</f>
        <v/>
      </c>
      <c r="G159" s="1063"/>
      <c r="H159" s="1063"/>
      <c r="I159" s="1063"/>
      <c r="J159" s="1063"/>
      <c r="K159" s="8"/>
      <c r="R159" s="131" t="str">
        <f>IF(OR(COUNTIF($E161:$E166,"&lt;&gt;〇〇(合意形成対象者名に書き換え)")=3,COUNTIF($E161:$E166,"")&gt;3),"",IF(PRODUCT($Y161:$Y166)=1,Z161,""))</f>
        <v/>
      </c>
      <c r="S159" s="177"/>
      <c r="T159" s="177"/>
      <c r="U159" s="177"/>
      <c r="V159" s="177"/>
      <c r="W159" s="177"/>
      <c r="X159" s="177"/>
      <c r="Y159" s="177"/>
      <c r="Z159" s="177"/>
      <c r="AA159" s="177">
        <f t="shared" si="80"/>
        <v>1</v>
      </c>
    </row>
    <row r="160" spans="1:27" ht="63.75" customHeight="1">
      <c r="B160" s="97"/>
      <c r="C160" s="98"/>
      <c r="D160" s="99"/>
      <c r="E160" s="895"/>
      <c r="F160" s="315" t="s">
        <v>280</v>
      </c>
      <c r="G160" s="315" t="s">
        <v>270</v>
      </c>
      <c r="H160" s="315" t="s">
        <v>443</v>
      </c>
      <c r="I160" s="315" t="s">
        <v>445</v>
      </c>
      <c r="J160" s="315" t="s">
        <v>281</v>
      </c>
      <c r="K160" s="100"/>
      <c r="L160" s="11"/>
      <c r="R160" s="128" t="s">
        <v>280</v>
      </c>
      <c r="S160" s="128" t="s">
        <v>446</v>
      </c>
      <c r="T160" s="297" t="s">
        <v>443</v>
      </c>
      <c r="U160" s="297" t="s">
        <v>444</v>
      </c>
      <c r="V160" s="258" t="s">
        <v>272</v>
      </c>
      <c r="W160" s="128" t="s">
        <v>432</v>
      </c>
      <c r="X160" s="131" t="s">
        <v>408</v>
      </c>
      <c r="Y160" s="131" t="s">
        <v>436</v>
      </c>
      <c r="Z160" s="128" t="s">
        <v>431</v>
      </c>
      <c r="AA160" s="257"/>
    </row>
    <row r="161" spans="1:27" hidden="1">
      <c r="B161" s="97"/>
      <c r="C161" s="98"/>
      <c r="D161" s="99"/>
      <c r="E161" s="896"/>
      <c r="F161" s="441"/>
      <c r="G161" s="441"/>
      <c r="H161" s="445"/>
      <c r="I161" s="445"/>
      <c r="J161" s="441"/>
      <c r="K161" s="100"/>
      <c r="L161" s="11"/>
      <c r="R161" s="131">
        <f t="shared" ref="R161:R166" si="81">IF(F161="実施済",1,0)</f>
        <v>0</v>
      </c>
      <c r="S161" s="131">
        <f t="shared" ref="S161:S166" si="82">IF(G161="実施済",R161*1,0)</f>
        <v>0</v>
      </c>
      <c r="T161" s="131">
        <f t="shared" ref="T161:T166" si="83">IF(H161="実施済",S161*1,0)</f>
        <v>0</v>
      </c>
      <c r="U161" s="131">
        <f t="shared" ref="U161:U166" si="84">IF(I161="実施済",T161*1,0)</f>
        <v>0</v>
      </c>
      <c r="V161" s="260"/>
      <c r="W161" s="131" t="str">
        <f>IF(OR(E161="〇〇(合意形成対象者名に書き換え)",E161=""),"",SUM(S161,T161,U161))</f>
        <v/>
      </c>
      <c r="X161" s="131">
        <f t="shared" ref="X161:X166" si="85">MIN($W$161:$W$166)+1</f>
        <v>1</v>
      </c>
      <c r="Y161" s="131">
        <f>IF(E161="",1,IF(AND(E161="〇〇(合意形成対象者名に書き換え)",COUNTA($F161:$J161)=0),1,IF(AND(E161&lt;&gt;"〇〇(合意形成対象者名に書き換え)",COUNTA($F161:$J161)=5),1,0)))</f>
        <v>1</v>
      </c>
      <c r="Z161" s="131" t="str" cm="1">
        <f t="array" ref="Z161">_xlfn.IFS(X161=4,"A",X161=3,"B",X161=2,"C",X161=1,"D")</f>
        <v>D</v>
      </c>
      <c r="AA161" s="257"/>
    </row>
    <row r="162" spans="1:27">
      <c r="B162" s="97"/>
      <c r="C162" s="98"/>
      <c r="D162" s="99"/>
      <c r="E162" s="897" t="s">
        <v>129</v>
      </c>
      <c r="F162" s="448"/>
      <c r="G162" s="448"/>
      <c r="H162" s="447"/>
      <c r="I162" s="447"/>
      <c r="J162" s="448"/>
      <c r="K162" s="100"/>
      <c r="L162" s="11"/>
      <c r="R162" s="131">
        <f t="shared" si="81"/>
        <v>0</v>
      </c>
      <c r="S162" s="131">
        <f t="shared" si="82"/>
        <v>0</v>
      </c>
      <c r="T162" s="131">
        <f t="shared" si="83"/>
        <v>0</v>
      </c>
      <c r="U162" s="131">
        <f t="shared" si="84"/>
        <v>0</v>
      </c>
      <c r="V162" s="260"/>
      <c r="W162" s="131" t="str">
        <f t="shared" ref="W162:W166" si="86">IF(OR(E162="〇〇(合意形成対象者名に書き換え)",E162=""),"",SUM(S162,T162,U162))</f>
        <v/>
      </c>
      <c r="X162" s="131">
        <f t="shared" si="85"/>
        <v>1</v>
      </c>
      <c r="Y162" s="131">
        <f t="shared" ref="Y162:Y166" si="87">IF(E162="",1,IF(AND(E162="〇〇(合意形成対象者名に書き換え)",COUNTA($F162:$J162)=0),1,IF(AND(E162&lt;&gt;"〇〇(合意形成対象者名に書き換え)",COUNTA($F162:$J162)=5),1,0)))</f>
        <v>1</v>
      </c>
      <c r="Z162" s="131" t="str" cm="1">
        <f t="array" ref="Z162">_xlfn.IFS(X162=4,"A",X162=3,"B",X162=2,"C",X162=1,"D")</f>
        <v>D</v>
      </c>
      <c r="AA162" s="257"/>
    </row>
    <row r="163" spans="1:27">
      <c r="B163" s="97"/>
      <c r="C163" s="98"/>
      <c r="D163" s="99"/>
      <c r="E163" s="897" t="s">
        <v>129</v>
      </c>
      <c r="F163" s="443"/>
      <c r="G163" s="443"/>
      <c r="H163" s="449"/>
      <c r="I163" s="449"/>
      <c r="J163" s="443"/>
      <c r="K163" s="100"/>
      <c r="L163" s="11"/>
      <c r="R163" s="131">
        <f t="shared" si="81"/>
        <v>0</v>
      </c>
      <c r="S163" s="131">
        <f t="shared" si="82"/>
        <v>0</v>
      </c>
      <c r="T163" s="131">
        <f t="shared" si="83"/>
        <v>0</v>
      </c>
      <c r="U163" s="131">
        <f t="shared" si="84"/>
        <v>0</v>
      </c>
      <c r="V163" s="260"/>
      <c r="W163" s="131" t="str">
        <f t="shared" si="86"/>
        <v/>
      </c>
      <c r="X163" s="131">
        <f t="shared" si="85"/>
        <v>1</v>
      </c>
      <c r="Y163" s="131">
        <f t="shared" si="87"/>
        <v>1</v>
      </c>
      <c r="Z163" s="131" t="str" cm="1">
        <f t="array" ref="Z163">_xlfn.IFS(X163=4,"A",X163=3,"B",X163=2,"C",X163=1,"D")</f>
        <v>D</v>
      </c>
      <c r="AA163" s="257"/>
    </row>
    <row r="164" spans="1:27" s="101" customFormat="1">
      <c r="A164" s="11"/>
      <c r="B164" s="97"/>
      <c r="C164" s="98"/>
      <c r="D164" s="99"/>
      <c r="E164" s="897" t="s">
        <v>129</v>
      </c>
      <c r="F164" s="443"/>
      <c r="G164" s="443"/>
      <c r="H164" s="449"/>
      <c r="I164" s="449"/>
      <c r="J164" s="443"/>
      <c r="K164" s="100"/>
      <c r="L164" s="11"/>
      <c r="O164" s="11"/>
      <c r="P164" s="11"/>
      <c r="Q164" s="11"/>
      <c r="R164" s="131">
        <f t="shared" si="81"/>
        <v>0</v>
      </c>
      <c r="S164" s="131">
        <f t="shared" si="82"/>
        <v>0</v>
      </c>
      <c r="T164" s="131">
        <f t="shared" si="83"/>
        <v>0</v>
      </c>
      <c r="U164" s="131">
        <f t="shared" si="84"/>
        <v>0</v>
      </c>
      <c r="V164" s="260"/>
      <c r="W164" s="131" t="str">
        <f t="shared" si="86"/>
        <v/>
      </c>
      <c r="X164" s="131">
        <f t="shared" si="85"/>
        <v>1</v>
      </c>
      <c r="Y164" s="131">
        <f t="shared" si="87"/>
        <v>1</v>
      </c>
      <c r="Z164" s="131" t="str" cm="1">
        <f t="array" ref="Z164">_xlfn.IFS(X164=4,"A",X164=3,"B",X164=2,"C",X164=1,"D")</f>
        <v>D</v>
      </c>
      <c r="AA164" s="131"/>
    </row>
    <row r="165" spans="1:27" customFormat="1" ht="7.5" customHeight="1">
      <c r="B165" s="65"/>
      <c r="C165" s="4"/>
      <c r="D165" s="4"/>
      <c r="E165" s="290"/>
      <c r="F165" s="4"/>
      <c r="G165" s="4"/>
      <c r="H165" s="4"/>
      <c r="I165" s="4"/>
      <c r="J165" s="4"/>
      <c r="K165" s="9"/>
      <c r="L165" s="2"/>
      <c r="M165" s="2"/>
      <c r="N165" s="2"/>
      <c r="R165" s="131">
        <f t="shared" si="81"/>
        <v>0</v>
      </c>
      <c r="S165" s="131">
        <f t="shared" si="82"/>
        <v>0</v>
      </c>
      <c r="T165" s="131">
        <f t="shared" si="83"/>
        <v>0</v>
      </c>
      <c r="U165" s="131">
        <f t="shared" si="84"/>
        <v>0</v>
      </c>
      <c r="V165" s="260"/>
      <c r="W165" s="131" t="str">
        <f t="shared" si="86"/>
        <v/>
      </c>
      <c r="X165" s="131">
        <f t="shared" si="85"/>
        <v>1</v>
      </c>
      <c r="Y165" s="131">
        <f t="shared" si="87"/>
        <v>1</v>
      </c>
      <c r="Z165" s="131" t="str" cm="1">
        <f t="array" ref="Z165">_xlfn.IFS(X165=4,"A",X165=3,"B",X165=2,"C",X165=1,"D")</f>
        <v>D</v>
      </c>
      <c r="AA165" s="177"/>
    </row>
    <row r="166" spans="1:27" customFormat="1" ht="6" customHeight="1">
      <c r="E166" s="3"/>
      <c r="L166" s="2"/>
      <c r="M166" s="2"/>
      <c r="N166" s="2"/>
      <c r="R166" s="131">
        <f t="shared" si="81"/>
        <v>0</v>
      </c>
      <c r="S166" s="131">
        <f t="shared" si="82"/>
        <v>0</v>
      </c>
      <c r="T166" s="131">
        <f t="shared" si="83"/>
        <v>0</v>
      </c>
      <c r="U166" s="131">
        <f t="shared" si="84"/>
        <v>0</v>
      </c>
      <c r="V166" s="260"/>
      <c r="W166" s="131" t="str">
        <f t="shared" si="86"/>
        <v/>
      </c>
      <c r="X166" s="131">
        <f t="shared" si="85"/>
        <v>1</v>
      </c>
      <c r="Y166" s="131">
        <f t="shared" si="87"/>
        <v>1</v>
      </c>
      <c r="Z166" s="131" t="str" cm="1">
        <f t="array" ref="Z166">_xlfn.IFS(X166=4,"A",X166=3,"B",X166=2,"C",X166=1,"D")</f>
        <v>D</v>
      </c>
      <c r="AA166" s="177"/>
    </row>
    <row r="167" spans="1:27" customFormat="1" ht="103.5" customHeight="1">
      <c r="C167" s="78"/>
      <c r="D167" s="79"/>
      <c r="E167" s="71" t="s">
        <v>238</v>
      </c>
      <c r="F167" s="1057"/>
      <c r="G167" s="1057"/>
      <c r="H167" s="1057"/>
      <c r="I167" s="1057"/>
      <c r="J167" s="1057"/>
      <c r="K167" s="80" t="s">
        <v>132</v>
      </c>
      <c r="L167" s="80"/>
    </row>
    <row r="168" spans="1:27" customFormat="1" ht="146.25" customHeight="1">
      <c r="C168" s="75"/>
      <c r="D168" s="68"/>
      <c r="E168" s="71" t="s">
        <v>237</v>
      </c>
      <c r="F168" s="1057"/>
      <c r="G168" s="1057"/>
      <c r="H168" s="1057"/>
      <c r="I168" s="1057"/>
      <c r="J168" s="1057"/>
      <c r="L168" s="2"/>
      <c r="M168" s="2"/>
      <c r="N168" s="2"/>
    </row>
    <row r="169" spans="1:27" customFormat="1" ht="13.5" customHeight="1" thickBot="1">
      <c r="A169" s="81"/>
      <c r="B169" s="81"/>
      <c r="C169" s="81"/>
      <c r="D169" s="81"/>
      <c r="E169" s="313"/>
      <c r="F169" s="81"/>
      <c r="G169" s="81"/>
      <c r="H169" s="81"/>
      <c r="I169" s="81"/>
      <c r="J169" s="81"/>
      <c r="K169" s="81"/>
      <c r="L169" s="82"/>
      <c r="M169" s="2"/>
      <c r="N169" s="2"/>
    </row>
    <row r="170" spans="1:27" customFormat="1" ht="13.5" customHeight="1">
      <c r="E170" s="3"/>
      <c r="L170" s="2"/>
      <c r="M170" s="2"/>
      <c r="N170" s="2"/>
    </row>
    <row r="171" spans="1:27" customFormat="1" ht="15" customHeight="1">
      <c r="B171" s="10"/>
      <c r="C171" s="5"/>
      <c r="D171" s="5"/>
      <c r="E171" s="307"/>
      <c r="F171" s="5"/>
      <c r="G171" s="5"/>
      <c r="H171" s="5"/>
      <c r="I171" s="5"/>
      <c r="J171" s="5"/>
      <c r="K171" s="6"/>
      <c r="R171" s="11" t="str">
        <f>D172</f>
        <v>(選択してください)</v>
      </c>
    </row>
    <row r="172" spans="1:27" customFormat="1">
      <c r="B172" s="7"/>
      <c r="C172" s="77" t="str">
        <f ca="1">IFERROR(OFFSET('4.3民生部門電力以外の排出削減取組'!$C$1,MATCH(D172,'4.3民生部門電力以外の排出削減取組'!$E:$E,0)-1,0),"")</f>
        <v/>
      </c>
      <c r="D172" s="96" t="s">
        <v>130</v>
      </c>
      <c r="E172" s="72" t="s">
        <v>12</v>
      </c>
      <c r="F172" s="1063" t="str">
        <f ca="1">IFERROR(OFFSET('4.3民生部門電力以外の排出削減取組'!$G$1,MATCH($D172,'4.3民生部門電力以外の排出削減取組'!$E:$E,0)-1,0),"")</f>
        <v/>
      </c>
      <c r="G172" s="1063"/>
      <c r="H172" s="1063"/>
      <c r="I172" s="1063"/>
      <c r="J172" s="1063"/>
      <c r="K172" s="8"/>
      <c r="R172" s="257" t="str">
        <f ca="1">IFERROR(OFFSET('4.3民生部門電力以外の排出削減取組'!$G$1,MATCH($D172,'4.3民生部門電力以外の排出削減取組'!$E:$E,0)-1,0),"")</f>
        <v/>
      </c>
      <c r="S172" s="177"/>
      <c r="T172" s="177"/>
      <c r="U172" s="177"/>
      <c r="V172" s="177"/>
      <c r="W172" s="177"/>
      <c r="X172" s="177"/>
      <c r="Y172" s="177"/>
      <c r="Z172" s="177"/>
      <c r="AA172" s="177">
        <f ca="1">(F172=R172)*1</f>
        <v>1</v>
      </c>
    </row>
    <row r="173" spans="1:27" customFormat="1">
      <c r="B173" s="7"/>
      <c r="C173" s="74"/>
      <c r="D173" s="66"/>
      <c r="E173" s="72" t="s">
        <v>282</v>
      </c>
      <c r="F173" s="1080" t="str">
        <f ca="1">IFERROR(OFFSET('4.3民生部門電力以外の排出削減取組'!$H$1,MATCH($D172,'4.3民生部門電力以外の排出削減取組'!$E:$E,0)-1,0),"")</f>
        <v/>
      </c>
      <c r="G173" s="1080"/>
      <c r="H173" s="1080"/>
      <c r="I173" s="1080"/>
      <c r="J173" s="1080"/>
      <c r="K173" s="8"/>
      <c r="R173" s="177" t="str">
        <f ca="1">IFERROR(OFFSET('4.3民生部門電力以外の排出削減取組'!$H$1,MATCH($D172,'4.3民生部門電力以外の排出削減取組'!$E:$E,0)-1,0),"")</f>
        <v/>
      </c>
      <c r="S173" s="177"/>
      <c r="T173" s="177"/>
      <c r="U173" s="177"/>
      <c r="V173" s="177"/>
      <c r="W173" s="177"/>
      <c r="X173" s="177"/>
      <c r="Y173" s="177"/>
      <c r="Z173" s="177"/>
      <c r="AA173" s="177">
        <f t="shared" ref="AA173:AA174" ca="1" si="88">(F173=R173)*1</f>
        <v>1</v>
      </c>
    </row>
    <row r="174" spans="1:27" customFormat="1">
      <c r="B174" s="7"/>
      <c r="C174" s="74"/>
      <c r="D174" s="66"/>
      <c r="E174" s="72" t="s">
        <v>176</v>
      </c>
      <c r="F174" s="1063" t="str">
        <f>_xlfn.IFNA(R174,"")</f>
        <v/>
      </c>
      <c r="G174" s="1063"/>
      <c r="H174" s="1063"/>
      <c r="I174" s="1063"/>
      <c r="J174" s="1063"/>
      <c r="K174" s="8"/>
      <c r="R174" s="131" t="str">
        <f>IF(OR(COUNTIF($E176:$E181,"&lt;&gt;〇〇(合意形成対象者名に書き換え)")=3,COUNTIF($E176:$E181,"")&gt;3),"",IF(PRODUCT($Y176:$Y181)=1,Z176,""))</f>
        <v/>
      </c>
      <c r="S174" s="177"/>
      <c r="T174" s="177"/>
      <c r="U174" s="177"/>
      <c r="V174" s="177"/>
      <c r="W174" s="177"/>
      <c r="X174" s="177"/>
      <c r="Y174" s="177"/>
      <c r="Z174" s="177"/>
      <c r="AA174" s="177">
        <f t="shared" si="88"/>
        <v>1</v>
      </c>
    </row>
    <row r="175" spans="1:27" ht="63.75" customHeight="1">
      <c r="B175" s="97"/>
      <c r="C175" s="98"/>
      <c r="D175" s="99"/>
      <c r="E175" s="895"/>
      <c r="F175" s="315" t="s">
        <v>280</v>
      </c>
      <c r="G175" s="315" t="s">
        <v>270</v>
      </c>
      <c r="H175" s="315" t="s">
        <v>443</v>
      </c>
      <c r="I175" s="315" t="s">
        <v>445</v>
      </c>
      <c r="J175" s="315" t="s">
        <v>281</v>
      </c>
      <c r="K175" s="100"/>
      <c r="L175" s="11"/>
      <c r="R175" s="128" t="s">
        <v>280</v>
      </c>
      <c r="S175" s="128" t="s">
        <v>446</v>
      </c>
      <c r="T175" s="297" t="s">
        <v>443</v>
      </c>
      <c r="U175" s="297" t="s">
        <v>444</v>
      </c>
      <c r="V175" s="258" t="s">
        <v>272</v>
      </c>
      <c r="W175" s="128" t="s">
        <v>432</v>
      </c>
      <c r="X175" s="131" t="s">
        <v>408</v>
      </c>
      <c r="Y175" s="131" t="s">
        <v>436</v>
      </c>
      <c r="Z175" s="128" t="s">
        <v>431</v>
      </c>
      <c r="AA175" s="257"/>
    </row>
    <row r="176" spans="1:27" hidden="1">
      <c r="B176" s="97"/>
      <c r="C176" s="98"/>
      <c r="D176" s="99"/>
      <c r="E176" s="896"/>
      <c r="F176" s="441"/>
      <c r="G176" s="441"/>
      <c r="H176" s="445"/>
      <c r="I176" s="445"/>
      <c r="J176" s="441"/>
      <c r="K176" s="100"/>
      <c r="L176" s="11"/>
      <c r="R176" s="131">
        <f t="shared" ref="R176:R181" si="89">IF(F176="実施済",1,0)</f>
        <v>0</v>
      </c>
      <c r="S176" s="131">
        <f t="shared" ref="S176:S181" si="90">IF(G176="実施済",R176*1,0)</f>
        <v>0</v>
      </c>
      <c r="T176" s="131">
        <f t="shared" ref="T176:T181" si="91">IF(H176="実施済",S176*1,0)</f>
        <v>0</v>
      </c>
      <c r="U176" s="131">
        <f t="shared" ref="U176:U181" si="92">IF(I176="実施済",T176*1,0)</f>
        <v>0</v>
      </c>
      <c r="V176" s="260"/>
      <c r="W176" s="131" t="str">
        <f>IF(OR(E176="〇〇(合意形成対象者名に書き換え)",E176=""),"",SUM(S176,T176,U176))</f>
        <v/>
      </c>
      <c r="X176" s="131">
        <f t="shared" ref="X176:X181" si="93">MIN($W$176:$W$181)+1</f>
        <v>1</v>
      </c>
      <c r="Y176" s="131">
        <f>IF(E176="",1,IF(AND(E176="〇〇(合意形成対象者名に書き換え)",COUNTA($F176:$J176)=0),1,IF(AND(E176&lt;&gt;"〇〇(合意形成対象者名に書き換え)",COUNTA($F176:$J176)=5),1,0)))</f>
        <v>1</v>
      </c>
      <c r="Z176" s="131" t="str" cm="1">
        <f t="array" ref="Z176">_xlfn.IFS(X176=4,"A",X176=3,"B",X176=2,"C",X176=1,"D")</f>
        <v>D</v>
      </c>
      <c r="AA176" s="257"/>
    </row>
    <row r="177" spans="1:27">
      <c r="B177" s="97"/>
      <c r="C177" s="98"/>
      <c r="D177" s="99"/>
      <c r="E177" s="897" t="s">
        <v>129</v>
      </c>
      <c r="F177" s="448"/>
      <c r="G177" s="448"/>
      <c r="H177" s="447"/>
      <c r="I177" s="447"/>
      <c r="J177" s="448"/>
      <c r="K177" s="100"/>
      <c r="L177" s="11"/>
      <c r="R177" s="131">
        <f t="shared" si="89"/>
        <v>0</v>
      </c>
      <c r="S177" s="131">
        <f t="shared" si="90"/>
        <v>0</v>
      </c>
      <c r="T177" s="131">
        <f t="shared" si="91"/>
        <v>0</v>
      </c>
      <c r="U177" s="131">
        <f t="shared" si="92"/>
        <v>0</v>
      </c>
      <c r="V177" s="260"/>
      <c r="W177" s="131" t="str">
        <f t="shared" ref="W177:W181" si="94">IF(OR(E177="〇〇(合意形成対象者名に書き換え)",E177=""),"",SUM(S177,T177,U177))</f>
        <v/>
      </c>
      <c r="X177" s="131">
        <f t="shared" si="93"/>
        <v>1</v>
      </c>
      <c r="Y177" s="131">
        <f t="shared" ref="Y177:Y181" si="95">IF(E177="",1,IF(AND(E177="〇〇(合意形成対象者名に書き換え)",COUNTA($F177:$J177)=0),1,IF(AND(E177&lt;&gt;"〇〇(合意形成対象者名に書き換え)",COUNTA($F177:$J177)=5),1,0)))</f>
        <v>1</v>
      </c>
      <c r="Z177" s="131" t="str" cm="1">
        <f t="array" ref="Z177">_xlfn.IFS(X177=4,"A",X177=3,"B",X177=2,"C",X177=1,"D")</f>
        <v>D</v>
      </c>
      <c r="AA177" s="257"/>
    </row>
    <row r="178" spans="1:27">
      <c r="B178" s="97"/>
      <c r="C178" s="98"/>
      <c r="D178" s="99"/>
      <c r="E178" s="897" t="s">
        <v>129</v>
      </c>
      <c r="F178" s="443"/>
      <c r="G178" s="443"/>
      <c r="H178" s="449"/>
      <c r="I178" s="449"/>
      <c r="J178" s="443"/>
      <c r="K178" s="100"/>
      <c r="L178" s="11"/>
      <c r="R178" s="131">
        <f t="shared" si="89"/>
        <v>0</v>
      </c>
      <c r="S178" s="131">
        <f t="shared" si="90"/>
        <v>0</v>
      </c>
      <c r="T178" s="131">
        <f t="shared" si="91"/>
        <v>0</v>
      </c>
      <c r="U178" s="131">
        <f t="shared" si="92"/>
        <v>0</v>
      </c>
      <c r="V178" s="260"/>
      <c r="W178" s="131" t="str">
        <f t="shared" si="94"/>
        <v/>
      </c>
      <c r="X178" s="131">
        <f t="shared" si="93"/>
        <v>1</v>
      </c>
      <c r="Y178" s="131">
        <f t="shared" si="95"/>
        <v>1</v>
      </c>
      <c r="Z178" s="131" t="str" cm="1">
        <f t="array" ref="Z178">_xlfn.IFS(X178=4,"A",X178=3,"B",X178=2,"C",X178=1,"D")</f>
        <v>D</v>
      </c>
      <c r="AA178" s="257"/>
    </row>
    <row r="179" spans="1:27" s="101" customFormat="1">
      <c r="A179" s="11"/>
      <c r="B179" s="97"/>
      <c r="C179" s="98"/>
      <c r="D179" s="99"/>
      <c r="E179" s="897" t="s">
        <v>129</v>
      </c>
      <c r="F179" s="443"/>
      <c r="G179" s="443"/>
      <c r="H179" s="449"/>
      <c r="I179" s="449"/>
      <c r="J179" s="443"/>
      <c r="K179" s="100"/>
      <c r="L179" s="11"/>
      <c r="O179" s="11"/>
      <c r="P179" s="11"/>
      <c r="Q179" s="11"/>
      <c r="R179" s="131">
        <f t="shared" si="89"/>
        <v>0</v>
      </c>
      <c r="S179" s="131">
        <f t="shared" si="90"/>
        <v>0</v>
      </c>
      <c r="T179" s="131">
        <f t="shared" si="91"/>
        <v>0</v>
      </c>
      <c r="U179" s="131">
        <f t="shared" si="92"/>
        <v>0</v>
      </c>
      <c r="V179" s="260"/>
      <c r="W179" s="131" t="str">
        <f t="shared" si="94"/>
        <v/>
      </c>
      <c r="X179" s="131">
        <f t="shared" si="93"/>
        <v>1</v>
      </c>
      <c r="Y179" s="131">
        <f t="shared" si="95"/>
        <v>1</v>
      </c>
      <c r="Z179" s="131" t="str" cm="1">
        <f t="array" ref="Z179">_xlfn.IFS(X179=4,"A",X179=3,"B",X179=2,"C",X179=1,"D")</f>
        <v>D</v>
      </c>
      <c r="AA179" s="131"/>
    </row>
    <row r="180" spans="1:27" customFormat="1" ht="7.5" customHeight="1">
      <c r="B180" s="65"/>
      <c r="C180" s="4"/>
      <c r="D180" s="4"/>
      <c r="E180" s="290"/>
      <c r="F180" s="4"/>
      <c r="G180" s="4"/>
      <c r="H180" s="4"/>
      <c r="I180" s="4"/>
      <c r="J180" s="4"/>
      <c r="K180" s="9"/>
      <c r="L180" s="2"/>
      <c r="M180" s="2"/>
      <c r="N180" s="2"/>
      <c r="R180" s="131">
        <f t="shared" si="89"/>
        <v>0</v>
      </c>
      <c r="S180" s="131">
        <f t="shared" si="90"/>
        <v>0</v>
      </c>
      <c r="T180" s="131">
        <f t="shared" si="91"/>
        <v>0</v>
      </c>
      <c r="U180" s="131">
        <f t="shared" si="92"/>
        <v>0</v>
      </c>
      <c r="V180" s="260"/>
      <c r="W180" s="131" t="str">
        <f t="shared" si="94"/>
        <v/>
      </c>
      <c r="X180" s="131">
        <f t="shared" si="93"/>
        <v>1</v>
      </c>
      <c r="Y180" s="131">
        <f t="shared" si="95"/>
        <v>1</v>
      </c>
      <c r="Z180" s="131" t="str" cm="1">
        <f t="array" ref="Z180">_xlfn.IFS(X180=4,"A",X180=3,"B",X180=2,"C",X180=1,"D")</f>
        <v>D</v>
      </c>
      <c r="AA180" s="177"/>
    </row>
    <row r="181" spans="1:27" customFormat="1" ht="6" customHeight="1">
      <c r="E181" s="3"/>
      <c r="L181" s="2"/>
      <c r="M181" s="2"/>
      <c r="N181" s="2"/>
      <c r="R181" s="131">
        <f t="shared" si="89"/>
        <v>0</v>
      </c>
      <c r="S181" s="131">
        <f t="shared" si="90"/>
        <v>0</v>
      </c>
      <c r="T181" s="131">
        <f t="shared" si="91"/>
        <v>0</v>
      </c>
      <c r="U181" s="131">
        <f t="shared" si="92"/>
        <v>0</v>
      </c>
      <c r="V181" s="260"/>
      <c r="W181" s="131" t="str">
        <f t="shared" si="94"/>
        <v/>
      </c>
      <c r="X181" s="131">
        <f t="shared" si="93"/>
        <v>1</v>
      </c>
      <c r="Y181" s="131">
        <f t="shared" si="95"/>
        <v>1</v>
      </c>
      <c r="Z181" s="131" t="str" cm="1">
        <f t="array" ref="Z181">_xlfn.IFS(X181=4,"A",X181=3,"B",X181=2,"C",X181=1,"D")</f>
        <v>D</v>
      </c>
      <c r="AA181" s="177"/>
    </row>
    <row r="182" spans="1:27" customFormat="1" ht="103.5" customHeight="1">
      <c r="C182" s="78"/>
      <c r="D182" s="79"/>
      <c r="E182" s="71" t="s">
        <v>238</v>
      </c>
      <c r="F182" s="1057"/>
      <c r="G182" s="1057"/>
      <c r="H182" s="1057"/>
      <c r="I182" s="1057"/>
      <c r="J182" s="1057"/>
      <c r="K182" s="80" t="s">
        <v>132</v>
      </c>
      <c r="L182" s="80"/>
    </row>
    <row r="183" spans="1:27" customFormat="1" ht="146.25" customHeight="1">
      <c r="C183" s="75"/>
      <c r="D183" s="68"/>
      <c r="E183" s="71" t="s">
        <v>237</v>
      </c>
      <c r="F183" s="1057"/>
      <c r="G183" s="1057"/>
      <c r="H183" s="1057"/>
      <c r="I183" s="1057"/>
      <c r="J183" s="1057"/>
      <c r="L183" s="2"/>
      <c r="M183" s="2"/>
      <c r="N183" s="2"/>
    </row>
    <row r="184" spans="1:27" customFormat="1" ht="13.5" customHeight="1" thickBot="1">
      <c r="A184" s="81"/>
      <c r="B184" s="81"/>
      <c r="C184" s="81"/>
      <c r="D184" s="81"/>
      <c r="E184" s="313"/>
      <c r="F184" s="81"/>
      <c r="G184" s="81"/>
      <c r="H184" s="81"/>
      <c r="I184" s="81"/>
      <c r="J184" s="81"/>
      <c r="K184" s="81"/>
      <c r="L184" s="82"/>
      <c r="M184" s="2"/>
      <c r="N184" s="2"/>
    </row>
    <row r="185" spans="1:27" customFormat="1" ht="13.5" customHeight="1">
      <c r="E185" s="3"/>
      <c r="L185" s="2"/>
      <c r="M185" s="2"/>
      <c r="N185" s="2"/>
    </row>
    <row r="186" spans="1:27" customFormat="1" ht="15" customHeight="1">
      <c r="B186" s="10"/>
      <c r="C186" s="5"/>
      <c r="D186" s="5"/>
      <c r="E186" s="307"/>
      <c r="F186" s="5"/>
      <c r="G186" s="5"/>
      <c r="H186" s="5"/>
      <c r="I186" s="5"/>
      <c r="J186" s="5"/>
      <c r="K186" s="6"/>
      <c r="R186" s="11" t="str">
        <f>D187</f>
        <v>(選択してください)</v>
      </c>
    </row>
    <row r="187" spans="1:27" customFormat="1">
      <c r="B187" s="7"/>
      <c r="C187" s="77" t="str">
        <f ca="1">IFERROR(OFFSET('4.3民生部門電力以外の排出削減取組'!$C$1,MATCH(D187,'4.3民生部門電力以外の排出削減取組'!$E:$E,0)-1,0),"")</f>
        <v/>
      </c>
      <c r="D187" s="96" t="s">
        <v>130</v>
      </c>
      <c r="E187" s="72" t="s">
        <v>12</v>
      </c>
      <c r="F187" s="1063" t="str">
        <f ca="1">IFERROR(OFFSET('4.3民生部門電力以外の排出削減取組'!$G$1,MATCH($D187,'4.3民生部門電力以外の排出削減取組'!$E:$E,0)-1,0),"")</f>
        <v/>
      </c>
      <c r="G187" s="1063"/>
      <c r="H187" s="1063"/>
      <c r="I187" s="1063"/>
      <c r="J187" s="1063"/>
      <c r="K187" s="8"/>
      <c r="R187" s="257" t="str">
        <f ca="1">IFERROR(OFFSET('4.3民生部門電力以外の排出削減取組'!$G$1,MATCH($D187,'4.3民生部門電力以外の排出削減取組'!$E:$E,0)-1,0),"")</f>
        <v/>
      </c>
      <c r="S187" s="177"/>
      <c r="T187" s="177"/>
      <c r="U187" s="177"/>
      <c r="V187" s="177"/>
      <c r="W187" s="177"/>
      <c r="X187" s="177"/>
      <c r="Y187" s="177"/>
      <c r="Z187" s="177"/>
      <c r="AA187" s="177">
        <f ca="1">(F187=R187)*1</f>
        <v>1</v>
      </c>
    </row>
    <row r="188" spans="1:27" customFormat="1">
      <c r="B188" s="7"/>
      <c r="C188" s="74"/>
      <c r="D188" s="66"/>
      <c r="E188" s="72" t="s">
        <v>282</v>
      </c>
      <c r="F188" s="1080" t="str">
        <f ca="1">IFERROR(OFFSET('4.3民生部門電力以外の排出削減取組'!$H$1,MATCH($D187,'4.3民生部門電力以外の排出削減取組'!$E:$E,0)-1,0),"")</f>
        <v/>
      </c>
      <c r="G188" s="1080"/>
      <c r="H188" s="1080"/>
      <c r="I188" s="1080"/>
      <c r="J188" s="1080"/>
      <c r="K188" s="8"/>
      <c r="R188" s="177" t="str">
        <f ca="1">IFERROR(OFFSET('4.3民生部門電力以外の排出削減取組'!$H$1,MATCH($D187,'4.3民生部門電力以外の排出削減取組'!$E:$E,0)-1,0),"")</f>
        <v/>
      </c>
      <c r="S188" s="177"/>
      <c r="T188" s="177"/>
      <c r="U188" s="177"/>
      <c r="V188" s="177"/>
      <c r="W188" s="177"/>
      <c r="X188" s="177"/>
      <c r="Y188" s="177"/>
      <c r="Z188" s="177"/>
      <c r="AA188" s="177">
        <f t="shared" ref="AA188:AA189" ca="1" si="96">(F188=R188)*1</f>
        <v>1</v>
      </c>
    </row>
    <row r="189" spans="1:27" customFormat="1">
      <c r="B189" s="7"/>
      <c r="C189" s="74"/>
      <c r="D189" s="66"/>
      <c r="E189" s="72" t="s">
        <v>176</v>
      </c>
      <c r="F189" s="1063" t="str">
        <f>_xlfn.IFNA(R189,"")</f>
        <v/>
      </c>
      <c r="G189" s="1063"/>
      <c r="H189" s="1063"/>
      <c r="I189" s="1063"/>
      <c r="J189" s="1063"/>
      <c r="K189" s="8"/>
      <c r="R189" s="131" t="str">
        <f>IF(OR(COUNTIF($E191:$E196,"&lt;&gt;〇〇(合意形成対象者名に書き換え)")=3,COUNTIF($E191:$E196,"")&gt;3),"",IF(PRODUCT($Y191:$Y196)=1,Z191,""))</f>
        <v/>
      </c>
      <c r="S189" s="177"/>
      <c r="T189" s="177"/>
      <c r="U189" s="177"/>
      <c r="V189" s="177"/>
      <c r="W189" s="177"/>
      <c r="X189" s="177"/>
      <c r="Y189" s="177"/>
      <c r="Z189" s="177"/>
      <c r="AA189" s="177">
        <f t="shared" si="96"/>
        <v>1</v>
      </c>
    </row>
    <row r="190" spans="1:27" ht="63.75" customHeight="1">
      <c r="B190" s="97"/>
      <c r="C190" s="98"/>
      <c r="D190" s="99"/>
      <c r="E190" s="895"/>
      <c r="F190" s="315" t="s">
        <v>280</v>
      </c>
      <c r="G190" s="315" t="s">
        <v>270</v>
      </c>
      <c r="H190" s="315" t="s">
        <v>443</v>
      </c>
      <c r="I190" s="315" t="s">
        <v>445</v>
      </c>
      <c r="J190" s="315" t="s">
        <v>281</v>
      </c>
      <c r="K190" s="100"/>
      <c r="L190" s="11"/>
      <c r="R190" s="128" t="s">
        <v>280</v>
      </c>
      <c r="S190" s="128" t="s">
        <v>446</v>
      </c>
      <c r="T190" s="297" t="s">
        <v>443</v>
      </c>
      <c r="U190" s="297" t="s">
        <v>444</v>
      </c>
      <c r="V190" s="258" t="s">
        <v>272</v>
      </c>
      <c r="W190" s="128" t="s">
        <v>432</v>
      </c>
      <c r="X190" s="131" t="s">
        <v>408</v>
      </c>
      <c r="Y190" s="131" t="s">
        <v>436</v>
      </c>
      <c r="Z190" s="128" t="s">
        <v>431</v>
      </c>
      <c r="AA190" s="257"/>
    </row>
    <row r="191" spans="1:27" hidden="1">
      <c r="B191" s="97"/>
      <c r="C191" s="98"/>
      <c r="D191" s="99"/>
      <c r="E191" s="896"/>
      <c r="F191" s="441"/>
      <c r="G191" s="441"/>
      <c r="H191" s="445"/>
      <c r="I191" s="445"/>
      <c r="J191" s="441"/>
      <c r="K191" s="100"/>
      <c r="L191" s="11"/>
      <c r="R191" s="131">
        <f t="shared" ref="R191:R196" si="97">IF(F191="実施済",1,0)</f>
        <v>0</v>
      </c>
      <c r="S191" s="131">
        <f t="shared" ref="S191:S196" si="98">IF(G191="実施済",R191*1,0)</f>
        <v>0</v>
      </c>
      <c r="T191" s="131">
        <f t="shared" ref="T191:T196" si="99">IF(H191="実施済",S191*1,0)</f>
        <v>0</v>
      </c>
      <c r="U191" s="131">
        <f t="shared" ref="U191:U196" si="100">IF(I191="実施済",T191*1,0)</f>
        <v>0</v>
      </c>
      <c r="V191" s="260"/>
      <c r="W191" s="131" t="str">
        <f>IF(OR(E191="〇〇(合意形成対象者名に書き換え)",E191=""),"",SUM(S191,T191,U191))</f>
        <v/>
      </c>
      <c r="X191" s="131">
        <f t="shared" ref="X191:X196" si="101">MIN($W$191:$W$196)+1</f>
        <v>1</v>
      </c>
      <c r="Y191" s="131">
        <f>IF(E191="",1,IF(AND(E191="〇〇(合意形成対象者名に書き換え)",COUNTA($F191:$J191)=0),1,IF(AND(E191&lt;&gt;"〇〇(合意形成対象者名に書き換え)",COUNTA($F191:$J191)=5),1,0)))</f>
        <v>1</v>
      </c>
      <c r="Z191" s="131" t="str" cm="1">
        <f t="array" ref="Z191">_xlfn.IFS(X191=4,"A",X191=3,"B",X191=2,"C",X191=1,"D")</f>
        <v>D</v>
      </c>
      <c r="AA191" s="257"/>
    </row>
    <row r="192" spans="1:27">
      <c r="B192" s="97"/>
      <c r="C192" s="98"/>
      <c r="D192" s="99"/>
      <c r="E192" s="897" t="s">
        <v>129</v>
      </c>
      <c r="F192" s="448"/>
      <c r="G192" s="448"/>
      <c r="H192" s="447"/>
      <c r="I192" s="447"/>
      <c r="J192" s="448"/>
      <c r="K192" s="100"/>
      <c r="L192" s="11"/>
      <c r="R192" s="131">
        <f t="shared" si="97"/>
        <v>0</v>
      </c>
      <c r="S192" s="131">
        <f t="shared" si="98"/>
        <v>0</v>
      </c>
      <c r="T192" s="131">
        <f t="shared" si="99"/>
        <v>0</v>
      </c>
      <c r="U192" s="131">
        <f t="shared" si="100"/>
        <v>0</v>
      </c>
      <c r="V192" s="260"/>
      <c r="W192" s="131" t="str">
        <f t="shared" ref="W192:W196" si="102">IF(OR(E192="〇〇(合意形成対象者名に書き換え)",E192=""),"",SUM(S192,T192,U192))</f>
        <v/>
      </c>
      <c r="X192" s="131">
        <f t="shared" si="101"/>
        <v>1</v>
      </c>
      <c r="Y192" s="131">
        <f t="shared" ref="Y192:Y196" si="103">IF(E192="",1,IF(AND(E192="〇〇(合意形成対象者名に書き換え)",COUNTA($F192:$J192)=0),1,IF(AND(E192&lt;&gt;"〇〇(合意形成対象者名に書き換え)",COUNTA($F192:$J192)=5),1,0)))</f>
        <v>1</v>
      </c>
      <c r="Z192" s="131" t="str" cm="1">
        <f t="array" ref="Z192">_xlfn.IFS(X192=4,"A",X192=3,"B",X192=2,"C",X192=1,"D")</f>
        <v>D</v>
      </c>
      <c r="AA192" s="257"/>
    </row>
    <row r="193" spans="1:27">
      <c r="B193" s="97"/>
      <c r="C193" s="98"/>
      <c r="D193" s="99"/>
      <c r="E193" s="897" t="s">
        <v>129</v>
      </c>
      <c r="F193" s="443"/>
      <c r="G193" s="443"/>
      <c r="H193" s="449"/>
      <c r="I193" s="449"/>
      <c r="J193" s="443"/>
      <c r="K193" s="100"/>
      <c r="L193" s="11"/>
      <c r="R193" s="131">
        <f t="shared" si="97"/>
        <v>0</v>
      </c>
      <c r="S193" s="131">
        <f t="shared" si="98"/>
        <v>0</v>
      </c>
      <c r="T193" s="131">
        <f t="shared" si="99"/>
        <v>0</v>
      </c>
      <c r="U193" s="131">
        <f t="shared" si="100"/>
        <v>0</v>
      </c>
      <c r="V193" s="260"/>
      <c r="W193" s="131" t="str">
        <f t="shared" si="102"/>
        <v/>
      </c>
      <c r="X193" s="131">
        <f t="shared" si="101"/>
        <v>1</v>
      </c>
      <c r="Y193" s="131">
        <f t="shared" si="103"/>
        <v>1</v>
      </c>
      <c r="Z193" s="131" t="str" cm="1">
        <f t="array" ref="Z193">_xlfn.IFS(X193=4,"A",X193=3,"B",X193=2,"C",X193=1,"D")</f>
        <v>D</v>
      </c>
      <c r="AA193" s="257"/>
    </row>
    <row r="194" spans="1:27" s="101" customFormat="1">
      <c r="A194" s="11"/>
      <c r="B194" s="97"/>
      <c r="C194" s="98"/>
      <c r="D194" s="99"/>
      <c r="E194" s="897" t="s">
        <v>129</v>
      </c>
      <c r="F194" s="443"/>
      <c r="G194" s="443"/>
      <c r="H194" s="449"/>
      <c r="I194" s="449"/>
      <c r="J194" s="443"/>
      <c r="K194" s="100"/>
      <c r="L194" s="11"/>
      <c r="O194" s="11"/>
      <c r="P194" s="11"/>
      <c r="Q194" s="11"/>
      <c r="R194" s="131">
        <f t="shared" si="97"/>
        <v>0</v>
      </c>
      <c r="S194" s="131">
        <f t="shared" si="98"/>
        <v>0</v>
      </c>
      <c r="T194" s="131">
        <f t="shared" si="99"/>
        <v>0</v>
      </c>
      <c r="U194" s="131">
        <f t="shared" si="100"/>
        <v>0</v>
      </c>
      <c r="V194" s="260"/>
      <c r="W194" s="131" t="str">
        <f t="shared" si="102"/>
        <v/>
      </c>
      <c r="X194" s="131">
        <f t="shared" si="101"/>
        <v>1</v>
      </c>
      <c r="Y194" s="131">
        <f t="shared" si="103"/>
        <v>1</v>
      </c>
      <c r="Z194" s="131" t="str" cm="1">
        <f t="array" ref="Z194">_xlfn.IFS(X194=4,"A",X194=3,"B",X194=2,"C",X194=1,"D")</f>
        <v>D</v>
      </c>
      <c r="AA194" s="131"/>
    </row>
    <row r="195" spans="1:27" customFormat="1" ht="7.5" customHeight="1">
      <c r="B195" s="65"/>
      <c r="C195" s="4"/>
      <c r="D195" s="4"/>
      <c r="E195" s="290"/>
      <c r="F195" s="4"/>
      <c r="G195" s="4"/>
      <c r="H195" s="4"/>
      <c r="I195" s="4"/>
      <c r="J195" s="4"/>
      <c r="K195" s="9"/>
      <c r="L195" s="2"/>
      <c r="M195" s="2"/>
      <c r="N195" s="2"/>
      <c r="R195" s="131">
        <f t="shared" si="97"/>
        <v>0</v>
      </c>
      <c r="S195" s="131">
        <f t="shared" si="98"/>
        <v>0</v>
      </c>
      <c r="T195" s="131">
        <f t="shared" si="99"/>
        <v>0</v>
      </c>
      <c r="U195" s="131">
        <f t="shared" si="100"/>
        <v>0</v>
      </c>
      <c r="V195" s="260"/>
      <c r="W195" s="131" t="str">
        <f t="shared" si="102"/>
        <v/>
      </c>
      <c r="X195" s="131">
        <f t="shared" si="101"/>
        <v>1</v>
      </c>
      <c r="Y195" s="131">
        <f t="shared" si="103"/>
        <v>1</v>
      </c>
      <c r="Z195" s="131" t="str" cm="1">
        <f t="array" ref="Z195">_xlfn.IFS(X195=4,"A",X195=3,"B",X195=2,"C",X195=1,"D")</f>
        <v>D</v>
      </c>
      <c r="AA195" s="177"/>
    </row>
    <row r="196" spans="1:27" customFormat="1" ht="6" customHeight="1">
      <c r="E196" s="3"/>
      <c r="L196" s="2"/>
      <c r="M196" s="2"/>
      <c r="N196" s="2"/>
      <c r="R196" s="131">
        <f t="shared" si="97"/>
        <v>0</v>
      </c>
      <c r="S196" s="131">
        <f t="shared" si="98"/>
        <v>0</v>
      </c>
      <c r="T196" s="131">
        <f t="shared" si="99"/>
        <v>0</v>
      </c>
      <c r="U196" s="131">
        <f t="shared" si="100"/>
        <v>0</v>
      </c>
      <c r="V196" s="260"/>
      <c r="W196" s="131" t="str">
        <f t="shared" si="102"/>
        <v/>
      </c>
      <c r="X196" s="131">
        <f t="shared" si="101"/>
        <v>1</v>
      </c>
      <c r="Y196" s="131">
        <f t="shared" si="103"/>
        <v>1</v>
      </c>
      <c r="Z196" s="131" t="str" cm="1">
        <f t="array" ref="Z196">_xlfn.IFS(X196=4,"A",X196=3,"B",X196=2,"C",X196=1,"D")</f>
        <v>D</v>
      </c>
      <c r="AA196" s="177"/>
    </row>
    <row r="197" spans="1:27" customFormat="1" ht="103.5" customHeight="1">
      <c r="C197" s="78"/>
      <c r="D197" s="79"/>
      <c r="E197" s="71" t="s">
        <v>238</v>
      </c>
      <c r="F197" s="1057"/>
      <c r="G197" s="1057"/>
      <c r="H197" s="1057"/>
      <c r="I197" s="1057"/>
      <c r="J197" s="1057"/>
      <c r="K197" s="80" t="s">
        <v>132</v>
      </c>
      <c r="L197" s="80"/>
    </row>
    <row r="198" spans="1:27" customFormat="1" ht="146.25" customHeight="1">
      <c r="C198" s="75"/>
      <c r="D198" s="68"/>
      <c r="E198" s="71" t="s">
        <v>237</v>
      </c>
      <c r="F198" s="1057"/>
      <c r="G198" s="1057"/>
      <c r="H198" s="1057"/>
      <c r="I198" s="1057"/>
      <c r="J198" s="1057"/>
      <c r="L198" s="2"/>
      <c r="M198" s="2"/>
      <c r="N198" s="2"/>
    </row>
    <row r="199" spans="1:27" customFormat="1" ht="13.5" customHeight="1" thickBot="1">
      <c r="A199" s="81"/>
      <c r="B199" s="81"/>
      <c r="C199" s="81"/>
      <c r="D199" s="81"/>
      <c r="E199" s="313"/>
      <c r="F199" s="81"/>
      <c r="G199" s="81"/>
      <c r="H199" s="81"/>
      <c r="I199" s="81"/>
      <c r="J199" s="81"/>
      <c r="K199" s="81"/>
      <c r="L199" s="82"/>
      <c r="M199" s="2"/>
      <c r="N199" s="2"/>
    </row>
    <row r="200" spans="1:27" customFormat="1" ht="13.5" customHeight="1">
      <c r="E200" s="3"/>
      <c r="L200" s="2"/>
      <c r="M200" s="2"/>
      <c r="N200" s="2"/>
    </row>
    <row r="201" spans="1:27" customFormat="1" ht="15" customHeight="1">
      <c r="B201" s="10"/>
      <c r="C201" s="5"/>
      <c r="D201" s="5"/>
      <c r="E201" s="307"/>
      <c r="F201" s="5"/>
      <c r="G201" s="5"/>
      <c r="H201" s="5"/>
      <c r="I201" s="5"/>
      <c r="J201" s="5"/>
      <c r="K201" s="6"/>
      <c r="R201" s="11" t="str">
        <f>D202</f>
        <v>(選択してください)</v>
      </c>
    </row>
    <row r="202" spans="1:27" customFormat="1">
      <c r="B202" s="7"/>
      <c r="C202" s="77" t="str">
        <f ca="1">IFERROR(OFFSET('4.3民生部門電力以外の排出削減取組'!$C$1,MATCH(D202,'4.3民生部門電力以外の排出削減取組'!$E:$E,0)-1,0),"")</f>
        <v/>
      </c>
      <c r="D202" s="96" t="s">
        <v>130</v>
      </c>
      <c r="E202" s="72" t="s">
        <v>12</v>
      </c>
      <c r="F202" s="1063" t="str">
        <f ca="1">IFERROR(OFFSET('4.3民生部門電力以外の排出削減取組'!$G$1,MATCH($D202,'4.3民生部門電力以外の排出削減取組'!$E:$E,0)-1,0),"")</f>
        <v/>
      </c>
      <c r="G202" s="1063"/>
      <c r="H202" s="1063"/>
      <c r="I202" s="1063"/>
      <c r="J202" s="1063"/>
      <c r="K202" s="8"/>
      <c r="R202" s="257" t="str">
        <f ca="1">IFERROR(OFFSET('4.3民生部門電力以外の排出削減取組'!$G$1,MATCH($D202,'4.3民生部門電力以外の排出削減取組'!$E:$E,0)-1,0),"")</f>
        <v/>
      </c>
      <c r="S202" s="177"/>
      <c r="T202" s="177"/>
      <c r="U202" s="177"/>
      <c r="V202" s="177"/>
      <c r="W202" s="177"/>
      <c r="X202" s="177"/>
      <c r="Y202" s="177"/>
      <c r="Z202" s="177"/>
      <c r="AA202" s="177">
        <f ca="1">(F202=R202)*1</f>
        <v>1</v>
      </c>
    </row>
    <row r="203" spans="1:27" customFormat="1">
      <c r="B203" s="7"/>
      <c r="C203" s="74"/>
      <c r="D203" s="66"/>
      <c r="E203" s="72" t="s">
        <v>282</v>
      </c>
      <c r="F203" s="1080" t="str">
        <f ca="1">IFERROR(OFFSET('4.3民生部門電力以外の排出削減取組'!$H$1,MATCH($D202,'4.3民生部門電力以外の排出削減取組'!$E:$E,0)-1,0),"")</f>
        <v/>
      </c>
      <c r="G203" s="1080"/>
      <c r="H203" s="1080"/>
      <c r="I203" s="1080"/>
      <c r="J203" s="1080"/>
      <c r="K203" s="8"/>
      <c r="R203" s="177" t="str">
        <f ca="1">IFERROR(OFFSET('4.3民生部門電力以外の排出削減取組'!$H$1,MATCH($D202,'4.3民生部門電力以外の排出削減取組'!$E:$E,0)-1,0),"")</f>
        <v/>
      </c>
      <c r="S203" s="177"/>
      <c r="T203" s="177"/>
      <c r="U203" s="177"/>
      <c r="V203" s="177"/>
      <c r="W203" s="177"/>
      <c r="X203" s="177"/>
      <c r="Y203" s="177"/>
      <c r="Z203" s="177"/>
      <c r="AA203" s="177">
        <f t="shared" ref="AA203:AA204" ca="1" si="104">(F203=R203)*1</f>
        <v>1</v>
      </c>
    </row>
    <row r="204" spans="1:27" customFormat="1">
      <c r="B204" s="7"/>
      <c r="C204" s="74"/>
      <c r="D204" s="66"/>
      <c r="E204" s="72" t="s">
        <v>176</v>
      </c>
      <c r="F204" s="1063" t="str">
        <f>_xlfn.IFNA(R204,"")</f>
        <v/>
      </c>
      <c r="G204" s="1063"/>
      <c r="H204" s="1063"/>
      <c r="I204" s="1063"/>
      <c r="J204" s="1063"/>
      <c r="K204" s="8"/>
      <c r="R204" s="131" t="str">
        <f>IF(OR(COUNTIF($E206:$E211,"&lt;&gt;〇〇(合意形成対象者名に書き換え)")=3,COUNTIF($E206:$E211,"")&gt;3),"",IF(PRODUCT($Y206:$Y211)=1,Z206,""))</f>
        <v/>
      </c>
      <c r="S204" s="177"/>
      <c r="T204" s="177"/>
      <c r="U204" s="177"/>
      <c r="V204" s="177"/>
      <c r="W204" s="177"/>
      <c r="X204" s="177"/>
      <c r="Y204" s="177"/>
      <c r="Z204" s="177"/>
      <c r="AA204" s="177">
        <f t="shared" si="104"/>
        <v>1</v>
      </c>
    </row>
    <row r="205" spans="1:27" ht="63.75" customHeight="1">
      <c r="B205" s="97"/>
      <c r="C205" s="98"/>
      <c r="D205" s="99"/>
      <c r="E205" s="895"/>
      <c r="F205" s="315" t="s">
        <v>280</v>
      </c>
      <c r="G205" s="315" t="s">
        <v>270</v>
      </c>
      <c r="H205" s="315" t="s">
        <v>443</v>
      </c>
      <c r="I205" s="315" t="s">
        <v>445</v>
      </c>
      <c r="J205" s="315" t="s">
        <v>281</v>
      </c>
      <c r="K205" s="100"/>
      <c r="L205" s="11"/>
      <c r="R205" s="128" t="s">
        <v>280</v>
      </c>
      <c r="S205" s="128" t="s">
        <v>446</v>
      </c>
      <c r="T205" s="297" t="s">
        <v>443</v>
      </c>
      <c r="U205" s="297" t="s">
        <v>444</v>
      </c>
      <c r="V205" s="258" t="s">
        <v>272</v>
      </c>
      <c r="W205" s="128" t="s">
        <v>432</v>
      </c>
      <c r="X205" s="131" t="s">
        <v>408</v>
      </c>
      <c r="Y205" s="131" t="s">
        <v>436</v>
      </c>
      <c r="Z205" s="128" t="s">
        <v>431</v>
      </c>
      <c r="AA205" s="257"/>
    </row>
    <row r="206" spans="1:27" hidden="1">
      <c r="B206" s="97"/>
      <c r="C206" s="98"/>
      <c r="D206" s="99"/>
      <c r="E206" s="896"/>
      <c r="F206" s="441"/>
      <c r="G206" s="441"/>
      <c r="H206" s="445"/>
      <c r="I206" s="445"/>
      <c r="J206" s="441"/>
      <c r="K206" s="100"/>
      <c r="L206" s="11"/>
      <c r="R206" s="131">
        <f t="shared" ref="R206:R211" si="105">IF(F206="実施済",1,0)</f>
        <v>0</v>
      </c>
      <c r="S206" s="131">
        <f t="shared" ref="S206:S211" si="106">IF(G206="実施済",R206*1,0)</f>
        <v>0</v>
      </c>
      <c r="T206" s="131">
        <f t="shared" ref="T206:T211" si="107">IF(H206="実施済",S206*1,0)</f>
        <v>0</v>
      </c>
      <c r="U206" s="131">
        <f t="shared" ref="U206:U211" si="108">IF(I206="実施済",T206*1,0)</f>
        <v>0</v>
      </c>
      <c r="V206" s="260"/>
      <c r="W206" s="131" t="str">
        <f>IF(OR(E206="〇〇(合意形成対象者名に書き換え)",E206=""),"",SUM(S206,T206,U206))</f>
        <v/>
      </c>
      <c r="X206" s="131">
        <f t="shared" ref="X206:X211" si="109">MIN($W$206:$W$211)+1</f>
        <v>1</v>
      </c>
      <c r="Y206" s="131">
        <f>IF(E206="",1,IF(AND(E206="〇〇(合意形成対象者名に書き換え)",COUNTA($F206:$J206)=0),1,IF(AND(E206&lt;&gt;"〇〇(合意形成対象者名に書き換え)",COUNTA($F206:$J206)=5),1,0)))</f>
        <v>1</v>
      </c>
      <c r="Z206" s="131" t="str" cm="1">
        <f t="array" ref="Z206">_xlfn.IFS(X206=4,"A",X206=3,"B",X206=2,"C",X206=1,"D")</f>
        <v>D</v>
      </c>
      <c r="AA206" s="257"/>
    </row>
    <row r="207" spans="1:27">
      <c r="B207" s="97"/>
      <c r="C207" s="98"/>
      <c r="D207" s="99"/>
      <c r="E207" s="897" t="s">
        <v>129</v>
      </c>
      <c r="F207" s="448"/>
      <c r="G207" s="448"/>
      <c r="H207" s="447"/>
      <c r="I207" s="447"/>
      <c r="J207" s="448"/>
      <c r="K207" s="100"/>
      <c r="L207" s="11"/>
      <c r="R207" s="131">
        <f t="shared" si="105"/>
        <v>0</v>
      </c>
      <c r="S207" s="131">
        <f t="shared" si="106"/>
        <v>0</v>
      </c>
      <c r="T207" s="131">
        <f t="shared" si="107"/>
        <v>0</v>
      </c>
      <c r="U207" s="131">
        <f t="shared" si="108"/>
        <v>0</v>
      </c>
      <c r="V207" s="260"/>
      <c r="W207" s="131" t="str">
        <f t="shared" ref="W207:W211" si="110">IF(OR(E207="〇〇(合意形成対象者名に書き換え)",E207=""),"",SUM(S207,T207,U207))</f>
        <v/>
      </c>
      <c r="X207" s="131">
        <f t="shared" si="109"/>
        <v>1</v>
      </c>
      <c r="Y207" s="131">
        <f t="shared" ref="Y207:Y211" si="111">IF(E207="",1,IF(AND(E207="〇〇(合意形成対象者名に書き換え)",COUNTA($F207:$J207)=0),1,IF(AND(E207&lt;&gt;"〇〇(合意形成対象者名に書き換え)",COUNTA($F207:$J207)=5),1,0)))</f>
        <v>1</v>
      </c>
      <c r="Z207" s="131" t="str" cm="1">
        <f t="array" ref="Z207">_xlfn.IFS(X207=4,"A",X207=3,"B",X207=2,"C",X207=1,"D")</f>
        <v>D</v>
      </c>
      <c r="AA207" s="257"/>
    </row>
    <row r="208" spans="1:27">
      <c r="B208" s="97"/>
      <c r="C208" s="98"/>
      <c r="D208" s="99"/>
      <c r="E208" s="897" t="s">
        <v>129</v>
      </c>
      <c r="F208" s="443"/>
      <c r="G208" s="443"/>
      <c r="H208" s="449"/>
      <c r="I208" s="449"/>
      <c r="J208" s="443"/>
      <c r="K208" s="100"/>
      <c r="L208" s="11"/>
      <c r="R208" s="131">
        <f t="shared" si="105"/>
        <v>0</v>
      </c>
      <c r="S208" s="131">
        <f t="shared" si="106"/>
        <v>0</v>
      </c>
      <c r="T208" s="131">
        <f t="shared" si="107"/>
        <v>0</v>
      </c>
      <c r="U208" s="131">
        <f t="shared" si="108"/>
        <v>0</v>
      </c>
      <c r="V208" s="260"/>
      <c r="W208" s="131" t="str">
        <f t="shared" si="110"/>
        <v/>
      </c>
      <c r="X208" s="131">
        <f t="shared" si="109"/>
        <v>1</v>
      </c>
      <c r="Y208" s="131">
        <f t="shared" si="111"/>
        <v>1</v>
      </c>
      <c r="Z208" s="131" t="str" cm="1">
        <f t="array" ref="Z208">_xlfn.IFS(X208=4,"A",X208=3,"B",X208=2,"C",X208=1,"D")</f>
        <v>D</v>
      </c>
      <c r="AA208" s="257"/>
    </row>
    <row r="209" spans="1:27" s="101" customFormat="1">
      <c r="A209" s="11"/>
      <c r="B209" s="97"/>
      <c r="C209" s="98"/>
      <c r="D209" s="99"/>
      <c r="E209" s="897" t="s">
        <v>129</v>
      </c>
      <c r="F209" s="443"/>
      <c r="G209" s="443"/>
      <c r="H209" s="449"/>
      <c r="I209" s="449"/>
      <c r="J209" s="443"/>
      <c r="K209" s="100"/>
      <c r="L209" s="11"/>
      <c r="O209" s="11"/>
      <c r="P209" s="11"/>
      <c r="Q209" s="11"/>
      <c r="R209" s="131">
        <f t="shared" si="105"/>
        <v>0</v>
      </c>
      <c r="S209" s="131">
        <f t="shared" si="106"/>
        <v>0</v>
      </c>
      <c r="T209" s="131">
        <f t="shared" si="107"/>
        <v>0</v>
      </c>
      <c r="U209" s="131">
        <f t="shared" si="108"/>
        <v>0</v>
      </c>
      <c r="V209" s="260"/>
      <c r="W209" s="131" t="str">
        <f t="shared" si="110"/>
        <v/>
      </c>
      <c r="X209" s="131">
        <f t="shared" si="109"/>
        <v>1</v>
      </c>
      <c r="Y209" s="131">
        <f t="shared" si="111"/>
        <v>1</v>
      </c>
      <c r="Z209" s="131" t="str" cm="1">
        <f t="array" ref="Z209">_xlfn.IFS(X209=4,"A",X209=3,"B",X209=2,"C",X209=1,"D")</f>
        <v>D</v>
      </c>
      <c r="AA209" s="131"/>
    </row>
    <row r="210" spans="1:27" customFormat="1" ht="7.5" customHeight="1">
      <c r="B210" s="65"/>
      <c r="C210" s="4"/>
      <c r="D210" s="4"/>
      <c r="E210" s="290"/>
      <c r="F210" s="4"/>
      <c r="G210" s="4"/>
      <c r="H210" s="4"/>
      <c r="I210" s="4"/>
      <c r="J210" s="4"/>
      <c r="K210" s="9"/>
      <c r="L210" s="2"/>
      <c r="M210" s="2"/>
      <c r="N210" s="2"/>
      <c r="R210" s="131">
        <f t="shared" si="105"/>
        <v>0</v>
      </c>
      <c r="S210" s="131">
        <f t="shared" si="106"/>
        <v>0</v>
      </c>
      <c r="T210" s="131">
        <f t="shared" si="107"/>
        <v>0</v>
      </c>
      <c r="U210" s="131">
        <f t="shared" si="108"/>
        <v>0</v>
      </c>
      <c r="V210" s="260"/>
      <c r="W210" s="131" t="str">
        <f t="shared" si="110"/>
        <v/>
      </c>
      <c r="X210" s="131">
        <f t="shared" si="109"/>
        <v>1</v>
      </c>
      <c r="Y210" s="131">
        <f t="shared" si="111"/>
        <v>1</v>
      </c>
      <c r="Z210" s="131" t="str" cm="1">
        <f t="array" ref="Z210">_xlfn.IFS(X210=4,"A",X210=3,"B",X210=2,"C",X210=1,"D")</f>
        <v>D</v>
      </c>
      <c r="AA210" s="177"/>
    </row>
    <row r="211" spans="1:27" customFormat="1" ht="6" customHeight="1">
      <c r="E211" s="3"/>
      <c r="L211" s="2"/>
      <c r="M211" s="2"/>
      <c r="N211" s="2"/>
      <c r="R211" s="131">
        <f t="shared" si="105"/>
        <v>0</v>
      </c>
      <c r="S211" s="131">
        <f t="shared" si="106"/>
        <v>0</v>
      </c>
      <c r="T211" s="131">
        <f t="shared" si="107"/>
        <v>0</v>
      </c>
      <c r="U211" s="131">
        <f t="shared" si="108"/>
        <v>0</v>
      </c>
      <c r="V211" s="260"/>
      <c r="W211" s="131" t="str">
        <f t="shared" si="110"/>
        <v/>
      </c>
      <c r="X211" s="131">
        <f t="shared" si="109"/>
        <v>1</v>
      </c>
      <c r="Y211" s="131">
        <f t="shared" si="111"/>
        <v>1</v>
      </c>
      <c r="Z211" s="131" t="str" cm="1">
        <f t="array" ref="Z211">_xlfn.IFS(X211=4,"A",X211=3,"B",X211=2,"C",X211=1,"D")</f>
        <v>D</v>
      </c>
      <c r="AA211" s="177"/>
    </row>
    <row r="212" spans="1:27" customFormat="1" ht="103.5" customHeight="1">
      <c r="C212" s="78"/>
      <c r="D212" s="79"/>
      <c r="E212" s="71" t="s">
        <v>238</v>
      </c>
      <c r="F212" s="1057"/>
      <c r="G212" s="1057"/>
      <c r="H212" s="1057"/>
      <c r="I212" s="1057"/>
      <c r="J212" s="1057"/>
      <c r="K212" s="80" t="s">
        <v>132</v>
      </c>
      <c r="L212" s="80"/>
    </row>
    <row r="213" spans="1:27" customFormat="1" ht="146.25" customHeight="1">
      <c r="C213" s="75"/>
      <c r="D213" s="68"/>
      <c r="E213" s="71" t="s">
        <v>237</v>
      </c>
      <c r="F213" s="1057"/>
      <c r="G213" s="1057"/>
      <c r="H213" s="1057"/>
      <c r="I213" s="1057"/>
      <c r="J213" s="1057"/>
      <c r="L213" s="2"/>
      <c r="M213" s="2"/>
      <c r="N213" s="2"/>
    </row>
    <row r="214" spans="1:27" customFormat="1" ht="13.5" customHeight="1" thickBot="1">
      <c r="A214" s="81"/>
      <c r="B214" s="81"/>
      <c r="C214" s="81"/>
      <c r="D214" s="81"/>
      <c r="E214" s="313"/>
      <c r="F214" s="81"/>
      <c r="G214" s="81"/>
      <c r="H214" s="81"/>
      <c r="I214" s="81"/>
      <c r="J214" s="81"/>
      <c r="K214" s="81"/>
      <c r="L214" s="82"/>
      <c r="M214" s="2"/>
      <c r="N214" s="2"/>
    </row>
    <row r="215" spans="1:27" customFormat="1" ht="13.5" customHeight="1">
      <c r="E215" s="3"/>
      <c r="L215" s="2"/>
      <c r="M215" s="2"/>
      <c r="N215" s="2"/>
    </row>
    <row r="216" spans="1:27" customFormat="1" ht="15" customHeight="1">
      <c r="B216" s="10"/>
      <c r="C216" s="5"/>
      <c r="D216" s="5"/>
      <c r="E216" s="307"/>
      <c r="F216" s="5"/>
      <c r="G216" s="5"/>
      <c r="H216" s="5"/>
      <c r="I216" s="5"/>
      <c r="J216" s="5"/>
      <c r="K216" s="6"/>
      <c r="R216" s="11" t="str">
        <f>D217</f>
        <v>(選択してください)</v>
      </c>
    </row>
    <row r="217" spans="1:27" customFormat="1">
      <c r="B217" s="7"/>
      <c r="C217" s="77" t="str">
        <f ca="1">IFERROR(OFFSET('4.3民生部門電力以外の排出削減取組'!$C$1,MATCH(D217,'4.3民生部門電力以外の排出削減取組'!$E:$E,0)-1,0),"")</f>
        <v/>
      </c>
      <c r="D217" s="96" t="s">
        <v>130</v>
      </c>
      <c r="E217" s="72" t="s">
        <v>12</v>
      </c>
      <c r="F217" s="1063" t="str">
        <f ca="1">IFERROR(OFFSET('4.3民生部門電力以外の排出削減取組'!$G$1,MATCH($D217,'4.3民生部門電力以外の排出削減取組'!$E:$E,0)-1,0),"")</f>
        <v/>
      </c>
      <c r="G217" s="1063"/>
      <c r="H217" s="1063"/>
      <c r="I217" s="1063"/>
      <c r="J217" s="1063"/>
      <c r="K217" s="8"/>
      <c r="R217" s="257" t="str">
        <f ca="1">IFERROR(OFFSET('4.3民生部門電力以外の排出削減取組'!$G$1,MATCH($D217,'4.3民生部門電力以外の排出削減取組'!$E:$E,0)-1,0),"")</f>
        <v/>
      </c>
      <c r="S217" s="177"/>
      <c r="T217" s="177"/>
      <c r="U217" s="177"/>
      <c r="V217" s="177"/>
      <c r="W217" s="177"/>
      <c r="X217" s="177"/>
      <c r="Y217" s="177"/>
      <c r="Z217" s="177"/>
      <c r="AA217" s="177">
        <f ca="1">(F217=R217)*1</f>
        <v>1</v>
      </c>
    </row>
    <row r="218" spans="1:27" customFormat="1">
      <c r="B218" s="7"/>
      <c r="C218" s="74"/>
      <c r="D218" s="66"/>
      <c r="E218" s="72" t="s">
        <v>282</v>
      </c>
      <c r="F218" s="1080" t="str">
        <f ca="1">IFERROR(OFFSET('4.3民生部門電力以外の排出削減取組'!$H$1,MATCH($D217,'4.3民生部門電力以外の排出削減取組'!$E:$E,0)-1,0),"")</f>
        <v/>
      </c>
      <c r="G218" s="1080"/>
      <c r="H218" s="1080"/>
      <c r="I218" s="1080"/>
      <c r="J218" s="1080"/>
      <c r="K218" s="8"/>
      <c r="R218" s="177" t="str">
        <f ca="1">IFERROR(OFFSET('4.3民生部門電力以外の排出削減取組'!$H$1,MATCH($D217,'4.3民生部門電力以外の排出削減取組'!$E:$E,0)-1,0),"")</f>
        <v/>
      </c>
      <c r="S218" s="177"/>
      <c r="T218" s="177"/>
      <c r="U218" s="177"/>
      <c r="V218" s="177"/>
      <c r="W218" s="177"/>
      <c r="X218" s="177"/>
      <c r="Y218" s="177"/>
      <c r="Z218" s="177"/>
      <c r="AA218" s="177">
        <f t="shared" ref="AA218:AA219" ca="1" si="112">(F218=R218)*1</f>
        <v>1</v>
      </c>
    </row>
    <row r="219" spans="1:27" customFormat="1">
      <c r="B219" s="7"/>
      <c r="C219" s="74"/>
      <c r="D219" s="66"/>
      <c r="E219" s="72" t="s">
        <v>176</v>
      </c>
      <c r="F219" s="1063" t="str">
        <f>_xlfn.IFNA(R219,"")</f>
        <v/>
      </c>
      <c r="G219" s="1063"/>
      <c r="H219" s="1063"/>
      <c r="I219" s="1063"/>
      <c r="J219" s="1063"/>
      <c r="K219" s="8"/>
      <c r="R219" s="131" t="str">
        <f>IF(OR(COUNTIF($E221:$E226,"&lt;&gt;〇〇(合意形成対象者名に書き換え)")=3,COUNTIF($E221:$E226,"")&gt;3),"",IF(PRODUCT($Y221:$Y226)=1,Z221,""))</f>
        <v/>
      </c>
      <c r="S219" s="177"/>
      <c r="T219" s="177"/>
      <c r="U219" s="177"/>
      <c r="V219" s="177"/>
      <c r="W219" s="177"/>
      <c r="X219" s="177"/>
      <c r="Y219" s="177"/>
      <c r="Z219" s="177"/>
      <c r="AA219" s="177">
        <f t="shared" si="112"/>
        <v>1</v>
      </c>
    </row>
    <row r="220" spans="1:27" ht="63.75" customHeight="1">
      <c r="B220" s="97"/>
      <c r="C220" s="98"/>
      <c r="D220" s="99"/>
      <c r="E220" s="895"/>
      <c r="F220" s="315" t="s">
        <v>280</v>
      </c>
      <c r="G220" s="315" t="s">
        <v>270</v>
      </c>
      <c r="H220" s="315" t="s">
        <v>443</v>
      </c>
      <c r="I220" s="315" t="s">
        <v>445</v>
      </c>
      <c r="J220" s="315" t="s">
        <v>281</v>
      </c>
      <c r="K220" s="100"/>
      <c r="L220" s="11"/>
      <c r="R220" s="128" t="s">
        <v>280</v>
      </c>
      <c r="S220" s="128" t="s">
        <v>446</v>
      </c>
      <c r="T220" s="297" t="s">
        <v>443</v>
      </c>
      <c r="U220" s="297" t="s">
        <v>444</v>
      </c>
      <c r="V220" s="258" t="s">
        <v>272</v>
      </c>
      <c r="W220" s="128" t="s">
        <v>432</v>
      </c>
      <c r="X220" s="131" t="s">
        <v>408</v>
      </c>
      <c r="Y220" s="131" t="s">
        <v>436</v>
      </c>
      <c r="Z220" s="128" t="s">
        <v>431</v>
      </c>
      <c r="AA220" s="257"/>
    </row>
    <row r="221" spans="1:27" hidden="1">
      <c r="B221" s="97"/>
      <c r="C221" s="98"/>
      <c r="D221" s="99"/>
      <c r="E221" s="896"/>
      <c r="F221" s="441"/>
      <c r="G221" s="441"/>
      <c r="H221" s="445"/>
      <c r="I221" s="445"/>
      <c r="J221" s="441"/>
      <c r="K221" s="100"/>
      <c r="L221" s="11"/>
      <c r="R221" s="131">
        <f t="shared" ref="R221:R226" si="113">IF(F221="実施済",1,0)</f>
        <v>0</v>
      </c>
      <c r="S221" s="131">
        <f t="shared" ref="S221:S226" si="114">IF(G221="実施済",R221*1,0)</f>
        <v>0</v>
      </c>
      <c r="T221" s="131">
        <f t="shared" ref="T221:T226" si="115">IF(H221="実施済",S221*1,0)</f>
        <v>0</v>
      </c>
      <c r="U221" s="131">
        <f t="shared" ref="U221:U226" si="116">IF(I221="実施済",T221*1,0)</f>
        <v>0</v>
      </c>
      <c r="V221" s="260"/>
      <c r="W221" s="131" t="str">
        <f>IF(OR(E221="〇〇(合意形成対象者名に書き換え)",E221=""),"",SUM(S221,T221,U221))</f>
        <v/>
      </c>
      <c r="X221" s="131">
        <f t="shared" ref="X221:X226" si="117">MIN($W$221:$W$226)+1</f>
        <v>1</v>
      </c>
      <c r="Y221" s="131">
        <f>IF(E221="",1,IF(AND(E221="〇〇(合意形成対象者名に書き換え)",COUNTA($F221:$J221)=0),1,IF(AND(E221&lt;&gt;"〇〇(合意形成対象者名に書き換え)",COUNTA($F221:$J221)=5),1,0)))</f>
        <v>1</v>
      </c>
      <c r="Z221" s="131" t="str" cm="1">
        <f t="array" ref="Z221">_xlfn.IFS(X221=4,"A",X221=3,"B",X221=2,"C",X221=1,"D")</f>
        <v>D</v>
      </c>
      <c r="AA221" s="257"/>
    </row>
    <row r="222" spans="1:27">
      <c r="B222" s="97"/>
      <c r="C222" s="98"/>
      <c r="D222" s="99"/>
      <c r="E222" s="897" t="s">
        <v>129</v>
      </c>
      <c r="F222" s="448"/>
      <c r="G222" s="448"/>
      <c r="H222" s="447"/>
      <c r="I222" s="447"/>
      <c r="J222" s="448"/>
      <c r="K222" s="100"/>
      <c r="L222" s="11"/>
      <c r="R222" s="131">
        <f t="shared" si="113"/>
        <v>0</v>
      </c>
      <c r="S222" s="131">
        <f t="shared" si="114"/>
        <v>0</v>
      </c>
      <c r="T222" s="131">
        <f t="shared" si="115"/>
        <v>0</v>
      </c>
      <c r="U222" s="131">
        <f t="shared" si="116"/>
        <v>0</v>
      </c>
      <c r="V222" s="260"/>
      <c r="W222" s="131" t="str">
        <f t="shared" ref="W222:W226" si="118">IF(OR(E222="〇〇(合意形成対象者名に書き換え)",E222=""),"",SUM(S222,T222,U222))</f>
        <v/>
      </c>
      <c r="X222" s="131">
        <f t="shared" si="117"/>
        <v>1</v>
      </c>
      <c r="Y222" s="131">
        <f t="shared" ref="Y222:Y226" si="119">IF(E222="",1,IF(AND(E222="〇〇(合意形成対象者名に書き換え)",COUNTA($F222:$J222)=0),1,IF(AND(E222&lt;&gt;"〇〇(合意形成対象者名に書き換え)",COUNTA($F222:$J222)=5),1,0)))</f>
        <v>1</v>
      </c>
      <c r="Z222" s="131" t="str" cm="1">
        <f t="array" ref="Z222">_xlfn.IFS(X222=4,"A",X222=3,"B",X222=2,"C",X222=1,"D")</f>
        <v>D</v>
      </c>
      <c r="AA222" s="257"/>
    </row>
    <row r="223" spans="1:27">
      <c r="B223" s="97"/>
      <c r="C223" s="98"/>
      <c r="D223" s="99"/>
      <c r="E223" s="897" t="s">
        <v>129</v>
      </c>
      <c r="F223" s="443"/>
      <c r="G223" s="443"/>
      <c r="H223" s="449"/>
      <c r="I223" s="449"/>
      <c r="J223" s="443"/>
      <c r="K223" s="100"/>
      <c r="L223" s="11"/>
      <c r="R223" s="131">
        <f t="shared" si="113"/>
        <v>0</v>
      </c>
      <c r="S223" s="131">
        <f t="shared" si="114"/>
        <v>0</v>
      </c>
      <c r="T223" s="131">
        <f t="shared" si="115"/>
        <v>0</v>
      </c>
      <c r="U223" s="131">
        <f t="shared" si="116"/>
        <v>0</v>
      </c>
      <c r="V223" s="260"/>
      <c r="W223" s="131" t="str">
        <f t="shared" si="118"/>
        <v/>
      </c>
      <c r="X223" s="131">
        <f t="shared" si="117"/>
        <v>1</v>
      </c>
      <c r="Y223" s="131">
        <f t="shared" si="119"/>
        <v>1</v>
      </c>
      <c r="Z223" s="131" t="str" cm="1">
        <f t="array" ref="Z223">_xlfn.IFS(X223=4,"A",X223=3,"B",X223=2,"C",X223=1,"D")</f>
        <v>D</v>
      </c>
      <c r="AA223" s="257"/>
    </row>
    <row r="224" spans="1:27" s="101" customFormat="1">
      <c r="A224" s="11"/>
      <c r="B224" s="97"/>
      <c r="C224" s="98"/>
      <c r="D224" s="99"/>
      <c r="E224" s="897" t="s">
        <v>129</v>
      </c>
      <c r="F224" s="443"/>
      <c r="G224" s="443"/>
      <c r="H224" s="449"/>
      <c r="I224" s="449"/>
      <c r="J224" s="443"/>
      <c r="K224" s="100"/>
      <c r="L224" s="11"/>
      <c r="O224" s="11"/>
      <c r="P224" s="11"/>
      <c r="Q224" s="11"/>
      <c r="R224" s="131">
        <f t="shared" si="113"/>
        <v>0</v>
      </c>
      <c r="S224" s="131">
        <f t="shared" si="114"/>
        <v>0</v>
      </c>
      <c r="T224" s="131">
        <f t="shared" si="115"/>
        <v>0</v>
      </c>
      <c r="U224" s="131">
        <f t="shared" si="116"/>
        <v>0</v>
      </c>
      <c r="V224" s="260"/>
      <c r="W224" s="131" t="str">
        <f t="shared" si="118"/>
        <v/>
      </c>
      <c r="X224" s="131">
        <f t="shared" si="117"/>
        <v>1</v>
      </c>
      <c r="Y224" s="131">
        <f t="shared" si="119"/>
        <v>1</v>
      </c>
      <c r="Z224" s="131" t="str" cm="1">
        <f t="array" ref="Z224">_xlfn.IFS(X224=4,"A",X224=3,"B",X224=2,"C",X224=1,"D")</f>
        <v>D</v>
      </c>
      <c r="AA224" s="131"/>
    </row>
    <row r="225" spans="1:27" customFormat="1" ht="7.5" customHeight="1">
      <c r="B225" s="65"/>
      <c r="C225" s="4"/>
      <c r="D225" s="4"/>
      <c r="E225" s="290"/>
      <c r="F225" s="4"/>
      <c r="G225" s="4"/>
      <c r="H225" s="4"/>
      <c r="I225" s="4"/>
      <c r="J225" s="4"/>
      <c r="K225" s="9"/>
      <c r="L225" s="2"/>
      <c r="M225" s="2"/>
      <c r="N225" s="2"/>
      <c r="R225" s="131">
        <f t="shared" si="113"/>
        <v>0</v>
      </c>
      <c r="S225" s="131">
        <f t="shared" si="114"/>
        <v>0</v>
      </c>
      <c r="T225" s="131">
        <f t="shared" si="115"/>
        <v>0</v>
      </c>
      <c r="U225" s="131">
        <f t="shared" si="116"/>
        <v>0</v>
      </c>
      <c r="V225" s="260"/>
      <c r="W225" s="131" t="str">
        <f t="shared" si="118"/>
        <v/>
      </c>
      <c r="X225" s="131">
        <f t="shared" si="117"/>
        <v>1</v>
      </c>
      <c r="Y225" s="131">
        <f t="shared" si="119"/>
        <v>1</v>
      </c>
      <c r="Z225" s="131" t="str" cm="1">
        <f t="array" ref="Z225">_xlfn.IFS(X225=4,"A",X225=3,"B",X225=2,"C",X225=1,"D")</f>
        <v>D</v>
      </c>
      <c r="AA225" s="177"/>
    </row>
    <row r="226" spans="1:27" customFormat="1" ht="6" customHeight="1">
      <c r="E226" s="3"/>
      <c r="L226" s="2"/>
      <c r="M226" s="2"/>
      <c r="N226" s="2"/>
      <c r="R226" s="131">
        <f t="shared" si="113"/>
        <v>0</v>
      </c>
      <c r="S226" s="131">
        <f t="shared" si="114"/>
        <v>0</v>
      </c>
      <c r="T226" s="131">
        <f t="shared" si="115"/>
        <v>0</v>
      </c>
      <c r="U226" s="131">
        <f t="shared" si="116"/>
        <v>0</v>
      </c>
      <c r="V226" s="260"/>
      <c r="W226" s="131" t="str">
        <f t="shared" si="118"/>
        <v/>
      </c>
      <c r="X226" s="131">
        <f t="shared" si="117"/>
        <v>1</v>
      </c>
      <c r="Y226" s="131">
        <f t="shared" si="119"/>
        <v>1</v>
      </c>
      <c r="Z226" s="131" t="str" cm="1">
        <f t="array" ref="Z226">_xlfn.IFS(X226=4,"A",X226=3,"B",X226=2,"C",X226=1,"D")</f>
        <v>D</v>
      </c>
      <c r="AA226" s="177"/>
    </row>
    <row r="227" spans="1:27" customFormat="1" ht="103.5" customHeight="1">
      <c r="C227" s="78"/>
      <c r="D227" s="79"/>
      <c r="E227" s="71" t="s">
        <v>238</v>
      </c>
      <c r="F227" s="1057"/>
      <c r="G227" s="1057"/>
      <c r="H227" s="1057"/>
      <c r="I227" s="1057"/>
      <c r="J227" s="1057"/>
      <c r="K227" s="80" t="s">
        <v>132</v>
      </c>
      <c r="L227" s="80"/>
    </row>
    <row r="228" spans="1:27" customFormat="1" ht="146.25" customHeight="1">
      <c r="C228" s="75"/>
      <c r="D228" s="68"/>
      <c r="E228" s="71" t="s">
        <v>237</v>
      </c>
      <c r="F228" s="1057"/>
      <c r="G228" s="1057"/>
      <c r="H228" s="1057"/>
      <c r="I228" s="1057"/>
      <c r="J228" s="1057"/>
      <c r="L228" s="2"/>
      <c r="M228" s="2"/>
      <c r="N228" s="2"/>
    </row>
    <row r="229" spans="1:27" customFormat="1" ht="13.5" customHeight="1" thickBot="1">
      <c r="A229" s="81"/>
      <c r="B229" s="81"/>
      <c r="C229" s="81"/>
      <c r="D229" s="81"/>
      <c r="E229" s="313"/>
      <c r="F229" s="81"/>
      <c r="G229" s="81"/>
      <c r="H229" s="81"/>
      <c r="I229" s="81"/>
      <c r="J229" s="81"/>
      <c r="K229" s="81"/>
      <c r="L229" s="82"/>
      <c r="M229" s="2"/>
      <c r="N229" s="2"/>
    </row>
    <row r="230" spans="1:27" customFormat="1" ht="13.5" customHeight="1">
      <c r="E230" s="3"/>
      <c r="L230" s="2"/>
      <c r="M230" s="2"/>
      <c r="N230" s="2"/>
    </row>
    <row r="231" spans="1:27" customFormat="1" ht="15" customHeight="1">
      <c r="B231" s="10"/>
      <c r="C231" s="5"/>
      <c r="D231" s="5"/>
      <c r="E231" s="307"/>
      <c r="F231" s="5"/>
      <c r="G231" s="5"/>
      <c r="H231" s="5"/>
      <c r="I231" s="5"/>
      <c r="J231" s="5"/>
      <c r="K231" s="6"/>
      <c r="R231" s="11" t="str">
        <f>D232</f>
        <v>(選択してください)</v>
      </c>
    </row>
    <row r="232" spans="1:27" customFormat="1">
      <c r="B232" s="7"/>
      <c r="C232" s="77" t="str">
        <f ca="1">IFERROR(OFFSET('4.3民生部門電力以外の排出削減取組'!$C$1,MATCH(D232,'4.3民生部門電力以外の排出削減取組'!$E:$E,0)-1,0),"")</f>
        <v/>
      </c>
      <c r="D232" s="96" t="s">
        <v>130</v>
      </c>
      <c r="E232" s="72" t="s">
        <v>12</v>
      </c>
      <c r="F232" s="1063" t="str">
        <f ca="1">IFERROR(OFFSET('4.3民生部門電力以外の排出削減取組'!$G$1,MATCH($D232,'4.3民生部門電力以外の排出削減取組'!$E:$E,0)-1,0),"")</f>
        <v/>
      </c>
      <c r="G232" s="1063"/>
      <c r="H232" s="1063"/>
      <c r="I232" s="1063"/>
      <c r="J232" s="1063"/>
      <c r="K232" s="8"/>
      <c r="R232" s="257" t="str">
        <f ca="1">IFERROR(OFFSET('4.3民生部門電力以外の排出削減取組'!$G$1,MATCH($D232,'4.3民生部門電力以外の排出削減取組'!$E:$E,0)-1,0),"")</f>
        <v/>
      </c>
      <c r="S232" s="177"/>
      <c r="T232" s="177"/>
      <c r="U232" s="177"/>
      <c r="V232" s="177"/>
      <c r="W232" s="177"/>
      <c r="X232" s="177"/>
      <c r="Y232" s="177"/>
      <c r="Z232" s="177"/>
      <c r="AA232" s="177">
        <f ca="1">(F232=R232)*1</f>
        <v>1</v>
      </c>
    </row>
    <row r="233" spans="1:27" customFormat="1">
      <c r="B233" s="7"/>
      <c r="C233" s="74"/>
      <c r="D233" s="66"/>
      <c r="E233" s="72" t="s">
        <v>282</v>
      </c>
      <c r="F233" s="1080" t="str">
        <f ca="1">IFERROR(OFFSET('4.3民生部門電力以外の排出削減取組'!$H$1,MATCH($D232,'4.3民生部門電力以外の排出削減取組'!$E:$E,0)-1,0),"")</f>
        <v/>
      </c>
      <c r="G233" s="1080"/>
      <c r="H233" s="1080"/>
      <c r="I233" s="1080"/>
      <c r="J233" s="1080"/>
      <c r="K233" s="8"/>
      <c r="R233" s="177" t="str">
        <f ca="1">IFERROR(OFFSET('4.3民生部門電力以外の排出削減取組'!$H$1,MATCH($D232,'4.3民生部門電力以外の排出削減取組'!$E:$E,0)-1,0),"")</f>
        <v/>
      </c>
      <c r="S233" s="177"/>
      <c r="T233" s="177"/>
      <c r="U233" s="177"/>
      <c r="V233" s="177"/>
      <c r="W233" s="177"/>
      <c r="X233" s="177"/>
      <c r="Y233" s="177"/>
      <c r="Z233" s="177"/>
      <c r="AA233" s="177">
        <f t="shared" ref="AA233:AA234" ca="1" si="120">(F233=R233)*1</f>
        <v>1</v>
      </c>
    </row>
    <row r="234" spans="1:27" customFormat="1">
      <c r="B234" s="7"/>
      <c r="C234" s="74"/>
      <c r="D234" s="66"/>
      <c r="E234" s="72" t="s">
        <v>176</v>
      </c>
      <c r="F234" s="1063" t="str">
        <f>_xlfn.IFNA(R234,"")</f>
        <v/>
      </c>
      <c r="G234" s="1063"/>
      <c r="H234" s="1063"/>
      <c r="I234" s="1063"/>
      <c r="J234" s="1063"/>
      <c r="K234" s="8"/>
      <c r="R234" s="131" t="str">
        <f>IF(OR(COUNTIF($E236:$E241,"&lt;&gt;〇〇(合意形成対象者名に書き換え)")=3,COUNTIF($E236:$E241,"")&gt;3),"",IF(PRODUCT($Y236:$Y241)=1,Z236,""))</f>
        <v/>
      </c>
      <c r="S234" s="177"/>
      <c r="T234" s="177"/>
      <c r="U234" s="177"/>
      <c r="V234" s="177"/>
      <c r="W234" s="177"/>
      <c r="X234" s="177"/>
      <c r="Y234" s="177"/>
      <c r="Z234" s="177"/>
      <c r="AA234" s="177">
        <f t="shared" si="120"/>
        <v>1</v>
      </c>
    </row>
    <row r="235" spans="1:27" ht="63.75" customHeight="1">
      <c r="B235" s="97"/>
      <c r="C235" s="98"/>
      <c r="D235" s="99"/>
      <c r="E235" s="895"/>
      <c r="F235" s="315" t="s">
        <v>280</v>
      </c>
      <c r="G235" s="315" t="s">
        <v>270</v>
      </c>
      <c r="H235" s="315" t="s">
        <v>443</v>
      </c>
      <c r="I235" s="315" t="s">
        <v>445</v>
      </c>
      <c r="J235" s="315" t="s">
        <v>281</v>
      </c>
      <c r="K235" s="100"/>
      <c r="L235" s="11"/>
      <c r="R235" s="128" t="s">
        <v>280</v>
      </c>
      <c r="S235" s="128" t="s">
        <v>446</v>
      </c>
      <c r="T235" s="297" t="s">
        <v>443</v>
      </c>
      <c r="U235" s="297" t="s">
        <v>444</v>
      </c>
      <c r="V235" s="258" t="s">
        <v>272</v>
      </c>
      <c r="W235" s="128" t="s">
        <v>432</v>
      </c>
      <c r="X235" s="131" t="s">
        <v>408</v>
      </c>
      <c r="Y235" s="131" t="s">
        <v>436</v>
      </c>
      <c r="Z235" s="128" t="s">
        <v>431</v>
      </c>
      <c r="AA235" s="257"/>
    </row>
    <row r="236" spans="1:27" hidden="1">
      <c r="B236" s="97"/>
      <c r="C236" s="98"/>
      <c r="D236" s="99"/>
      <c r="E236" s="896"/>
      <c r="F236" s="441"/>
      <c r="G236" s="441"/>
      <c r="H236" s="445"/>
      <c r="I236" s="445"/>
      <c r="J236" s="441"/>
      <c r="K236" s="100"/>
      <c r="L236" s="11"/>
      <c r="R236" s="131">
        <f t="shared" ref="R236:R241" si="121">IF(F236="実施済",1,0)</f>
        <v>0</v>
      </c>
      <c r="S236" s="131">
        <f t="shared" ref="S236:S241" si="122">IF(G236="実施済",R236*1,0)</f>
        <v>0</v>
      </c>
      <c r="T236" s="131">
        <f t="shared" ref="T236:T241" si="123">IF(H236="実施済",S236*1,0)</f>
        <v>0</v>
      </c>
      <c r="U236" s="131">
        <f t="shared" ref="U236:U241" si="124">IF(I236="実施済",T236*1,0)</f>
        <v>0</v>
      </c>
      <c r="V236" s="260"/>
      <c r="W236" s="131" t="str">
        <f>IF(OR(E236="〇〇(合意形成対象者名に書き換え)",E236=""),"",SUM(S236,T236,U236))</f>
        <v/>
      </c>
      <c r="X236" s="131">
        <f t="shared" ref="X236:X241" si="125">MIN($W$236:$W$241)+1</f>
        <v>1</v>
      </c>
      <c r="Y236" s="131">
        <f>IF(E236="",1,IF(AND(E236="〇〇(合意形成対象者名に書き換え)",COUNTA($F236:$J236)=0),1,IF(AND(E236&lt;&gt;"〇〇(合意形成対象者名に書き換え)",COUNTA($F236:$J236)=5),1,0)))</f>
        <v>1</v>
      </c>
      <c r="Z236" s="131" t="str" cm="1">
        <f t="array" ref="Z236">_xlfn.IFS(X236=4,"A",X236=3,"B",X236=2,"C",X236=1,"D")</f>
        <v>D</v>
      </c>
      <c r="AA236" s="257"/>
    </row>
    <row r="237" spans="1:27">
      <c r="B237" s="97"/>
      <c r="C237" s="98"/>
      <c r="D237" s="99"/>
      <c r="E237" s="897" t="s">
        <v>129</v>
      </c>
      <c r="F237" s="448"/>
      <c r="G237" s="448"/>
      <c r="H237" s="447"/>
      <c r="I237" s="447"/>
      <c r="J237" s="448"/>
      <c r="K237" s="100"/>
      <c r="L237" s="11"/>
      <c r="R237" s="131">
        <f t="shared" si="121"/>
        <v>0</v>
      </c>
      <c r="S237" s="131">
        <f t="shared" si="122"/>
        <v>0</v>
      </c>
      <c r="T237" s="131">
        <f t="shared" si="123"/>
        <v>0</v>
      </c>
      <c r="U237" s="131">
        <f t="shared" si="124"/>
        <v>0</v>
      </c>
      <c r="V237" s="260"/>
      <c r="W237" s="131" t="str">
        <f t="shared" ref="W237:W241" si="126">IF(OR(E237="〇〇(合意形成対象者名に書き換え)",E237=""),"",SUM(S237,T237,U237))</f>
        <v/>
      </c>
      <c r="X237" s="131">
        <f t="shared" si="125"/>
        <v>1</v>
      </c>
      <c r="Y237" s="131">
        <f t="shared" ref="Y237:Y241" si="127">IF(E237="",1,IF(AND(E237="〇〇(合意形成対象者名に書き換え)",COUNTA($F237:$J237)=0),1,IF(AND(E237&lt;&gt;"〇〇(合意形成対象者名に書き換え)",COUNTA($F237:$J237)=5),1,0)))</f>
        <v>1</v>
      </c>
      <c r="Z237" s="131" t="str" cm="1">
        <f t="array" ref="Z237">_xlfn.IFS(X237=4,"A",X237=3,"B",X237=2,"C",X237=1,"D")</f>
        <v>D</v>
      </c>
      <c r="AA237" s="257"/>
    </row>
    <row r="238" spans="1:27">
      <c r="B238" s="97"/>
      <c r="C238" s="98"/>
      <c r="D238" s="99"/>
      <c r="E238" s="897" t="s">
        <v>129</v>
      </c>
      <c r="F238" s="443"/>
      <c r="G238" s="443"/>
      <c r="H238" s="449"/>
      <c r="I238" s="449"/>
      <c r="J238" s="443"/>
      <c r="K238" s="100"/>
      <c r="L238" s="11"/>
      <c r="R238" s="131">
        <f t="shared" si="121"/>
        <v>0</v>
      </c>
      <c r="S238" s="131">
        <f t="shared" si="122"/>
        <v>0</v>
      </c>
      <c r="T238" s="131">
        <f t="shared" si="123"/>
        <v>0</v>
      </c>
      <c r="U238" s="131">
        <f t="shared" si="124"/>
        <v>0</v>
      </c>
      <c r="V238" s="260"/>
      <c r="W238" s="131" t="str">
        <f t="shared" si="126"/>
        <v/>
      </c>
      <c r="X238" s="131">
        <f t="shared" si="125"/>
        <v>1</v>
      </c>
      <c r="Y238" s="131">
        <f t="shared" si="127"/>
        <v>1</v>
      </c>
      <c r="Z238" s="131" t="str" cm="1">
        <f t="array" ref="Z238">_xlfn.IFS(X238=4,"A",X238=3,"B",X238=2,"C",X238=1,"D")</f>
        <v>D</v>
      </c>
      <c r="AA238" s="257"/>
    </row>
    <row r="239" spans="1:27" s="101" customFormat="1">
      <c r="A239" s="11"/>
      <c r="B239" s="97"/>
      <c r="C239" s="98"/>
      <c r="D239" s="99"/>
      <c r="E239" s="897" t="s">
        <v>129</v>
      </c>
      <c r="F239" s="443"/>
      <c r="G239" s="443"/>
      <c r="H239" s="449"/>
      <c r="I239" s="449"/>
      <c r="J239" s="443"/>
      <c r="K239" s="100"/>
      <c r="L239" s="11"/>
      <c r="O239" s="11"/>
      <c r="P239" s="11"/>
      <c r="Q239" s="11"/>
      <c r="R239" s="131">
        <f t="shared" si="121"/>
        <v>0</v>
      </c>
      <c r="S239" s="131">
        <f t="shared" si="122"/>
        <v>0</v>
      </c>
      <c r="T239" s="131">
        <f t="shared" si="123"/>
        <v>0</v>
      </c>
      <c r="U239" s="131">
        <f t="shared" si="124"/>
        <v>0</v>
      </c>
      <c r="V239" s="260"/>
      <c r="W239" s="131" t="str">
        <f t="shared" si="126"/>
        <v/>
      </c>
      <c r="X239" s="131">
        <f t="shared" si="125"/>
        <v>1</v>
      </c>
      <c r="Y239" s="131">
        <f t="shared" si="127"/>
        <v>1</v>
      </c>
      <c r="Z239" s="131" t="str" cm="1">
        <f t="array" ref="Z239">_xlfn.IFS(X239=4,"A",X239=3,"B",X239=2,"C",X239=1,"D")</f>
        <v>D</v>
      </c>
      <c r="AA239" s="131"/>
    </row>
    <row r="240" spans="1:27" customFormat="1" ht="7.5" customHeight="1">
      <c r="B240" s="65"/>
      <c r="C240" s="4"/>
      <c r="D240" s="4"/>
      <c r="E240" s="290"/>
      <c r="F240" s="4"/>
      <c r="G240" s="4"/>
      <c r="H240" s="4"/>
      <c r="I240" s="4"/>
      <c r="J240" s="4"/>
      <c r="K240" s="9"/>
      <c r="L240" s="2"/>
      <c r="M240" s="2"/>
      <c r="N240" s="2"/>
      <c r="R240" s="131">
        <f t="shared" si="121"/>
        <v>0</v>
      </c>
      <c r="S240" s="131">
        <f t="shared" si="122"/>
        <v>0</v>
      </c>
      <c r="T240" s="131">
        <f t="shared" si="123"/>
        <v>0</v>
      </c>
      <c r="U240" s="131">
        <f t="shared" si="124"/>
        <v>0</v>
      </c>
      <c r="V240" s="260"/>
      <c r="W240" s="131" t="str">
        <f t="shared" si="126"/>
        <v/>
      </c>
      <c r="X240" s="131">
        <f t="shared" si="125"/>
        <v>1</v>
      </c>
      <c r="Y240" s="131">
        <f t="shared" si="127"/>
        <v>1</v>
      </c>
      <c r="Z240" s="131" t="str" cm="1">
        <f t="array" ref="Z240">_xlfn.IFS(X240=4,"A",X240=3,"B",X240=2,"C",X240=1,"D")</f>
        <v>D</v>
      </c>
      <c r="AA240" s="177"/>
    </row>
    <row r="241" spans="1:27" customFormat="1" ht="6" customHeight="1">
      <c r="E241" s="3"/>
      <c r="L241" s="2"/>
      <c r="M241" s="2"/>
      <c r="N241" s="2"/>
      <c r="R241" s="131">
        <f t="shared" si="121"/>
        <v>0</v>
      </c>
      <c r="S241" s="131">
        <f t="shared" si="122"/>
        <v>0</v>
      </c>
      <c r="T241" s="131">
        <f t="shared" si="123"/>
        <v>0</v>
      </c>
      <c r="U241" s="131">
        <f t="shared" si="124"/>
        <v>0</v>
      </c>
      <c r="V241" s="260"/>
      <c r="W241" s="131" t="str">
        <f t="shared" si="126"/>
        <v/>
      </c>
      <c r="X241" s="131">
        <f t="shared" si="125"/>
        <v>1</v>
      </c>
      <c r="Y241" s="131">
        <f t="shared" si="127"/>
        <v>1</v>
      </c>
      <c r="Z241" s="131" t="str" cm="1">
        <f t="array" ref="Z241">_xlfn.IFS(X241=4,"A",X241=3,"B",X241=2,"C",X241=1,"D")</f>
        <v>D</v>
      </c>
      <c r="AA241" s="177"/>
    </row>
    <row r="242" spans="1:27" customFormat="1" ht="103.5" customHeight="1">
      <c r="C242" s="78"/>
      <c r="D242" s="79"/>
      <c r="E242" s="71" t="s">
        <v>238</v>
      </c>
      <c r="F242" s="1057"/>
      <c r="G242" s="1057"/>
      <c r="H242" s="1057"/>
      <c r="I242" s="1057"/>
      <c r="J242" s="1057"/>
      <c r="K242" s="80" t="s">
        <v>132</v>
      </c>
      <c r="L242" s="80"/>
    </row>
    <row r="243" spans="1:27" customFormat="1" ht="146.25" customHeight="1">
      <c r="C243" s="75"/>
      <c r="D243" s="68"/>
      <c r="E243" s="71" t="s">
        <v>237</v>
      </c>
      <c r="F243" s="1057"/>
      <c r="G243" s="1057"/>
      <c r="H243" s="1057"/>
      <c r="I243" s="1057"/>
      <c r="J243" s="1057"/>
      <c r="L243" s="2"/>
      <c r="M243" s="2"/>
      <c r="N243" s="2"/>
    </row>
    <row r="244" spans="1:27" customFormat="1" ht="13.5" customHeight="1" thickBot="1">
      <c r="A244" s="81"/>
      <c r="B244" s="81"/>
      <c r="C244" s="81"/>
      <c r="D244" s="81"/>
      <c r="E244" s="313"/>
      <c r="F244" s="81"/>
      <c r="G244" s="81"/>
      <c r="H244" s="81"/>
      <c r="I244" s="81"/>
      <c r="J244" s="81"/>
      <c r="K244" s="81"/>
      <c r="L244" s="82"/>
      <c r="M244" s="2"/>
      <c r="N244" s="2"/>
    </row>
    <row r="245" spans="1:27" customFormat="1" ht="13.5" customHeight="1">
      <c r="E245" s="3"/>
      <c r="L245" s="2"/>
      <c r="M245" s="2"/>
      <c r="N245" s="2"/>
    </row>
    <row r="246" spans="1:27" customFormat="1" ht="15" customHeight="1">
      <c r="B246" s="10"/>
      <c r="C246" s="5"/>
      <c r="D246" s="5"/>
      <c r="E246" s="307"/>
      <c r="F246" s="5"/>
      <c r="G246" s="5"/>
      <c r="H246" s="5"/>
      <c r="I246" s="5"/>
      <c r="J246" s="5"/>
      <c r="K246" s="6"/>
      <c r="R246" s="11" t="str">
        <f>D247</f>
        <v>(選択してください)</v>
      </c>
    </row>
    <row r="247" spans="1:27" customFormat="1">
      <c r="B247" s="7"/>
      <c r="C247" s="77" t="str">
        <f ca="1">IFERROR(OFFSET('4.3民生部門電力以外の排出削減取組'!$C$1,MATCH(D247,'4.3民生部門電力以外の排出削減取組'!$E:$E,0)-1,0),"")</f>
        <v/>
      </c>
      <c r="D247" s="96" t="s">
        <v>130</v>
      </c>
      <c r="E247" s="72" t="s">
        <v>12</v>
      </c>
      <c r="F247" s="1063" t="str">
        <f ca="1">IFERROR(OFFSET('4.3民生部門電力以外の排出削減取組'!$G$1,MATCH($D247,'4.3民生部門電力以外の排出削減取組'!$E:$E,0)-1,0),"")</f>
        <v/>
      </c>
      <c r="G247" s="1063"/>
      <c r="H247" s="1063"/>
      <c r="I247" s="1063"/>
      <c r="J247" s="1063"/>
      <c r="K247" s="8"/>
      <c r="R247" s="257" t="str">
        <f ca="1">IFERROR(OFFSET('4.3民生部門電力以外の排出削減取組'!$G$1,MATCH($D247,'4.3民生部門電力以外の排出削減取組'!$E:$E,0)-1,0),"")</f>
        <v/>
      </c>
      <c r="S247" s="177"/>
      <c r="T247" s="177"/>
      <c r="U247" s="177"/>
      <c r="V247" s="177"/>
      <c r="W247" s="177"/>
      <c r="X247" s="177"/>
      <c r="Y247" s="177"/>
      <c r="Z247" s="177"/>
      <c r="AA247" s="177">
        <f ca="1">(F247=R247)*1</f>
        <v>1</v>
      </c>
    </row>
    <row r="248" spans="1:27" customFormat="1">
      <c r="B248" s="7"/>
      <c r="C248" s="74"/>
      <c r="D248" s="66"/>
      <c r="E248" s="72" t="s">
        <v>282</v>
      </c>
      <c r="F248" s="1080" t="str">
        <f ca="1">IFERROR(OFFSET('4.3民生部門電力以外の排出削減取組'!$H$1,MATCH($D247,'4.3民生部門電力以外の排出削減取組'!$E:$E,0)-1,0),"")</f>
        <v/>
      </c>
      <c r="G248" s="1080"/>
      <c r="H248" s="1080"/>
      <c r="I248" s="1080"/>
      <c r="J248" s="1080"/>
      <c r="K248" s="8"/>
      <c r="R248" s="177" t="str">
        <f ca="1">IFERROR(OFFSET('4.3民生部門電力以外の排出削減取組'!$H$1,MATCH($D247,'4.3民生部門電力以外の排出削減取組'!$E:$E,0)-1,0),"")</f>
        <v/>
      </c>
      <c r="S248" s="177"/>
      <c r="T248" s="177"/>
      <c r="U248" s="177"/>
      <c r="V248" s="177"/>
      <c r="W248" s="177"/>
      <c r="X248" s="177"/>
      <c r="Y248" s="177"/>
      <c r="Z248" s="177"/>
      <c r="AA248" s="177">
        <f t="shared" ref="AA248:AA249" ca="1" si="128">(F248=R248)*1</f>
        <v>1</v>
      </c>
    </row>
    <row r="249" spans="1:27" customFormat="1">
      <c r="B249" s="7"/>
      <c r="C249" s="74"/>
      <c r="D249" s="66"/>
      <c r="E249" s="72" t="s">
        <v>176</v>
      </c>
      <c r="F249" s="1063" t="str">
        <f>_xlfn.IFNA(R249,"")</f>
        <v/>
      </c>
      <c r="G249" s="1063"/>
      <c r="H249" s="1063"/>
      <c r="I249" s="1063"/>
      <c r="J249" s="1063"/>
      <c r="K249" s="8"/>
      <c r="R249" s="131" t="str">
        <f>IF(OR(COUNTIF($E251:$E256,"&lt;&gt;〇〇(合意形成対象者名に書き換え)")=3,COUNTIF($E251:$E256,"")&gt;3),"",IF(PRODUCT($Y251:$Y256)=1,Z251,""))</f>
        <v/>
      </c>
      <c r="S249" s="177"/>
      <c r="T249" s="177"/>
      <c r="U249" s="177"/>
      <c r="V249" s="177"/>
      <c r="W249" s="177"/>
      <c r="X249" s="177"/>
      <c r="Y249" s="177"/>
      <c r="Z249" s="177"/>
      <c r="AA249" s="177">
        <f t="shared" si="128"/>
        <v>1</v>
      </c>
    </row>
    <row r="250" spans="1:27" ht="63.75" customHeight="1">
      <c r="B250" s="97"/>
      <c r="C250" s="98"/>
      <c r="D250" s="99"/>
      <c r="E250" s="895"/>
      <c r="F250" s="315" t="s">
        <v>280</v>
      </c>
      <c r="G250" s="315" t="s">
        <v>270</v>
      </c>
      <c r="H250" s="315" t="s">
        <v>443</v>
      </c>
      <c r="I250" s="315" t="s">
        <v>445</v>
      </c>
      <c r="J250" s="315" t="s">
        <v>281</v>
      </c>
      <c r="K250" s="100"/>
      <c r="L250" s="11"/>
      <c r="R250" s="128" t="s">
        <v>280</v>
      </c>
      <c r="S250" s="128" t="s">
        <v>446</v>
      </c>
      <c r="T250" s="297" t="s">
        <v>443</v>
      </c>
      <c r="U250" s="297" t="s">
        <v>444</v>
      </c>
      <c r="V250" s="258" t="s">
        <v>272</v>
      </c>
      <c r="W250" s="128" t="s">
        <v>432</v>
      </c>
      <c r="X250" s="131" t="s">
        <v>408</v>
      </c>
      <c r="Y250" s="131" t="s">
        <v>436</v>
      </c>
      <c r="Z250" s="128" t="s">
        <v>431</v>
      </c>
      <c r="AA250" s="257"/>
    </row>
    <row r="251" spans="1:27" hidden="1">
      <c r="B251" s="97"/>
      <c r="C251" s="98"/>
      <c r="D251" s="99"/>
      <c r="E251" s="896"/>
      <c r="F251" s="441"/>
      <c r="G251" s="441"/>
      <c r="H251" s="445"/>
      <c r="I251" s="445"/>
      <c r="J251" s="441"/>
      <c r="K251" s="100"/>
      <c r="L251" s="11"/>
      <c r="R251" s="131">
        <f t="shared" ref="R251:R256" si="129">IF(F251="実施済",1,0)</f>
        <v>0</v>
      </c>
      <c r="S251" s="131">
        <f t="shared" ref="S251:S256" si="130">IF(G251="実施済",R251*1,0)</f>
        <v>0</v>
      </c>
      <c r="T251" s="131">
        <f t="shared" ref="T251:T256" si="131">IF(H251="実施済",S251*1,0)</f>
        <v>0</v>
      </c>
      <c r="U251" s="131">
        <f t="shared" ref="U251:U256" si="132">IF(I251="実施済",T251*1,0)</f>
        <v>0</v>
      </c>
      <c r="V251" s="260"/>
      <c r="W251" s="131" t="str">
        <f>IF(OR(E251="〇〇(合意形成対象者名に書き換え)",E251=""),"",SUM(S251,T251,U251))</f>
        <v/>
      </c>
      <c r="X251" s="131">
        <f t="shared" ref="X251:X256" si="133">MIN($W$251:$W$256)+1</f>
        <v>1</v>
      </c>
      <c r="Y251" s="131">
        <f>IF(E251="",1,IF(AND(E251="〇〇(合意形成対象者名に書き換え)",COUNTA($F251:$J251)=0),1,IF(AND(E251&lt;&gt;"〇〇(合意形成対象者名に書き換え)",COUNTA($F251:$J251)=5),1,0)))</f>
        <v>1</v>
      </c>
      <c r="Z251" s="131" t="str" cm="1">
        <f t="array" ref="Z251">_xlfn.IFS(X251=4,"A",X251=3,"B",X251=2,"C",X251=1,"D")</f>
        <v>D</v>
      </c>
      <c r="AA251" s="257"/>
    </row>
    <row r="252" spans="1:27">
      <c r="B252" s="97"/>
      <c r="C252" s="98"/>
      <c r="D252" s="99"/>
      <c r="E252" s="897" t="s">
        <v>129</v>
      </c>
      <c r="F252" s="448"/>
      <c r="G252" s="448"/>
      <c r="H252" s="447"/>
      <c r="I252" s="447"/>
      <c r="J252" s="448"/>
      <c r="K252" s="100"/>
      <c r="L252" s="11"/>
      <c r="R252" s="131">
        <f t="shared" si="129"/>
        <v>0</v>
      </c>
      <c r="S252" s="131">
        <f t="shared" si="130"/>
        <v>0</v>
      </c>
      <c r="T252" s="131">
        <f t="shared" si="131"/>
        <v>0</v>
      </c>
      <c r="U252" s="131">
        <f t="shared" si="132"/>
        <v>0</v>
      </c>
      <c r="V252" s="260"/>
      <c r="W252" s="131" t="str">
        <f t="shared" ref="W252:W256" si="134">IF(OR(E252="〇〇(合意形成対象者名に書き換え)",E252=""),"",SUM(S252,T252,U252))</f>
        <v/>
      </c>
      <c r="X252" s="131">
        <f t="shared" si="133"/>
        <v>1</v>
      </c>
      <c r="Y252" s="131">
        <f t="shared" ref="Y252:Y256" si="135">IF(E252="",1,IF(AND(E252="〇〇(合意形成対象者名に書き換え)",COUNTA($F252:$J252)=0),1,IF(AND(E252&lt;&gt;"〇〇(合意形成対象者名に書き換え)",COUNTA($F252:$J252)=5),1,0)))</f>
        <v>1</v>
      </c>
      <c r="Z252" s="131" t="str" cm="1">
        <f t="array" ref="Z252">_xlfn.IFS(X252=4,"A",X252=3,"B",X252=2,"C",X252=1,"D")</f>
        <v>D</v>
      </c>
      <c r="AA252" s="257"/>
    </row>
    <row r="253" spans="1:27">
      <c r="B253" s="97"/>
      <c r="C253" s="98"/>
      <c r="D253" s="99"/>
      <c r="E253" s="897" t="s">
        <v>129</v>
      </c>
      <c r="F253" s="443"/>
      <c r="G253" s="443"/>
      <c r="H253" s="449"/>
      <c r="I253" s="449"/>
      <c r="J253" s="443"/>
      <c r="K253" s="100"/>
      <c r="L253" s="11"/>
      <c r="R253" s="131">
        <f t="shared" si="129"/>
        <v>0</v>
      </c>
      <c r="S253" s="131">
        <f t="shared" si="130"/>
        <v>0</v>
      </c>
      <c r="T253" s="131">
        <f t="shared" si="131"/>
        <v>0</v>
      </c>
      <c r="U253" s="131">
        <f t="shared" si="132"/>
        <v>0</v>
      </c>
      <c r="V253" s="260"/>
      <c r="W253" s="131" t="str">
        <f t="shared" si="134"/>
        <v/>
      </c>
      <c r="X253" s="131">
        <f t="shared" si="133"/>
        <v>1</v>
      </c>
      <c r="Y253" s="131">
        <f t="shared" si="135"/>
        <v>1</v>
      </c>
      <c r="Z253" s="131" t="str" cm="1">
        <f t="array" ref="Z253">_xlfn.IFS(X253=4,"A",X253=3,"B",X253=2,"C",X253=1,"D")</f>
        <v>D</v>
      </c>
      <c r="AA253" s="257"/>
    </row>
    <row r="254" spans="1:27" s="101" customFormat="1">
      <c r="A254" s="11"/>
      <c r="B254" s="97"/>
      <c r="C254" s="98"/>
      <c r="D254" s="99"/>
      <c r="E254" s="897" t="s">
        <v>129</v>
      </c>
      <c r="F254" s="443"/>
      <c r="G254" s="443"/>
      <c r="H254" s="449"/>
      <c r="I254" s="449"/>
      <c r="J254" s="443"/>
      <c r="K254" s="100"/>
      <c r="L254" s="11"/>
      <c r="O254" s="11"/>
      <c r="P254" s="11"/>
      <c r="Q254" s="11"/>
      <c r="R254" s="131">
        <f t="shared" si="129"/>
        <v>0</v>
      </c>
      <c r="S254" s="131">
        <f t="shared" si="130"/>
        <v>0</v>
      </c>
      <c r="T254" s="131">
        <f t="shared" si="131"/>
        <v>0</v>
      </c>
      <c r="U254" s="131">
        <f t="shared" si="132"/>
        <v>0</v>
      </c>
      <c r="V254" s="260"/>
      <c r="W254" s="131" t="str">
        <f t="shared" si="134"/>
        <v/>
      </c>
      <c r="X254" s="131">
        <f t="shared" si="133"/>
        <v>1</v>
      </c>
      <c r="Y254" s="131">
        <f t="shared" si="135"/>
        <v>1</v>
      </c>
      <c r="Z254" s="131" t="str" cm="1">
        <f t="array" ref="Z254">_xlfn.IFS(X254=4,"A",X254=3,"B",X254=2,"C",X254=1,"D")</f>
        <v>D</v>
      </c>
      <c r="AA254" s="131"/>
    </row>
    <row r="255" spans="1:27" customFormat="1" ht="7.5" customHeight="1">
      <c r="B255" s="65"/>
      <c r="C255" s="4"/>
      <c r="D255" s="4"/>
      <c r="E255" s="290"/>
      <c r="F255" s="4"/>
      <c r="G255" s="4"/>
      <c r="H255" s="4"/>
      <c r="I255" s="4"/>
      <c r="J255" s="4"/>
      <c r="K255" s="9"/>
      <c r="L255" s="2"/>
      <c r="M255" s="2"/>
      <c r="N255" s="2"/>
      <c r="R255" s="131">
        <f t="shared" si="129"/>
        <v>0</v>
      </c>
      <c r="S255" s="131">
        <f t="shared" si="130"/>
        <v>0</v>
      </c>
      <c r="T255" s="131">
        <f t="shared" si="131"/>
        <v>0</v>
      </c>
      <c r="U255" s="131">
        <f t="shared" si="132"/>
        <v>0</v>
      </c>
      <c r="V255" s="260"/>
      <c r="W255" s="131" t="str">
        <f t="shared" si="134"/>
        <v/>
      </c>
      <c r="X255" s="131">
        <f t="shared" si="133"/>
        <v>1</v>
      </c>
      <c r="Y255" s="131">
        <f t="shared" si="135"/>
        <v>1</v>
      </c>
      <c r="Z255" s="131" t="str" cm="1">
        <f t="array" ref="Z255">_xlfn.IFS(X255=4,"A",X255=3,"B",X255=2,"C",X255=1,"D")</f>
        <v>D</v>
      </c>
      <c r="AA255" s="177"/>
    </row>
    <row r="256" spans="1:27" customFormat="1" ht="6" customHeight="1">
      <c r="E256" s="3"/>
      <c r="L256" s="2"/>
      <c r="M256" s="2"/>
      <c r="N256" s="2"/>
      <c r="R256" s="131">
        <f t="shared" si="129"/>
        <v>0</v>
      </c>
      <c r="S256" s="131">
        <f t="shared" si="130"/>
        <v>0</v>
      </c>
      <c r="T256" s="131">
        <f t="shared" si="131"/>
        <v>0</v>
      </c>
      <c r="U256" s="131">
        <f t="shared" si="132"/>
        <v>0</v>
      </c>
      <c r="V256" s="260"/>
      <c r="W256" s="131" t="str">
        <f t="shared" si="134"/>
        <v/>
      </c>
      <c r="X256" s="131">
        <f t="shared" si="133"/>
        <v>1</v>
      </c>
      <c r="Y256" s="131">
        <f t="shared" si="135"/>
        <v>1</v>
      </c>
      <c r="Z256" s="131" t="str" cm="1">
        <f t="array" ref="Z256">_xlfn.IFS(X256=4,"A",X256=3,"B",X256=2,"C",X256=1,"D")</f>
        <v>D</v>
      </c>
      <c r="AA256" s="177"/>
    </row>
    <row r="257" spans="1:27" customFormat="1" ht="103.5" customHeight="1">
      <c r="C257" s="78"/>
      <c r="D257" s="79"/>
      <c r="E257" s="71" t="s">
        <v>238</v>
      </c>
      <c r="F257" s="1057"/>
      <c r="G257" s="1057"/>
      <c r="H257" s="1057"/>
      <c r="I257" s="1057"/>
      <c r="J257" s="1057"/>
      <c r="K257" s="80" t="s">
        <v>132</v>
      </c>
      <c r="L257" s="80"/>
    </row>
    <row r="258" spans="1:27" customFormat="1" ht="146.25" customHeight="1">
      <c r="C258" s="75"/>
      <c r="D258" s="68"/>
      <c r="E258" s="71" t="s">
        <v>237</v>
      </c>
      <c r="F258" s="1057"/>
      <c r="G258" s="1057"/>
      <c r="H258" s="1057"/>
      <c r="I258" s="1057"/>
      <c r="J258" s="1057"/>
      <c r="L258" s="2"/>
      <c r="M258" s="2"/>
      <c r="N258" s="2"/>
    </row>
    <row r="259" spans="1:27" customFormat="1" ht="13.5" customHeight="1" thickBot="1">
      <c r="A259" s="81"/>
      <c r="B259" s="81"/>
      <c r="C259" s="81"/>
      <c r="D259" s="81"/>
      <c r="E259" s="313"/>
      <c r="F259" s="81"/>
      <c r="G259" s="81"/>
      <c r="H259" s="81"/>
      <c r="I259" s="81"/>
      <c r="J259" s="81"/>
      <c r="K259" s="81"/>
      <c r="L259" s="82"/>
      <c r="M259" s="2"/>
      <c r="N259" s="2"/>
    </row>
    <row r="260" spans="1:27" customFormat="1" ht="13.5" customHeight="1">
      <c r="E260" s="3"/>
      <c r="L260" s="2"/>
      <c r="M260" s="2"/>
      <c r="N260" s="2"/>
    </row>
    <row r="261" spans="1:27" customFormat="1" ht="15" customHeight="1">
      <c r="B261" s="10"/>
      <c r="C261" s="5"/>
      <c r="D261" s="5"/>
      <c r="E261" s="307"/>
      <c r="F261" s="5"/>
      <c r="G261" s="5"/>
      <c r="H261" s="5"/>
      <c r="I261" s="5"/>
      <c r="J261" s="5"/>
      <c r="K261" s="6"/>
      <c r="R261" s="11" t="str">
        <f>D262</f>
        <v>(選択してください)</v>
      </c>
    </row>
    <row r="262" spans="1:27" customFormat="1">
      <c r="B262" s="7"/>
      <c r="C262" s="77" t="str">
        <f ca="1">IFERROR(OFFSET('4.3民生部門電力以外の排出削減取組'!$C$1,MATCH(D262,'4.3民生部門電力以外の排出削減取組'!$E:$E,0)-1,0),"")</f>
        <v/>
      </c>
      <c r="D262" s="96" t="s">
        <v>130</v>
      </c>
      <c r="E262" s="72" t="s">
        <v>12</v>
      </c>
      <c r="F262" s="1063" t="str">
        <f ca="1">IFERROR(OFFSET('4.3民生部門電力以外の排出削減取組'!$G$1,MATCH($D262,'4.3民生部門電力以外の排出削減取組'!$E:$E,0)-1,0),"")</f>
        <v/>
      </c>
      <c r="G262" s="1063"/>
      <c r="H262" s="1063"/>
      <c r="I262" s="1063"/>
      <c r="J262" s="1063"/>
      <c r="K262" s="8"/>
      <c r="R262" s="257" t="str">
        <f ca="1">IFERROR(OFFSET('4.3民生部門電力以外の排出削減取組'!$G$1,MATCH($D262,'4.3民生部門電力以外の排出削減取組'!$E:$E,0)-1,0),"")</f>
        <v/>
      </c>
      <c r="S262" s="177"/>
      <c r="T262" s="177"/>
      <c r="U262" s="177"/>
      <c r="V262" s="177"/>
      <c r="W262" s="177"/>
      <c r="X262" s="177"/>
      <c r="Y262" s="177"/>
      <c r="Z262" s="177"/>
      <c r="AA262" s="177">
        <f ca="1">(F262=R262)*1</f>
        <v>1</v>
      </c>
    </row>
    <row r="263" spans="1:27" customFormat="1">
      <c r="B263" s="7"/>
      <c r="C263" s="74"/>
      <c r="D263" s="66"/>
      <c r="E263" s="72" t="s">
        <v>282</v>
      </c>
      <c r="F263" s="1080" t="str">
        <f ca="1">IFERROR(OFFSET('4.3民生部門電力以外の排出削減取組'!$H$1,MATCH($D262,'4.3民生部門電力以外の排出削減取組'!$E:$E,0)-1,0),"")</f>
        <v/>
      </c>
      <c r="G263" s="1080"/>
      <c r="H263" s="1080"/>
      <c r="I263" s="1080"/>
      <c r="J263" s="1080"/>
      <c r="K263" s="8"/>
      <c r="R263" s="177" t="str">
        <f ca="1">IFERROR(OFFSET('4.3民生部門電力以外の排出削減取組'!$H$1,MATCH($D262,'4.3民生部門電力以外の排出削減取組'!$E:$E,0)-1,0),"")</f>
        <v/>
      </c>
      <c r="S263" s="177"/>
      <c r="T263" s="177"/>
      <c r="U263" s="177"/>
      <c r="V263" s="177"/>
      <c r="W263" s="177"/>
      <c r="X263" s="177"/>
      <c r="Y263" s="177"/>
      <c r="Z263" s="177"/>
      <c r="AA263" s="177">
        <f t="shared" ref="AA263:AA264" ca="1" si="136">(F263=R263)*1</f>
        <v>1</v>
      </c>
    </row>
    <row r="264" spans="1:27" customFormat="1">
      <c r="B264" s="7"/>
      <c r="C264" s="74"/>
      <c r="D264" s="66"/>
      <c r="E264" s="72" t="s">
        <v>176</v>
      </c>
      <c r="F264" s="1063" t="str">
        <f>_xlfn.IFNA(R264,"")</f>
        <v/>
      </c>
      <c r="G264" s="1063"/>
      <c r="H264" s="1063"/>
      <c r="I264" s="1063"/>
      <c r="J264" s="1063"/>
      <c r="K264" s="8"/>
      <c r="R264" s="131" t="str">
        <f>IF(OR(COUNTIF($E266:$E271,"&lt;&gt;〇〇(合意形成対象者名に書き換え)")=3,COUNTIF($E266:$E271,"")&gt;3),"",IF(PRODUCT($Y266:$Y271)=1,Z266,""))</f>
        <v/>
      </c>
      <c r="S264" s="177"/>
      <c r="T264" s="177"/>
      <c r="U264" s="177"/>
      <c r="V264" s="177"/>
      <c r="W264" s="177"/>
      <c r="X264" s="177"/>
      <c r="Y264" s="177"/>
      <c r="Z264" s="177"/>
      <c r="AA264" s="177">
        <f t="shared" si="136"/>
        <v>1</v>
      </c>
    </row>
    <row r="265" spans="1:27" ht="63.75" customHeight="1">
      <c r="B265" s="97"/>
      <c r="C265" s="98"/>
      <c r="D265" s="99"/>
      <c r="E265" s="895"/>
      <c r="F265" s="315" t="s">
        <v>280</v>
      </c>
      <c r="G265" s="315" t="s">
        <v>270</v>
      </c>
      <c r="H265" s="315" t="s">
        <v>443</v>
      </c>
      <c r="I265" s="315" t="s">
        <v>445</v>
      </c>
      <c r="J265" s="315" t="s">
        <v>281</v>
      </c>
      <c r="K265" s="100"/>
      <c r="L265" s="11"/>
      <c r="R265" s="128" t="s">
        <v>280</v>
      </c>
      <c r="S265" s="128" t="s">
        <v>446</v>
      </c>
      <c r="T265" s="297" t="s">
        <v>443</v>
      </c>
      <c r="U265" s="297" t="s">
        <v>444</v>
      </c>
      <c r="V265" s="258" t="s">
        <v>272</v>
      </c>
      <c r="W265" s="128" t="s">
        <v>432</v>
      </c>
      <c r="X265" s="131" t="s">
        <v>408</v>
      </c>
      <c r="Y265" s="131" t="s">
        <v>436</v>
      </c>
      <c r="Z265" s="128" t="s">
        <v>431</v>
      </c>
      <c r="AA265" s="257"/>
    </row>
    <row r="266" spans="1:27" hidden="1">
      <c r="B266" s="97"/>
      <c r="C266" s="98"/>
      <c r="D266" s="99"/>
      <c r="E266" s="896"/>
      <c r="F266" s="441"/>
      <c r="G266" s="441"/>
      <c r="H266" s="445"/>
      <c r="I266" s="445"/>
      <c r="J266" s="441"/>
      <c r="K266" s="100"/>
      <c r="L266" s="11"/>
      <c r="R266" s="131">
        <f t="shared" ref="R266:R271" si="137">IF(F266="実施済",1,0)</f>
        <v>0</v>
      </c>
      <c r="S266" s="131">
        <f t="shared" ref="S266:S271" si="138">IF(G266="実施済",R266*1,0)</f>
        <v>0</v>
      </c>
      <c r="T266" s="131">
        <f t="shared" ref="T266:T271" si="139">IF(H266="実施済",S266*1,0)</f>
        <v>0</v>
      </c>
      <c r="U266" s="131">
        <f t="shared" ref="U266:U271" si="140">IF(I266="実施済",T266*1,0)</f>
        <v>0</v>
      </c>
      <c r="V266" s="260"/>
      <c r="W266" s="131" t="str">
        <f>IF(OR(E266="〇〇(合意形成対象者名に書き換え)",E266=""),"",SUM(S266,T266,U266))</f>
        <v/>
      </c>
      <c r="X266" s="131">
        <f t="shared" ref="X266:X271" si="141">MIN($W$266:$W$271)+1</f>
        <v>1</v>
      </c>
      <c r="Y266" s="131">
        <f>IF(E266="",1,IF(AND(E266="〇〇(合意形成対象者名に書き換え)",COUNTA($F266:$J266)=0),1,IF(AND(E266&lt;&gt;"〇〇(合意形成対象者名に書き換え)",COUNTA($F266:$J266)=5),1,0)))</f>
        <v>1</v>
      </c>
      <c r="Z266" s="131" t="str" cm="1">
        <f t="array" ref="Z266">_xlfn.IFS(X266=4,"A",X266=3,"B",X266=2,"C",X266=1,"D")</f>
        <v>D</v>
      </c>
      <c r="AA266" s="257"/>
    </row>
    <row r="267" spans="1:27">
      <c r="B267" s="97"/>
      <c r="C267" s="98"/>
      <c r="D267" s="99"/>
      <c r="E267" s="897" t="s">
        <v>129</v>
      </c>
      <c r="F267" s="448"/>
      <c r="G267" s="448"/>
      <c r="H267" s="447"/>
      <c r="I267" s="447"/>
      <c r="J267" s="448"/>
      <c r="K267" s="100"/>
      <c r="L267" s="11"/>
      <c r="R267" s="131">
        <f t="shared" si="137"/>
        <v>0</v>
      </c>
      <c r="S267" s="131">
        <f t="shared" si="138"/>
        <v>0</v>
      </c>
      <c r="T267" s="131">
        <f t="shared" si="139"/>
        <v>0</v>
      </c>
      <c r="U267" s="131">
        <f t="shared" si="140"/>
        <v>0</v>
      </c>
      <c r="V267" s="260"/>
      <c r="W267" s="131" t="str">
        <f t="shared" ref="W267:W271" si="142">IF(OR(E267="〇〇(合意形成対象者名に書き換え)",E267=""),"",SUM(S267,T267,U267))</f>
        <v/>
      </c>
      <c r="X267" s="131">
        <f t="shared" si="141"/>
        <v>1</v>
      </c>
      <c r="Y267" s="131">
        <f t="shared" ref="Y267:Y271" si="143">IF(E267="",1,IF(AND(E267="〇〇(合意形成対象者名に書き換え)",COUNTA($F267:$J267)=0),1,IF(AND(E267&lt;&gt;"〇〇(合意形成対象者名に書き換え)",COUNTA($F267:$J267)=5),1,0)))</f>
        <v>1</v>
      </c>
      <c r="Z267" s="131" t="str" cm="1">
        <f t="array" ref="Z267">_xlfn.IFS(X267=4,"A",X267=3,"B",X267=2,"C",X267=1,"D")</f>
        <v>D</v>
      </c>
      <c r="AA267" s="257"/>
    </row>
    <row r="268" spans="1:27">
      <c r="B268" s="97"/>
      <c r="C268" s="98"/>
      <c r="D268" s="99"/>
      <c r="E268" s="897" t="s">
        <v>129</v>
      </c>
      <c r="F268" s="443"/>
      <c r="G268" s="443"/>
      <c r="H268" s="449"/>
      <c r="I268" s="449"/>
      <c r="J268" s="443"/>
      <c r="K268" s="100"/>
      <c r="L268" s="11"/>
      <c r="R268" s="131">
        <f t="shared" si="137"/>
        <v>0</v>
      </c>
      <c r="S268" s="131">
        <f t="shared" si="138"/>
        <v>0</v>
      </c>
      <c r="T268" s="131">
        <f t="shared" si="139"/>
        <v>0</v>
      </c>
      <c r="U268" s="131">
        <f t="shared" si="140"/>
        <v>0</v>
      </c>
      <c r="V268" s="260"/>
      <c r="W268" s="131" t="str">
        <f t="shared" si="142"/>
        <v/>
      </c>
      <c r="X268" s="131">
        <f t="shared" si="141"/>
        <v>1</v>
      </c>
      <c r="Y268" s="131">
        <f t="shared" si="143"/>
        <v>1</v>
      </c>
      <c r="Z268" s="131" t="str" cm="1">
        <f t="array" ref="Z268">_xlfn.IFS(X268=4,"A",X268=3,"B",X268=2,"C",X268=1,"D")</f>
        <v>D</v>
      </c>
      <c r="AA268" s="257"/>
    </row>
    <row r="269" spans="1:27" s="101" customFormat="1">
      <c r="A269" s="11"/>
      <c r="B269" s="97"/>
      <c r="C269" s="98"/>
      <c r="D269" s="99"/>
      <c r="E269" s="897" t="s">
        <v>129</v>
      </c>
      <c r="F269" s="443"/>
      <c r="G269" s="443"/>
      <c r="H269" s="449"/>
      <c r="I269" s="449"/>
      <c r="J269" s="443"/>
      <c r="K269" s="100"/>
      <c r="L269" s="11"/>
      <c r="O269" s="11"/>
      <c r="P269" s="11"/>
      <c r="Q269" s="11"/>
      <c r="R269" s="131">
        <f t="shared" si="137"/>
        <v>0</v>
      </c>
      <c r="S269" s="131">
        <f t="shared" si="138"/>
        <v>0</v>
      </c>
      <c r="T269" s="131">
        <f t="shared" si="139"/>
        <v>0</v>
      </c>
      <c r="U269" s="131">
        <f t="shared" si="140"/>
        <v>0</v>
      </c>
      <c r="V269" s="260"/>
      <c r="W269" s="131" t="str">
        <f t="shared" si="142"/>
        <v/>
      </c>
      <c r="X269" s="131">
        <f t="shared" si="141"/>
        <v>1</v>
      </c>
      <c r="Y269" s="131">
        <f t="shared" si="143"/>
        <v>1</v>
      </c>
      <c r="Z269" s="131" t="str" cm="1">
        <f t="array" ref="Z269">_xlfn.IFS(X269=4,"A",X269=3,"B",X269=2,"C",X269=1,"D")</f>
        <v>D</v>
      </c>
      <c r="AA269" s="131"/>
    </row>
    <row r="270" spans="1:27" customFormat="1" ht="7.5" customHeight="1">
      <c r="B270" s="65"/>
      <c r="C270" s="4"/>
      <c r="D270" s="4"/>
      <c r="E270" s="290"/>
      <c r="F270" s="4"/>
      <c r="G270" s="4"/>
      <c r="H270" s="4"/>
      <c r="I270" s="4"/>
      <c r="J270" s="4"/>
      <c r="K270" s="9"/>
      <c r="L270" s="2"/>
      <c r="M270" s="2"/>
      <c r="N270" s="2"/>
      <c r="R270" s="131">
        <f t="shared" si="137"/>
        <v>0</v>
      </c>
      <c r="S270" s="131">
        <f t="shared" si="138"/>
        <v>0</v>
      </c>
      <c r="T270" s="131">
        <f t="shared" si="139"/>
        <v>0</v>
      </c>
      <c r="U270" s="131">
        <f t="shared" si="140"/>
        <v>0</v>
      </c>
      <c r="V270" s="260"/>
      <c r="W270" s="131" t="str">
        <f t="shared" si="142"/>
        <v/>
      </c>
      <c r="X270" s="131">
        <f t="shared" si="141"/>
        <v>1</v>
      </c>
      <c r="Y270" s="131">
        <f t="shared" si="143"/>
        <v>1</v>
      </c>
      <c r="Z270" s="131" t="str" cm="1">
        <f t="array" ref="Z270">_xlfn.IFS(X270=4,"A",X270=3,"B",X270=2,"C",X270=1,"D")</f>
        <v>D</v>
      </c>
      <c r="AA270" s="177"/>
    </row>
    <row r="271" spans="1:27" customFormat="1" ht="6" customHeight="1">
      <c r="E271" s="3"/>
      <c r="L271" s="2"/>
      <c r="M271" s="2"/>
      <c r="N271" s="2"/>
      <c r="R271" s="131">
        <f t="shared" si="137"/>
        <v>0</v>
      </c>
      <c r="S271" s="131">
        <f t="shared" si="138"/>
        <v>0</v>
      </c>
      <c r="T271" s="131">
        <f t="shared" si="139"/>
        <v>0</v>
      </c>
      <c r="U271" s="131">
        <f t="shared" si="140"/>
        <v>0</v>
      </c>
      <c r="V271" s="260"/>
      <c r="W271" s="131" t="str">
        <f t="shared" si="142"/>
        <v/>
      </c>
      <c r="X271" s="131">
        <f t="shared" si="141"/>
        <v>1</v>
      </c>
      <c r="Y271" s="131">
        <f t="shared" si="143"/>
        <v>1</v>
      </c>
      <c r="Z271" s="131" t="str" cm="1">
        <f t="array" ref="Z271">_xlfn.IFS(X271=4,"A",X271=3,"B",X271=2,"C",X271=1,"D")</f>
        <v>D</v>
      </c>
      <c r="AA271" s="177"/>
    </row>
    <row r="272" spans="1:27" customFormat="1" ht="103.5" customHeight="1">
      <c r="C272" s="78"/>
      <c r="D272" s="79"/>
      <c r="E272" s="71" t="s">
        <v>238</v>
      </c>
      <c r="F272" s="1057"/>
      <c r="G272" s="1057"/>
      <c r="H272" s="1057"/>
      <c r="I272" s="1057"/>
      <c r="J272" s="1057"/>
      <c r="K272" s="80" t="s">
        <v>132</v>
      </c>
      <c r="L272" s="80"/>
    </row>
    <row r="273" spans="1:27" customFormat="1" ht="146.25" customHeight="1">
      <c r="C273" s="75"/>
      <c r="D273" s="68"/>
      <c r="E273" s="71" t="s">
        <v>237</v>
      </c>
      <c r="F273" s="1057"/>
      <c r="G273" s="1057"/>
      <c r="H273" s="1057"/>
      <c r="I273" s="1057"/>
      <c r="J273" s="1057"/>
      <c r="L273" s="2"/>
      <c r="M273" s="2"/>
      <c r="N273" s="2"/>
    </row>
    <row r="274" spans="1:27" customFormat="1" ht="13.5" customHeight="1" thickBot="1">
      <c r="A274" s="81"/>
      <c r="B274" s="81"/>
      <c r="C274" s="81"/>
      <c r="D274" s="81"/>
      <c r="E274" s="313"/>
      <c r="F274" s="81"/>
      <c r="G274" s="81"/>
      <c r="H274" s="81"/>
      <c r="I274" s="81"/>
      <c r="J274" s="81"/>
      <c r="K274" s="81"/>
      <c r="L274" s="82"/>
      <c r="M274" s="2"/>
      <c r="N274" s="2"/>
    </row>
    <row r="275" spans="1:27" customFormat="1" ht="13.5" customHeight="1">
      <c r="E275" s="3"/>
      <c r="L275" s="2"/>
      <c r="M275" s="2"/>
      <c r="N275" s="2"/>
    </row>
    <row r="276" spans="1:27" customFormat="1" ht="15" customHeight="1">
      <c r="B276" s="10"/>
      <c r="C276" s="5"/>
      <c r="D276" s="5"/>
      <c r="E276" s="307"/>
      <c r="F276" s="5"/>
      <c r="G276" s="5"/>
      <c r="H276" s="5"/>
      <c r="I276" s="5"/>
      <c r="J276" s="5"/>
      <c r="K276" s="6"/>
      <c r="R276" s="11" t="str">
        <f>D277</f>
        <v>(選択してください)</v>
      </c>
    </row>
    <row r="277" spans="1:27" customFormat="1">
      <c r="B277" s="7"/>
      <c r="C277" s="77" t="str">
        <f ca="1">IFERROR(OFFSET('4.3民生部門電力以外の排出削減取組'!$C$1,MATCH(D277,'4.3民生部門電力以外の排出削減取組'!$E:$E,0)-1,0),"")</f>
        <v/>
      </c>
      <c r="D277" s="96" t="s">
        <v>130</v>
      </c>
      <c r="E277" s="72" t="s">
        <v>12</v>
      </c>
      <c r="F277" s="1063" t="str">
        <f ca="1">IFERROR(OFFSET('4.3民生部門電力以外の排出削減取組'!$G$1,MATCH($D277,'4.3民生部門電力以外の排出削減取組'!$E:$E,0)-1,0),"")</f>
        <v/>
      </c>
      <c r="G277" s="1063"/>
      <c r="H277" s="1063"/>
      <c r="I277" s="1063"/>
      <c r="J277" s="1063"/>
      <c r="K277" s="8"/>
      <c r="R277" s="257" t="str">
        <f ca="1">IFERROR(OFFSET('4.3民生部門電力以外の排出削減取組'!$G$1,MATCH($D277,'4.3民生部門電力以外の排出削減取組'!$E:$E,0)-1,0),"")</f>
        <v/>
      </c>
      <c r="S277" s="177"/>
      <c r="T277" s="177"/>
      <c r="U277" s="177"/>
      <c r="V277" s="177"/>
      <c r="W277" s="177"/>
      <c r="X277" s="177"/>
      <c r="Y277" s="177"/>
      <c r="Z277" s="177"/>
      <c r="AA277" s="177">
        <f ca="1">(F277=R277)*1</f>
        <v>1</v>
      </c>
    </row>
    <row r="278" spans="1:27" customFormat="1">
      <c r="B278" s="7"/>
      <c r="C278" s="74"/>
      <c r="D278" s="66"/>
      <c r="E278" s="72" t="s">
        <v>282</v>
      </c>
      <c r="F278" s="1080" t="str">
        <f ca="1">IFERROR(OFFSET('4.3民生部門電力以外の排出削減取組'!$H$1,MATCH($D277,'4.3民生部門電力以外の排出削減取組'!$E:$E,0)-1,0),"")</f>
        <v/>
      </c>
      <c r="G278" s="1080"/>
      <c r="H278" s="1080"/>
      <c r="I278" s="1080"/>
      <c r="J278" s="1080"/>
      <c r="K278" s="8"/>
      <c r="R278" s="177" t="str">
        <f ca="1">IFERROR(OFFSET('4.3民生部門電力以外の排出削減取組'!$H$1,MATCH($D277,'4.3民生部門電力以外の排出削減取組'!$E:$E,0)-1,0),"")</f>
        <v/>
      </c>
      <c r="S278" s="177"/>
      <c r="T278" s="177"/>
      <c r="U278" s="177"/>
      <c r="V278" s="177"/>
      <c r="W278" s="177"/>
      <c r="X278" s="177"/>
      <c r="Y278" s="177"/>
      <c r="Z278" s="177"/>
      <c r="AA278" s="177">
        <f t="shared" ref="AA278:AA279" ca="1" si="144">(F278=R278)*1</f>
        <v>1</v>
      </c>
    </row>
    <row r="279" spans="1:27" customFormat="1">
      <c r="B279" s="7"/>
      <c r="C279" s="74"/>
      <c r="D279" s="66"/>
      <c r="E279" s="72" t="s">
        <v>176</v>
      </c>
      <c r="F279" s="1063" t="str">
        <f>_xlfn.IFNA(R279,"")</f>
        <v/>
      </c>
      <c r="G279" s="1063"/>
      <c r="H279" s="1063"/>
      <c r="I279" s="1063"/>
      <c r="J279" s="1063"/>
      <c r="K279" s="8"/>
      <c r="R279" s="131" t="str">
        <f>IF(OR(COUNTIF($E281:$E286,"&lt;&gt;〇〇(合意形成対象者名に書き換え)")=3,COUNTIF($E281:$E286,"")&gt;3),"",IF(PRODUCT($Y281:$Y286)=1,Z281,""))</f>
        <v/>
      </c>
      <c r="S279" s="177"/>
      <c r="T279" s="177"/>
      <c r="U279" s="177"/>
      <c r="V279" s="177"/>
      <c r="W279" s="177"/>
      <c r="X279" s="177"/>
      <c r="Y279" s="177"/>
      <c r="Z279" s="177"/>
      <c r="AA279" s="177">
        <f t="shared" si="144"/>
        <v>1</v>
      </c>
    </row>
    <row r="280" spans="1:27" ht="63.75" customHeight="1">
      <c r="B280" s="97"/>
      <c r="C280" s="98"/>
      <c r="D280" s="99"/>
      <c r="E280" s="895"/>
      <c r="F280" s="315" t="s">
        <v>280</v>
      </c>
      <c r="G280" s="315" t="s">
        <v>270</v>
      </c>
      <c r="H280" s="315" t="s">
        <v>443</v>
      </c>
      <c r="I280" s="315" t="s">
        <v>445</v>
      </c>
      <c r="J280" s="315" t="s">
        <v>281</v>
      </c>
      <c r="K280" s="100"/>
      <c r="L280" s="11"/>
      <c r="R280" s="128" t="s">
        <v>280</v>
      </c>
      <c r="S280" s="128" t="s">
        <v>446</v>
      </c>
      <c r="T280" s="297" t="s">
        <v>443</v>
      </c>
      <c r="U280" s="297" t="s">
        <v>444</v>
      </c>
      <c r="V280" s="258" t="s">
        <v>272</v>
      </c>
      <c r="W280" s="128" t="s">
        <v>432</v>
      </c>
      <c r="X280" s="131" t="s">
        <v>408</v>
      </c>
      <c r="Y280" s="131" t="s">
        <v>436</v>
      </c>
      <c r="Z280" s="128" t="s">
        <v>431</v>
      </c>
      <c r="AA280" s="257"/>
    </row>
    <row r="281" spans="1:27" hidden="1">
      <c r="B281" s="97"/>
      <c r="C281" s="98"/>
      <c r="D281" s="99"/>
      <c r="E281" s="896"/>
      <c r="F281" s="441"/>
      <c r="G281" s="441"/>
      <c r="H281" s="445"/>
      <c r="I281" s="445"/>
      <c r="J281" s="441"/>
      <c r="K281" s="100"/>
      <c r="L281" s="11"/>
      <c r="R281" s="131">
        <f t="shared" ref="R281:R286" si="145">IF(F281="実施済",1,0)</f>
        <v>0</v>
      </c>
      <c r="S281" s="131">
        <f t="shared" ref="S281:S286" si="146">IF(G281="実施済",R281*1,0)</f>
        <v>0</v>
      </c>
      <c r="T281" s="131">
        <f t="shared" ref="T281:T286" si="147">IF(H281="実施済",S281*1,0)</f>
        <v>0</v>
      </c>
      <c r="U281" s="131">
        <f t="shared" ref="U281:U286" si="148">IF(I281="実施済",T281*1,0)</f>
        <v>0</v>
      </c>
      <c r="V281" s="260"/>
      <c r="W281" s="131" t="str">
        <f>IF(OR(E281="〇〇(合意形成対象者名に書き換え)",E281=""),"",SUM(S281,T281,U281))</f>
        <v/>
      </c>
      <c r="X281" s="131">
        <f t="shared" ref="X281:X286" si="149">MIN($W$281:$W$286)+1</f>
        <v>1</v>
      </c>
      <c r="Y281" s="131">
        <f>IF(E281="",1,IF(AND(E281="〇〇(合意形成対象者名に書き換え)",COUNTA($F281:$J281)=0),1,IF(AND(E281&lt;&gt;"〇〇(合意形成対象者名に書き換え)",COUNTA($F281:$J281)=5),1,0)))</f>
        <v>1</v>
      </c>
      <c r="Z281" s="131" t="str" cm="1">
        <f t="array" ref="Z281">_xlfn.IFS(X281=4,"A",X281=3,"B",X281=2,"C",X281=1,"D")</f>
        <v>D</v>
      </c>
      <c r="AA281" s="257"/>
    </row>
    <row r="282" spans="1:27">
      <c r="B282" s="97"/>
      <c r="C282" s="98"/>
      <c r="D282" s="99"/>
      <c r="E282" s="897" t="s">
        <v>129</v>
      </c>
      <c r="F282" s="448"/>
      <c r="G282" s="448"/>
      <c r="H282" s="447"/>
      <c r="I282" s="447"/>
      <c r="J282" s="448"/>
      <c r="K282" s="100"/>
      <c r="L282" s="11"/>
      <c r="R282" s="131">
        <f t="shared" si="145"/>
        <v>0</v>
      </c>
      <c r="S282" s="131">
        <f t="shared" si="146"/>
        <v>0</v>
      </c>
      <c r="T282" s="131">
        <f t="shared" si="147"/>
        <v>0</v>
      </c>
      <c r="U282" s="131">
        <f t="shared" si="148"/>
        <v>0</v>
      </c>
      <c r="V282" s="260"/>
      <c r="W282" s="131" t="str">
        <f t="shared" ref="W282:W286" si="150">IF(OR(E282="〇〇(合意形成対象者名に書き換え)",E282=""),"",SUM(S282,T282,U282))</f>
        <v/>
      </c>
      <c r="X282" s="131">
        <f t="shared" si="149"/>
        <v>1</v>
      </c>
      <c r="Y282" s="131">
        <f t="shared" ref="Y282:Y286" si="151">IF(E282="",1,IF(AND(E282="〇〇(合意形成対象者名に書き換え)",COUNTA($F282:$J282)=0),1,IF(AND(E282&lt;&gt;"〇〇(合意形成対象者名に書き換え)",COUNTA($F282:$J282)=5),1,0)))</f>
        <v>1</v>
      </c>
      <c r="Z282" s="131" t="str" cm="1">
        <f t="array" ref="Z282">_xlfn.IFS(X282=4,"A",X282=3,"B",X282=2,"C",X282=1,"D")</f>
        <v>D</v>
      </c>
      <c r="AA282" s="257"/>
    </row>
    <row r="283" spans="1:27">
      <c r="B283" s="97"/>
      <c r="C283" s="98"/>
      <c r="D283" s="99"/>
      <c r="E283" s="897" t="s">
        <v>129</v>
      </c>
      <c r="F283" s="443"/>
      <c r="G283" s="443"/>
      <c r="H283" s="449"/>
      <c r="I283" s="449"/>
      <c r="J283" s="443"/>
      <c r="K283" s="100"/>
      <c r="L283" s="11"/>
      <c r="R283" s="131">
        <f t="shared" si="145"/>
        <v>0</v>
      </c>
      <c r="S283" s="131">
        <f t="shared" si="146"/>
        <v>0</v>
      </c>
      <c r="T283" s="131">
        <f t="shared" si="147"/>
        <v>0</v>
      </c>
      <c r="U283" s="131">
        <f t="shared" si="148"/>
        <v>0</v>
      </c>
      <c r="V283" s="260"/>
      <c r="W283" s="131" t="str">
        <f t="shared" si="150"/>
        <v/>
      </c>
      <c r="X283" s="131">
        <f t="shared" si="149"/>
        <v>1</v>
      </c>
      <c r="Y283" s="131">
        <f t="shared" si="151"/>
        <v>1</v>
      </c>
      <c r="Z283" s="131" t="str" cm="1">
        <f t="array" ref="Z283">_xlfn.IFS(X283=4,"A",X283=3,"B",X283=2,"C",X283=1,"D")</f>
        <v>D</v>
      </c>
      <c r="AA283" s="257"/>
    </row>
    <row r="284" spans="1:27" s="101" customFormat="1">
      <c r="A284" s="11"/>
      <c r="B284" s="97"/>
      <c r="C284" s="98"/>
      <c r="D284" s="99"/>
      <c r="E284" s="897" t="s">
        <v>129</v>
      </c>
      <c r="F284" s="443"/>
      <c r="G284" s="443"/>
      <c r="H284" s="449"/>
      <c r="I284" s="449"/>
      <c r="J284" s="443"/>
      <c r="K284" s="100"/>
      <c r="L284" s="11"/>
      <c r="O284" s="11"/>
      <c r="P284" s="11"/>
      <c r="Q284" s="11"/>
      <c r="R284" s="131">
        <f t="shared" si="145"/>
        <v>0</v>
      </c>
      <c r="S284" s="131">
        <f t="shared" si="146"/>
        <v>0</v>
      </c>
      <c r="T284" s="131">
        <f t="shared" si="147"/>
        <v>0</v>
      </c>
      <c r="U284" s="131">
        <f t="shared" si="148"/>
        <v>0</v>
      </c>
      <c r="V284" s="260"/>
      <c r="W284" s="131" t="str">
        <f t="shared" si="150"/>
        <v/>
      </c>
      <c r="X284" s="131">
        <f t="shared" si="149"/>
        <v>1</v>
      </c>
      <c r="Y284" s="131">
        <f t="shared" si="151"/>
        <v>1</v>
      </c>
      <c r="Z284" s="131" t="str" cm="1">
        <f t="array" ref="Z284">_xlfn.IFS(X284=4,"A",X284=3,"B",X284=2,"C",X284=1,"D")</f>
        <v>D</v>
      </c>
      <c r="AA284" s="131"/>
    </row>
    <row r="285" spans="1:27" customFormat="1" ht="7.5" customHeight="1">
      <c r="B285" s="65"/>
      <c r="C285" s="4"/>
      <c r="D285" s="4"/>
      <c r="E285" s="290"/>
      <c r="F285" s="4"/>
      <c r="G285" s="4"/>
      <c r="H285" s="4"/>
      <c r="I285" s="4"/>
      <c r="J285" s="4"/>
      <c r="K285" s="9"/>
      <c r="L285" s="2"/>
      <c r="M285" s="2"/>
      <c r="N285" s="2"/>
      <c r="R285" s="131">
        <f t="shared" si="145"/>
        <v>0</v>
      </c>
      <c r="S285" s="131">
        <f t="shared" si="146"/>
        <v>0</v>
      </c>
      <c r="T285" s="131">
        <f t="shared" si="147"/>
        <v>0</v>
      </c>
      <c r="U285" s="131">
        <f t="shared" si="148"/>
        <v>0</v>
      </c>
      <c r="V285" s="260"/>
      <c r="W285" s="131" t="str">
        <f t="shared" si="150"/>
        <v/>
      </c>
      <c r="X285" s="131">
        <f t="shared" si="149"/>
        <v>1</v>
      </c>
      <c r="Y285" s="131">
        <f t="shared" si="151"/>
        <v>1</v>
      </c>
      <c r="Z285" s="131" t="str" cm="1">
        <f t="array" ref="Z285">_xlfn.IFS(X285=4,"A",X285=3,"B",X285=2,"C",X285=1,"D")</f>
        <v>D</v>
      </c>
      <c r="AA285" s="177"/>
    </row>
    <row r="286" spans="1:27" customFormat="1" ht="6" customHeight="1">
      <c r="E286" s="3"/>
      <c r="L286" s="2"/>
      <c r="M286" s="2"/>
      <c r="N286" s="2"/>
      <c r="R286" s="131">
        <f t="shared" si="145"/>
        <v>0</v>
      </c>
      <c r="S286" s="131">
        <f t="shared" si="146"/>
        <v>0</v>
      </c>
      <c r="T286" s="131">
        <f t="shared" si="147"/>
        <v>0</v>
      </c>
      <c r="U286" s="131">
        <f t="shared" si="148"/>
        <v>0</v>
      </c>
      <c r="V286" s="260"/>
      <c r="W286" s="131" t="str">
        <f t="shared" si="150"/>
        <v/>
      </c>
      <c r="X286" s="131">
        <f t="shared" si="149"/>
        <v>1</v>
      </c>
      <c r="Y286" s="131">
        <f t="shared" si="151"/>
        <v>1</v>
      </c>
      <c r="Z286" s="131" t="str" cm="1">
        <f t="array" ref="Z286">_xlfn.IFS(X286=4,"A",X286=3,"B",X286=2,"C",X286=1,"D")</f>
        <v>D</v>
      </c>
      <c r="AA286" s="177"/>
    </row>
    <row r="287" spans="1:27" customFormat="1" ht="103.5" customHeight="1">
      <c r="C287" s="78"/>
      <c r="D287" s="79"/>
      <c r="E287" s="71" t="s">
        <v>238</v>
      </c>
      <c r="F287" s="1057"/>
      <c r="G287" s="1057"/>
      <c r="H287" s="1057"/>
      <c r="I287" s="1057"/>
      <c r="J287" s="1057"/>
      <c r="K287" s="80" t="s">
        <v>132</v>
      </c>
      <c r="L287" s="80"/>
    </row>
    <row r="288" spans="1:27" customFormat="1" ht="146.25" customHeight="1">
      <c r="C288" s="75"/>
      <c r="D288" s="68"/>
      <c r="E288" s="71" t="s">
        <v>237</v>
      </c>
      <c r="F288" s="1057"/>
      <c r="G288" s="1057"/>
      <c r="H288" s="1057"/>
      <c r="I288" s="1057"/>
      <c r="J288" s="1057"/>
      <c r="L288" s="2"/>
      <c r="M288" s="2"/>
      <c r="N288" s="2"/>
    </row>
    <row r="289" spans="1:27" customFormat="1" ht="13.5" customHeight="1" thickBot="1">
      <c r="A289" s="81"/>
      <c r="B289" s="81"/>
      <c r="C289" s="81"/>
      <c r="D289" s="81"/>
      <c r="E289" s="313"/>
      <c r="F289" s="81"/>
      <c r="G289" s="81"/>
      <c r="H289" s="81"/>
      <c r="I289" s="81"/>
      <c r="J289" s="81"/>
      <c r="K289" s="81"/>
      <c r="L289" s="82"/>
      <c r="M289" s="2"/>
      <c r="N289" s="2"/>
    </row>
    <row r="290" spans="1:27" customFormat="1" ht="13.5" customHeight="1">
      <c r="E290" s="3"/>
      <c r="L290" s="2"/>
      <c r="M290" s="2"/>
      <c r="N290" s="2"/>
    </row>
    <row r="291" spans="1:27" customFormat="1" ht="15" customHeight="1">
      <c r="B291" s="10"/>
      <c r="C291" s="5"/>
      <c r="D291" s="5"/>
      <c r="E291" s="307"/>
      <c r="F291" s="5"/>
      <c r="G291" s="5"/>
      <c r="H291" s="5"/>
      <c r="I291" s="5"/>
      <c r="J291" s="5"/>
      <c r="K291" s="6"/>
      <c r="R291" s="11" t="str">
        <f>D292</f>
        <v>(選択してください)</v>
      </c>
    </row>
    <row r="292" spans="1:27" customFormat="1">
      <c r="B292" s="7"/>
      <c r="C292" s="77" t="str">
        <f ca="1">IFERROR(OFFSET('4.3民生部門電力以外の排出削減取組'!$C$1,MATCH(D292,'4.3民生部門電力以外の排出削減取組'!$E:$E,0)-1,0),"")</f>
        <v/>
      </c>
      <c r="D292" s="96" t="s">
        <v>130</v>
      </c>
      <c r="E292" s="72" t="s">
        <v>12</v>
      </c>
      <c r="F292" s="1063" t="str">
        <f ca="1">IFERROR(OFFSET('4.3民生部門電力以外の排出削減取組'!$G$1,MATCH($D292,'4.3民生部門電力以外の排出削減取組'!$E:$E,0)-1,0),"")</f>
        <v/>
      </c>
      <c r="G292" s="1063"/>
      <c r="H292" s="1063"/>
      <c r="I292" s="1063"/>
      <c r="J292" s="1063"/>
      <c r="K292" s="8"/>
      <c r="R292" s="257" t="str">
        <f ca="1">IFERROR(OFFSET('4.3民生部門電力以外の排出削減取組'!$G$1,MATCH($D292,'4.3民生部門電力以外の排出削減取組'!$E:$E,0)-1,0),"")</f>
        <v/>
      </c>
      <c r="S292" s="177"/>
      <c r="T292" s="177"/>
      <c r="U292" s="177"/>
      <c r="V292" s="177"/>
      <c r="W292" s="177"/>
      <c r="X292" s="177"/>
      <c r="Y292" s="177"/>
      <c r="Z292" s="177"/>
      <c r="AA292" s="177">
        <f ca="1">(F292=R292)*1</f>
        <v>1</v>
      </c>
    </row>
    <row r="293" spans="1:27" customFormat="1">
      <c r="B293" s="7"/>
      <c r="C293" s="74"/>
      <c r="D293" s="66"/>
      <c r="E293" s="72" t="s">
        <v>282</v>
      </c>
      <c r="F293" s="1080" t="str">
        <f ca="1">IFERROR(OFFSET('4.3民生部門電力以外の排出削減取組'!$H$1,MATCH($D292,'4.3民生部門電力以外の排出削減取組'!$E:$E,0)-1,0),"")</f>
        <v/>
      </c>
      <c r="G293" s="1080"/>
      <c r="H293" s="1080"/>
      <c r="I293" s="1080"/>
      <c r="J293" s="1080"/>
      <c r="K293" s="8"/>
      <c r="R293" s="177" t="str">
        <f ca="1">IFERROR(OFFSET('4.3民生部門電力以外の排出削減取組'!$H$1,MATCH($D292,'4.3民生部門電力以外の排出削減取組'!$E:$E,0)-1,0),"")</f>
        <v/>
      </c>
      <c r="S293" s="177"/>
      <c r="T293" s="177"/>
      <c r="U293" s="177"/>
      <c r="V293" s="177"/>
      <c r="W293" s="177"/>
      <c r="X293" s="177"/>
      <c r="Y293" s="177"/>
      <c r="Z293" s="177"/>
      <c r="AA293" s="177">
        <f t="shared" ref="AA293:AA294" ca="1" si="152">(F293=R293)*1</f>
        <v>1</v>
      </c>
    </row>
    <row r="294" spans="1:27" customFormat="1">
      <c r="B294" s="7"/>
      <c r="C294" s="74"/>
      <c r="D294" s="66"/>
      <c r="E294" s="72" t="s">
        <v>176</v>
      </c>
      <c r="F294" s="1063" t="str">
        <f>_xlfn.IFNA(R294,"")</f>
        <v/>
      </c>
      <c r="G294" s="1063"/>
      <c r="H294" s="1063"/>
      <c r="I294" s="1063"/>
      <c r="J294" s="1063"/>
      <c r="K294" s="8"/>
      <c r="R294" s="131" t="str">
        <f>IF(OR(COUNTIF($E296:$E301,"&lt;&gt;〇〇(合意形成対象者名に書き換え)")=3,COUNTIF($E296:$E301,"")&gt;3),"",IF(PRODUCT($Y296:$Y301)=1,Z296,""))</f>
        <v/>
      </c>
      <c r="S294" s="177"/>
      <c r="T294" s="177"/>
      <c r="U294" s="177"/>
      <c r="V294" s="177"/>
      <c r="W294" s="177"/>
      <c r="X294" s="177"/>
      <c r="Y294" s="177"/>
      <c r="Z294" s="177"/>
      <c r="AA294" s="177">
        <f t="shared" si="152"/>
        <v>1</v>
      </c>
    </row>
    <row r="295" spans="1:27" ht="63.75" customHeight="1">
      <c r="B295" s="97"/>
      <c r="C295" s="98"/>
      <c r="D295" s="99"/>
      <c r="E295" s="895"/>
      <c r="F295" s="315" t="s">
        <v>280</v>
      </c>
      <c r="G295" s="315" t="s">
        <v>270</v>
      </c>
      <c r="H295" s="315" t="s">
        <v>443</v>
      </c>
      <c r="I295" s="315" t="s">
        <v>445</v>
      </c>
      <c r="J295" s="315" t="s">
        <v>281</v>
      </c>
      <c r="K295" s="100"/>
      <c r="L295" s="11"/>
      <c r="R295" s="128" t="s">
        <v>280</v>
      </c>
      <c r="S295" s="128" t="s">
        <v>446</v>
      </c>
      <c r="T295" s="297" t="s">
        <v>443</v>
      </c>
      <c r="U295" s="297" t="s">
        <v>444</v>
      </c>
      <c r="V295" s="258" t="s">
        <v>272</v>
      </c>
      <c r="W295" s="128" t="s">
        <v>432</v>
      </c>
      <c r="X295" s="131" t="s">
        <v>408</v>
      </c>
      <c r="Y295" s="131" t="s">
        <v>436</v>
      </c>
      <c r="Z295" s="128" t="s">
        <v>431</v>
      </c>
      <c r="AA295" s="257"/>
    </row>
    <row r="296" spans="1:27" hidden="1">
      <c r="B296" s="97"/>
      <c r="C296" s="98"/>
      <c r="D296" s="99"/>
      <c r="E296" s="896"/>
      <c r="F296" s="441"/>
      <c r="G296" s="441"/>
      <c r="H296" s="445"/>
      <c r="I296" s="445"/>
      <c r="J296" s="441"/>
      <c r="K296" s="100"/>
      <c r="L296" s="11"/>
      <c r="R296" s="131">
        <f t="shared" ref="R296:R301" si="153">IF(F296="実施済",1,0)</f>
        <v>0</v>
      </c>
      <c r="S296" s="131">
        <f t="shared" ref="S296:S301" si="154">IF(G296="実施済",R296*1,0)</f>
        <v>0</v>
      </c>
      <c r="T296" s="131">
        <f t="shared" ref="T296:T301" si="155">IF(H296="実施済",S296*1,0)</f>
        <v>0</v>
      </c>
      <c r="U296" s="131">
        <f t="shared" ref="U296:U301" si="156">IF(I296="実施済",T296*1,0)</f>
        <v>0</v>
      </c>
      <c r="V296" s="260"/>
      <c r="W296" s="131" t="str">
        <f>IF(OR(E296="〇〇(合意形成対象者名に書き換え)",E296=""),"",SUM(S296,T296,U296))</f>
        <v/>
      </c>
      <c r="X296" s="131">
        <f t="shared" ref="X296:X301" si="157">MIN($W$296:$W$301)+1</f>
        <v>1</v>
      </c>
      <c r="Y296" s="131">
        <f>IF(E296="",1,IF(AND(E296="〇〇(合意形成対象者名に書き換え)",COUNTA($F296:$J296)=0),1,IF(AND(E296&lt;&gt;"〇〇(合意形成対象者名に書き換え)",COUNTA($F296:$J296)=5),1,0)))</f>
        <v>1</v>
      </c>
      <c r="Z296" s="131" t="str" cm="1">
        <f t="array" ref="Z296">_xlfn.IFS(X296=4,"A",X296=3,"B",X296=2,"C",X296=1,"D")</f>
        <v>D</v>
      </c>
      <c r="AA296" s="257"/>
    </row>
    <row r="297" spans="1:27">
      <c r="B297" s="97"/>
      <c r="C297" s="98"/>
      <c r="D297" s="99"/>
      <c r="E297" s="897" t="s">
        <v>129</v>
      </c>
      <c r="F297" s="448"/>
      <c r="G297" s="448"/>
      <c r="H297" s="447"/>
      <c r="I297" s="447"/>
      <c r="J297" s="448"/>
      <c r="K297" s="100"/>
      <c r="L297" s="11"/>
      <c r="R297" s="131">
        <f t="shared" si="153"/>
        <v>0</v>
      </c>
      <c r="S297" s="131">
        <f t="shared" si="154"/>
        <v>0</v>
      </c>
      <c r="T297" s="131">
        <f t="shared" si="155"/>
        <v>0</v>
      </c>
      <c r="U297" s="131">
        <f t="shared" si="156"/>
        <v>0</v>
      </c>
      <c r="V297" s="260"/>
      <c r="W297" s="131" t="str">
        <f t="shared" ref="W297:W301" si="158">IF(OR(E297="〇〇(合意形成対象者名に書き換え)",E297=""),"",SUM(S297,T297,U297))</f>
        <v/>
      </c>
      <c r="X297" s="131">
        <f t="shared" si="157"/>
        <v>1</v>
      </c>
      <c r="Y297" s="131">
        <f t="shared" ref="Y297:Y301" si="159">IF(E297="",1,IF(AND(E297="〇〇(合意形成対象者名に書き換え)",COUNTA($F297:$J297)=0),1,IF(AND(E297&lt;&gt;"〇〇(合意形成対象者名に書き換え)",COUNTA($F297:$J297)=5),1,0)))</f>
        <v>1</v>
      </c>
      <c r="Z297" s="131" t="str" cm="1">
        <f t="array" ref="Z297">_xlfn.IFS(X297=4,"A",X297=3,"B",X297=2,"C",X297=1,"D")</f>
        <v>D</v>
      </c>
      <c r="AA297" s="257"/>
    </row>
    <row r="298" spans="1:27">
      <c r="B298" s="97"/>
      <c r="C298" s="98"/>
      <c r="D298" s="99"/>
      <c r="E298" s="897" t="s">
        <v>129</v>
      </c>
      <c r="F298" s="443"/>
      <c r="G298" s="443"/>
      <c r="H298" s="449"/>
      <c r="I298" s="449"/>
      <c r="J298" s="443"/>
      <c r="K298" s="100"/>
      <c r="L298" s="11"/>
      <c r="R298" s="131">
        <f t="shared" si="153"/>
        <v>0</v>
      </c>
      <c r="S298" s="131">
        <f t="shared" si="154"/>
        <v>0</v>
      </c>
      <c r="T298" s="131">
        <f t="shared" si="155"/>
        <v>0</v>
      </c>
      <c r="U298" s="131">
        <f t="shared" si="156"/>
        <v>0</v>
      </c>
      <c r="V298" s="260"/>
      <c r="W298" s="131" t="str">
        <f t="shared" si="158"/>
        <v/>
      </c>
      <c r="X298" s="131">
        <f t="shared" si="157"/>
        <v>1</v>
      </c>
      <c r="Y298" s="131">
        <f t="shared" si="159"/>
        <v>1</v>
      </c>
      <c r="Z298" s="131" t="str" cm="1">
        <f t="array" ref="Z298">_xlfn.IFS(X298=4,"A",X298=3,"B",X298=2,"C",X298=1,"D")</f>
        <v>D</v>
      </c>
      <c r="AA298" s="257"/>
    </row>
    <row r="299" spans="1:27" s="101" customFormat="1">
      <c r="A299" s="11"/>
      <c r="B299" s="97"/>
      <c r="C299" s="98"/>
      <c r="D299" s="99"/>
      <c r="E299" s="897" t="s">
        <v>129</v>
      </c>
      <c r="F299" s="443"/>
      <c r="G299" s="443"/>
      <c r="H299" s="449"/>
      <c r="I299" s="449"/>
      <c r="J299" s="443"/>
      <c r="K299" s="100"/>
      <c r="L299" s="11"/>
      <c r="O299" s="11"/>
      <c r="P299" s="11"/>
      <c r="Q299" s="11"/>
      <c r="R299" s="131">
        <f t="shared" si="153"/>
        <v>0</v>
      </c>
      <c r="S299" s="131">
        <f t="shared" si="154"/>
        <v>0</v>
      </c>
      <c r="T299" s="131">
        <f t="shared" si="155"/>
        <v>0</v>
      </c>
      <c r="U299" s="131">
        <f t="shared" si="156"/>
        <v>0</v>
      </c>
      <c r="V299" s="260"/>
      <c r="W299" s="131" t="str">
        <f t="shared" si="158"/>
        <v/>
      </c>
      <c r="X299" s="131">
        <f t="shared" si="157"/>
        <v>1</v>
      </c>
      <c r="Y299" s="131">
        <f t="shared" si="159"/>
        <v>1</v>
      </c>
      <c r="Z299" s="131" t="str" cm="1">
        <f t="array" ref="Z299">_xlfn.IFS(X299=4,"A",X299=3,"B",X299=2,"C",X299=1,"D")</f>
        <v>D</v>
      </c>
      <c r="AA299" s="131"/>
    </row>
    <row r="300" spans="1:27" customFormat="1" ht="7.5" customHeight="1">
      <c r="B300" s="65"/>
      <c r="C300" s="4"/>
      <c r="D300" s="4"/>
      <c r="E300" s="290"/>
      <c r="F300" s="4"/>
      <c r="G300" s="4"/>
      <c r="H300" s="4"/>
      <c r="I300" s="4"/>
      <c r="J300" s="4"/>
      <c r="K300" s="9"/>
      <c r="L300" s="2"/>
      <c r="M300" s="2"/>
      <c r="N300" s="2"/>
      <c r="R300" s="131">
        <f t="shared" si="153"/>
        <v>0</v>
      </c>
      <c r="S300" s="131">
        <f t="shared" si="154"/>
        <v>0</v>
      </c>
      <c r="T300" s="131">
        <f t="shared" si="155"/>
        <v>0</v>
      </c>
      <c r="U300" s="131">
        <f t="shared" si="156"/>
        <v>0</v>
      </c>
      <c r="V300" s="260"/>
      <c r="W300" s="131" t="str">
        <f t="shared" si="158"/>
        <v/>
      </c>
      <c r="X300" s="131">
        <f t="shared" si="157"/>
        <v>1</v>
      </c>
      <c r="Y300" s="131">
        <f t="shared" si="159"/>
        <v>1</v>
      </c>
      <c r="Z300" s="131" t="str" cm="1">
        <f t="array" ref="Z300">_xlfn.IFS(X300=4,"A",X300=3,"B",X300=2,"C",X300=1,"D")</f>
        <v>D</v>
      </c>
      <c r="AA300" s="177"/>
    </row>
    <row r="301" spans="1:27" customFormat="1" ht="6" customHeight="1">
      <c r="E301" s="3"/>
      <c r="L301" s="2"/>
      <c r="M301" s="2"/>
      <c r="N301" s="2"/>
      <c r="R301" s="131">
        <f t="shared" si="153"/>
        <v>0</v>
      </c>
      <c r="S301" s="131">
        <f t="shared" si="154"/>
        <v>0</v>
      </c>
      <c r="T301" s="131">
        <f t="shared" si="155"/>
        <v>0</v>
      </c>
      <c r="U301" s="131">
        <f t="shared" si="156"/>
        <v>0</v>
      </c>
      <c r="V301" s="260"/>
      <c r="W301" s="131" t="str">
        <f t="shared" si="158"/>
        <v/>
      </c>
      <c r="X301" s="131">
        <f t="shared" si="157"/>
        <v>1</v>
      </c>
      <c r="Y301" s="131">
        <f t="shared" si="159"/>
        <v>1</v>
      </c>
      <c r="Z301" s="131" t="str" cm="1">
        <f t="array" ref="Z301">_xlfn.IFS(X301=4,"A",X301=3,"B",X301=2,"C",X301=1,"D")</f>
        <v>D</v>
      </c>
      <c r="AA301" s="177"/>
    </row>
    <row r="302" spans="1:27" customFormat="1" ht="103.5" customHeight="1">
      <c r="C302" s="78"/>
      <c r="D302" s="79"/>
      <c r="E302" s="71" t="s">
        <v>238</v>
      </c>
      <c r="F302" s="1057"/>
      <c r="G302" s="1057"/>
      <c r="H302" s="1057"/>
      <c r="I302" s="1057"/>
      <c r="J302" s="1057"/>
      <c r="K302" s="80" t="s">
        <v>132</v>
      </c>
      <c r="L302" s="80"/>
    </row>
    <row r="303" spans="1:27" customFormat="1" ht="146.25" customHeight="1">
      <c r="C303" s="75"/>
      <c r="D303" s="68"/>
      <c r="E303" s="71" t="s">
        <v>237</v>
      </c>
      <c r="F303" s="1057"/>
      <c r="G303" s="1057"/>
      <c r="H303" s="1057"/>
      <c r="I303" s="1057"/>
      <c r="J303" s="1057"/>
      <c r="L303" s="2"/>
      <c r="M303" s="2"/>
      <c r="N303" s="2"/>
    </row>
    <row r="304" spans="1:27" customFormat="1" ht="13.5" customHeight="1" thickBot="1">
      <c r="A304" s="81"/>
      <c r="B304" s="81"/>
      <c r="C304" s="81"/>
      <c r="D304" s="81"/>
      <c r="E304" s="313"/>
      <c r="F304" s="81"/>
      <c r="G304" s="81"/>
      <c r="H304" s="81"/>
      <c r="I304" s="81"/>
      <c r="J304" s="81"/>
      <c r="K304" s="81"/>
      <c r="L304" s="82"/>
      <c r="M304" s="2"/>
      <c r="N304" s="2"/>
    </row>
    <row r="305" spans="1:27" customFormat="1" ht="13.5" customHeight="1">
      <c r="E305" s="3"/>
      <c r="L305" s="2"/>
      <c r="M305" s="2"/>
      <c r="N305" s="2"/>
    </row>
    <row r="306" spans="1:27" customFormat="1" ht="15" customHeight="1">
      <c r="B306" s="10"/>
      <c r="C306" s="5"/>
      <c r="D306" s="5"/>
      <c r="E306" s="307"/>
      <c r="F306" s="5"/>
      <c r="G306" s="5"/>
      <c r="H306" s="5"/>
      <c r="I306" s="5"/>
      <c r="J306" s="5"/>
      <c r="K306" s="6"/>
      <c r="R306" s="11" t="str">
        <f>D307</f>
        <v>(選択してください)</v>
      </c>
    </row>
    <row r="307" spans="1:27" customFormat="1">
      <c r="B307" s="7"/>
      <c r="C307" s="77" t="str">
        <f ca="1">IFERROR(OFFSET('4.3民生部門電力以外の排出削減取組'!$C$1,MATCH(D307,'4.3民生部門電力以外の排出削減取組'!$E:$E,0)-1,0),"")</f>
        <v/>
      </c>
      <c r="D307" s="96" t="s">
        <v>130</v>
      </c>
      <c r="E307" s="72" t="s">
        <v>12</v>
      </c>
      <c r="F307" s="1063" t="str">
        <f ca="1">IFERROR(OFFSET('4.3民生部門電力以外の排出削減取組'!$G$1,MATCH($D307,'4.3民生部門電力以外の排出削減取組'!$E:$E,0)-1,0),"")</f>
        <v/>
      </c>
      <c r="G307" s="1063"/>
      <c r="H307" s="1063"/>
      <c r="I307" s="1063"/>
      <c r="J307" s="1063"/>
      <c r="K307" s="8"/>
      <c r="R307" s="257" t="str">
        <f ca="1">IFERROR(OFFSET('4.3民生部門電力以外の排出削減取組'!$G$1,MATCH($D307,'4.3民生部門電力以外の排出削減取組'!$E:$E,0)-1,0),"")</f>
        <v/>
      </c>
      <c r="S307" s="177"/>
      <c r="T307" s="177"/>
      <c r="U307" s="177"/>
      <c r="V307" s="177"/>
      <c r="W307" s="177"/>
      <c r="X307" s="177"/>
      <c r="Y307" s="177"/>
      <c r="Z307" s="177"/>
      <c r="AA307" s="177">
        <f ca="1">(F307=R307)*1</f>
        <v>1</v>
      </c>
    </row>
    <row r="308" spans="1:27" customFormat="1">
      <c r="B308" s="7"/>
      <c r="C308" s="74"/>
      <c r="D308" s="66"/>
      <c r="E308" s="72" t="s">
        <v>282</v>
      </c>
      <c r="F308" s="1080" t="str">
        <f ca="1">IFERROR(OFFSET('4.3民生部門電力以外の排出削減取組'!$H$1,MATCH($D307,'4.3民生部門電力以外の排出削減取組'!$E:$E,0)-1,0),"")</f>
        <v/>
      </c>
      <c r="G308" s="1080"/>
      <c r="H308" s="1080"/>
      <c r="I308" s="1080"/>
      <c r="J308" s="1080"/>
      <c r="K308" s="8"/>
      <c r="R308" s="177" t="str">
        <f ca="1">IFERROR(OFFSET('4.3民生部門電力以外の排出削減取組'!$H$1,MATCH($D307,'4.3民生部門電力以外の排出削減取組'!$E:$E,0)-1,0),"")</f>
        <v/>
      </c>
      <c r="S308" s="177"/>
      <c r="T308" s="177"/>
      <c r="U308" s="177"/>
      <c r="V308" s="177"/>
      <c r="W308" s="177"/>
      <c r="X308" s="177"/>
      <c r="Y308" s="177"/>
      <c r="Z308" s="177"/>
      <c r="AA308" s="177">
        <f t="shared" ref="AA308:AA309" ca="1" si="160">(F308=R308)*1</f>
        <v>1</v>
      </c>
    </row>
    <row r="309" spans="1:27" customFormat="1">
      <c r="B309" s="7"/>
      <c r="C309" s="74"/>
      <c r="D309" s="66"/>
      <c r="E309" s="72" t="s">
        <v>176</v>
      </c>
      <c r="F309" s="1063" t="str">
        <f>_xlfn.IFNA(R309,"")</f>
        <v/>
      </c>
      <c r="G309" s="1063"/>
      <c r="H309" s="1063"/>
      <c r="I309" s="1063"/>
      <c r="J309" s="1063"/>
      <c r="K309" s="8"/>
      <c r="R309" s="131" t="str">
        <f>IF(OR(COUNTIF($E311:$E316,"&lt;&gt;〇〇(合意形成対象者名に書き換え)")=3,COUNTIF($E311:$E316,"")&gt;3),"",IF(PRODUCT($Y311:$Y316)=1,Z311,""))</f>
        <v/>
      </c>
      <c r="S309" s="177"/>
      <c r="T309" s="177"/>
      <c r="U309" s="177"/>
      <c r="V309" s="177"/>
      <c r="W309" s="177"/>
      <c r="X309" s="177"/>
      <c r="Y309" s="177"/>
      <c r="Z309" s="177"/>
      <c r="AA309" s="177">
        <f t="shared" si="160"/>
        <v>1</v>
      </c>
    </row>
    <row r="310" spans="1:27" ht="63.75" customHeight="1">
      <c r="B310" s="97"/>
      <c r="C310" s="98"/>
      <c r="D310" s="99"/>
      <c r="E310" s="895"/>
      <c r="F310" s="315" t="s">
        <v>280</v>
      </c>
      <c r="G310" s="315" t="s">
        <v>270</v>
      </c>
      <c r="H310" s="315" t="s">
        <v>443</v>
      </c>
      <c r="I310" s="315" t="s">
        <v>445</v>
      </c>
      <c r="J310" s="315" t="s">
        <v>281</v>
      </c>
      <c r="K310" s="100"/>
      <c r="L310" s="11"/>
      <c r="R310" s="128" t="s">
        <v>280</v>
      </c>
      <c r="S310" s="128" t="s">
        <v>446</v>
      </c>
      <c r="T310" s="297" t="s">
        <v>443</v>
      </c>
      <c r="U310" s="297" t="s">
        <v>444</v>
      </c>
      <c r="V310" s="258" t="s">
        <v>272</v>
      </c>
      <c r="W310" s="128" t="s">
        <v>432</v>
      </c>
      <c r="X310" s="131" t="s">
        <v>408</v>
      </c>
      <c r="Y310" s="131" t="s">
        <v>436</v>
      </c>
      <c r="Z310" s="128" t="s">
        <v>431</v>
      </c>
      <c r="AA310" s="257"/>
    </row>
    <row r="311" spans="1:27" hidden="1">
      <c r="B311" s="97"/>
      <c r="C311" s="98"/>
      <c r="D311" s="99"/>
      <c r="E311" s="896"/>
      <c r="F311" s="441"/>
      <c r="G311" s="441"/>
      <c r="H311" s="445"/>
      <c r="I311" s="445"/>
      <c r="J311" s="441"/>
      <c r="K311" s="100"/>
      <c r="L311" s="11"/>
      <c r="R311" s="131">
        <f t="shared" ref="R311:R316" si="161">IF(F311="実施済",1,0)</f>
        <v>0</v>
      </c>
      <c r="S311" s="131">
        <f t="shared" ref="S311:S316" si="162">IF(G311="実施済",R311*1,0)</f>
        <v>0</v>
      </c>
      <c r="T311" s="131">
        <f t="shared" ref="T311:T316" si="163">IF(H311="実施済",S311*1,0)</f>
        <v>0</v>
      </c>
      <c r="U311" s="131">
        <f t="shared" ref="U311:U316" si="164">IF(I311="実施済",T311*1,0)</f>
        <v>0</v>
      </c>
      <c r="V311" s="260"/>
      <c r="W311" s="131" t="str">
        <f>IF(OR(E311="〇〇(合意形成対象者名に書き換え)",E311=""),"",SUM(S311,T311,U311))</f>
        <v/>
      </c>
      <c r="X311" s="131">
        <f t="shared" ref="X311:X316" si="165">MIN($W$311:$W$316)+1</f>
        <v>1</v>
      </c>
      <c r="Y311" s="131">
        <f>IF(E311="",1,IF(AND(E311="〇〇(合意形成対象者名に書き換え)",COUNTA($F311:$J311)=0),1,IF(AND(E311&lt;&gt;"〇〇(合意形成対象者名に書き換え)",COUNTA($F311:$J311)=5),1,0)))</f>
        <v>1</v>
      </c>
      <c r="Z311" s="131" t="str" cm="1">
        <f t="array" ref="Z311">_xlfn.IFS(X311=4,"A",X311=3,"B",X311=2,"C",X311=1,"D")</f>
        <v>D</v>
      </c>
      <c r="AA311" s="257"/>
    </row>
    <row r="312" spans="1:27">
      <c r="B312" s="97"/>
      <c r="C312" s="98"/>
      <c r="D312" s="99"/>
      <c r="E312" s="897" t="s">
        <v>129</v>
      </c>
      <c r="F312" s="448"/>
      <c r="G312" s="448"/>
      <c r="H312" s="447"/>
      <c r="I312" s="447"/>
      <c r="J312" s="448"/>
      <c r="K312" s="100"/>
      <c r="L312" s="11"/>
      <c r="R312" s="131">
        <f t="shared" si="161"/>
        <v>0</v>
      </c>
      <c r="S312" s="131">
        <f t="shared" si="162"/>
        <v>0</v>
      </c>
      <c r="T312" s="131">
        <f t="shared" si="163"/>
        <v>0</v>
      </c>
      <c r="U312" s="131">
        <f t="shared" si="164"/>
        <v>0</v>
      </c>
      <c r="V312" s="260"/>
      <c r="W312" s="131" t="str">
        <f t="shared" ref="W312:W316" si="166">IF(OR(E312="〇〇(合意形成対象者名に書き換え)",E312=""),"",SUM(S312,T312,U312))</f>
        <v/>
      </c>
      <c r="X312" s="131">
        <f t="shared" si="165"/>
        <v>1</v>
      </c>
      <c r="Y312" s="131">
        <f t="shared" ref="Y312:Y316" si="167">IF(E312="",1,IF(AND(E312="〇〇(合意形成対象者名に書き換え)",COUNTA($F312:$J312)=0),1,IF(AND(E312&lt;&gt;"〇〇(合意形成対象者名に書き換え)",COUNTA($F312:$J312)=5),1,0)))</f>
        <v>1</v>
      </c>
      <c r="Z312" s="131" t="str" cm="1">
        <f t="array" ref="Z312">_xlfn.IFS(X312=4,"A",X312=3,"B",X312=2,"C",X312=1,"D")</f>
        <v>D</v>
      </c>
      <c r="AA312" s="257"/>
    </row>
    <row r="313" spans="1:27">
      <c r="B313" s="97"/>
      <c r="C313" s="98"/>
      <c r="D313" s="99"/>
      <c r="E313" s="897" t="s">
        <v>129</v>
      </c>
      <c r="F313" s="443"/>
      <c r="G313" s="443"/>
      <c r="H313" s="449"/>
      <c r="I313" s="449"/>
      <c r="J313" s="443"/>
      <c r="K313" s="100"/>
      <c r="L313" s="11"/>
      <c r="R313" s="131">
        <f t="shared" si="161"/>
        <v>0</v>
      </c>
      <c r="S313" s="131">
        <f t="shared" si="162"/>
        <v>0</v>
      </c>
      <c r="T313" s="131">
        <f t="shared" si="163"/>
        <v>0</v>
      </c>
      <c r="U313" s="131">
        <f t="shared" si="164"/>
        <v>0</v>
      </c>
      <c r="V313" s="260"/>
      <c r="W313" s="131" t="str">
        <f t="shared" si="166"/>
        <v/>
      </c>
      <c r="X313" s="131">
        <f t="shared" si="165"/>
        <v>1</v>
      </c>
      <c r="Y313" s="131">
        <f t="shared" si="167"/>
        <v>1</v>
      </c>
      <c r="Z313" s="131" t="str" cm="1">
        <f t="array" ref="Z313">_xlfn.IFS(X313=4,"A",X313=3,"B",X313=2,"C",X313=1,"D")</f>
        <v>D</v>
      </c>
      <c r="AA313" s="257"/>
    </row>
    <row r="314" spans="1:27" s="101" customFormat="1">
      <c r="A314" s="11"/>
      <c r="B314" s="97"/>
      <c r="C314" s="98"/>
      <c r="D314" s="99"/>
      <c r="E314" s="897" t="s">
        <v>129</v>
      </c>
      <c r="F314" s="443"/>
      <c r="G314" s="443"/>
      <c r="H314" s="449"/>
      <c r="I314" s="449"/>
      <c r="J314" s="443"/>
      <c r="K314" s="100"/>
      <c r="L314" s="11"/>
      <c r="O314" s="11"/>
      <c r="P314" s="11"/>
      <c r="Q314" s="11"/>
      <c r="R314" s="131">
        <f t="shared" si="161"/>
        <v>0</v>
      </c>
      <c r="S314" s="131">
        <f t="shared" si="162"/>
        <v>0</v>
      </c>
      <c r="T314" s="131">
        <f t="shared" si="163"/>
        <v>0</v>
      </c>
      <c r="U314" s="131">
        <f t="shared" si="164"/>
        <v>0</v>
      </c>
      <c r="V314" s="260"/>
      <c r="W314" s="131" t="str">
        <f t="shared" si="166"/>
        <v/>
      </c>
      <c r="X314" s="131">
        <f t="shared" si="165"/>
        <v>1</v>
      </c>
      <c r="Y314" s="131">
        <f t="shared" si="167"/>
        <v>1</v>
      </c>
      <c r="Z314" s="131" t="str" cm="1">
        <f t="array" ref="Z314">_xlfn.IFS(X314=4,"A",X314=3,"B",X314=2,"C",X314=1,"D")</f>
        <v>D</v>
      </c>
      <c r="AA314" s="131"/>
    </row>
    <row r="315" spans="1:27" customFormat="1" ht="7.5" customHeight="1">
      <c r="B315" s="65"/>
      <c r="C315" s="4"/>
      <c r="D315" s="4"/>
      <c r="E315" s="290"/>
      <c r="F315" s="4"/>
      <c r="G315" s="4"/>
      <c r="H315" s="4"/>
      <c r="I315" s="4"/>
      <c r="J315" s="4"/>
      <c r="K315" s="9"/>
      <c r="L315" s="2"/>
      <c r="M315" s="2"/>
      <c r="N315" s="2"/>
      <c r="R315" s="131">
        <f t="shared" si="161"/>
        <v>0</v>
      </c>
      <c r="S315" s="131">
        <f t="shared" si="162"/>
        <v>0</v>
      </c>
      <c r="T315" s="131">
        <f t="shared" si="163"/>
        <v>0</v>
      </c>
      <c r="U315" s="131">
        <f t="shared" si="164"/>
        <v>0</v>
      </c>
      <c r="V315" s="260"/>
      <c r="W315" s="131" t="str">
        <f t="shared" si="166"/>
        <v/>
      </c>
      <c r="X315" s="131">
        <f t="shared" si="165"/>
        <v>1</v>
      </c>
      <c r="Y315" s="131">
        <f t="shared" si="167"/>
        <v>1</v>
      </c>
      <c r="Z315" s="131" t="str" cm="1">
        <f t="array" ref="Z315">_xlfn.IFS(X315=4,"A",X315=3,"B",X315=2,"C",X315=1,"D")</f>
        <v>D</v>
      </c>
      <c r="AA315" s="177"/>
    </row>
    <row r="316" spans="1:27" customFormat="1" ht="6" customHeight="1">
      <c r="E316" s="3"/>
      <c r="L316" s="2"/>
      <c r="M316" s="2"/>
      <c r="N316" s="2"/>
      <c r="R316" s="131">
        <f t="shared" si="161"/>
        <v>0</v>
      </c>
      <c r="S316" s="131">
        <f t="shared" si="162"/>
        <v>0</v>
      </c>
      <c r="T316" s="131">
        <f t="shared" si="163"/>
        <v>0</v>
      </c>
      <c r="U316" s="131">
        <f t="shared" si="164"/>
        <v>0</v>
      </c>
      <c r="V316" s="260"/>
      <c r="W316" s="131" t="str">
        <f t="shared" si="166"/>
        <v/>
      </c>
      <c r="X316" s="131">
        <f t="shared" si="165"/>
        <v>1</v>
      </c>
      <c r="Y316" s="131">
        <f t="shared" si="167"/>
        <v>1</v>
      </c>
      <c r="Z316" s="131" t="str" cm="1">
        <f t="array" ref="Z316">_xlfn.IFS(X316=4,"A",X316=3,"B",X316=2,"C",X316=1,"D")</f>
        <v>D</v>
      </c>
      <c r="AA316" s="177"/>
    </row>
    <row r="317" spans="1:27" customFormat="1" ht="103.5" customHeight="1">
      <c r="C317" s="78"/>
      <c r="D317" s="79"/>
      <c r="E317" s="71" t="s">
        <v>238</v>
      </c>
      <c r="F317" s="1057"/>
      <c r="G317" s="1057"/>
      <c r="H317" s="1057"/>
      <c r="I317" s="1057"/>
      <c r="J317" s="1057"/>
      <c r="K317" s="80" t="s">
        <v>132</v>
      </c>
      <c r="L317" s="80"/>
    </row>
    <row r="318" spans="1:27" customFormat="1" ht="146.25" customHeight="1">
      <c r="C318" s="75"/>
      <c r="D318" s="68"/>
      <c r="E318" s="71" t="s">
        <v>237</v>
      </c>
      <c r="F318" s="1057"/>
      <c r="G318" s="1057"/>
      <c r="H318" s="1057"/>
      <c r="I318" s="1057"/>
      <c r="J318" s="1057"/>
      <c r="L318" s="2"/>
      <c r="M318" s="2"/>
      <c r="N318" s="2"/>
    </row>
    <row r="319" spans="1:27" customFormat="1" ht="13.5" customHeight="1" thickBot="1">
      <c r="A319" s="81"/>
      <c r="B319" s="81"/>
      <c r="C319" s="81"/>
      <c r="D319" s="81"/>
      <c r="E319" s="313"/>
      <c r="F319" s="81"/>
      <c r="G319" s="81"/>
      <c r="H319" s="81"/>
      <c r="I319" s="81"/>
      <c r="J319" s="81"/>
      <c r="K319" s="81"/>
      <c r="L319" s="82"/>
      <c r="M319" s="2"/>
      <c r="N319" s="2"/>
    </row>
    <row r="320" spans="1:27" customFormat="1" ht="13.5" customHeight="1">
      <c r="E320" s="3"/>
      <c r="L320" s="2"/>
      <c r="M320" s="2"/>
      <c r="N320" s="2"/>
    </row>
    <row r="321" spans="1:27" customFormat="1" ht="15" customHeight="1">
      <c r="B321" s="10"/>
      <c r="C321" s="5"/>
      <c r="D321" s="5"/>
      <c r="E321" s="307"/>
      <c r="F321" s="5"/>
      <c r="G321" s="5"/>
      <c r="H321" s="5"/>
      <c r="I321" s="5"/>
      <c r="J321" s="5"/>
      <c r="K321" s="6"/>
      <c r="R321" s="11" t="str">
        <f>D322</f>
        <v>(選択してください)</v>
      </c>
    </row>
    <row r="322" spans="1:27" customFormat="1">
      <c r="B322" s="7"/>
      <c r="C322" s="77" t="str">
        <f ca="1">IFERROR(OFFSET('4.3民生部門電力以外の排出削減取組'!$C$1,MATCH(D322,'4.3民生部門電力以外の排出削減取組'!$E:$E,0)-1,0),"")</f>
        <v/>
      </c>
      <c r="D322" s="96" t="s">
        <v>130</v>
      </c>
      <c r="E322" s="72" t="s">
        <v>12</v>
      </c>
      <c r="F322" s="1063" t="str">
        <f ca="1">IFERROR(OFFSET('4.3民生部門電力以外の排出削減取組'!$G$1,MATCH($D322,'4.3民生部門電力以外の排出削減取組'!$E:$E,0)-1,0),"")</f>
        <v/>
      </c>
      <c r="G322" s="1063"/>
      <c r="H322" s="1063"/>
      <c r="I322" s="1063"/>
      <c r="J322" s="1063"/>
      <c r="K322" s="8"/>
      <c r="R322" s="257" t="str">
        <f ca="1">IFERROR(OFFSET('4.3民生部門電力以外の排出削減取組'!$G$1,MATCH($D322,'4.3民生部門電力以外の排出削減取組'!$E:$E,0)-1,0),"")</f>
        <v/>
      </c>
      <c r="S322" s="177"/>
      <c r="T322" s="177"/>
      <c r="U322" s="177"/>
      <c r="V322" s="177"/>
      <c r="W322" s="177"/>
      <c r="X322" s="177"/>
      <c r="Y322" s="177"/>
      <c r="Z322" s="177"/>
      <c r="AA322" s="177">
        <f ca="1">(F322=R322)*1</f>
        <v>1</v>
      </c>
    </row>
    <row r="323" spans="1:27" customFormat="1">
      <c r="B323" s="7"/>
      <c r="C323" s="74"/>
      <c r="D323" s="66"/>
      <c r="E323" s="72" t="s">
        <v>282</v>
      </c>
      <c r="F323" s="1080" t="str">
        <f ca="1">IFERROR(OFFSET('4.3民生部門電力以外の排出削減取組'!$H$1,MATCH($D322,'4.3民生部門電力以外の排出削減取組'!$E:$E,0)-1,0),"")</f>
        <v/>
      </c>
      <c r="G323" s="1080"/>
      <c r="H323" s="1080"/>
      <c r="I323" s="1080"/>
      <c r="J323" s="1080"/>
      <c r="K323" s="8"/>
      <c r="R323" s="177" t="str">
        <f ca="1">IFERROR(OFFSET('4.3民生部門電力以外の排出削減取組'!$H$1,MATCH($D322,'4.3民生部門電力以外の排出削減取組'!$E:$E,0)-1,0),"")</f>
        <v/>
      </c>
      <c r="S323" s="177"/>
      <c r="T323" s="177"/>
      <c r="U323" s="177"/>
      <c r="V323" s="177"/>
      <c r="W323" s="177"/>
      <c r="X323" s="177"/>
      <c r="Y323" s="177"/>
      <c r="Z323" s="177"/>
      <c r="AA323" s="177">
        <f t="shared" ref="AA323:AA324" ca="1" si="168">(F323=R323)*1</f>
        <v>1</v>
      </c>
    </row>
    <row r="324" spans="1:27" customFormat="1">
      <c r="B324" s="7"/>
      <c r="C324" s="74"/>
      <c r="D324" s="66"/>
      <c r="E324" s="72" t="s">
        <v>176</v>
      </c>
      <c r="F324" s="1063" t="str">
        <f>_xlfn.IFNA(R324,"")</f>
        <v/>
      </c>
      <c r="G324" s="1063"/>
      <c r="H324" s="1063"/>
      <c r="I324" s="1063"/>
      <c r="J324" s="1063"/>
      <c r="K324" s="8"/>
      <c r="R324" s="131" t="str">
        <f>IF(OR(COUNTIF($E326:$E331,"&lt;&gt;〇〇(合意形成対象者名に書き換え)")=3,COUNTIF($E326:$E331,"")&gt;3),"",IF(PRODUCT($Y326:$Y331)=1,Z326,""))</f>
        <v/>
      </c>
      <c r="S324" s="177"/>
      <c r="T324" s="177"/>
      <c r="U324" s="177"/>
      <c r="V324" s="177"/>
      <c r="W324" s="177"/>
      <c r="X324" s="177"/>
      <c r="Y324" s="177"/>
      <c r="Z324" s="177"/>
      <c r="AA324" s="177">
        <f t="shared" si="168"/>
        <v>1</v>
      </c>
    </row>
    <row r="325" spans="1:27" ht="63.75" customHeight="1">
      <c r="B325" s="97"/>
      <c r="C325" s="98"/>
      <c r="D325" s="99"/>
      <c r="E325" s="895"/>
      <c r="F325" s="315" t="s">
        <v>280</v>
      </c>
      <c r="G325" s="315" t="s">
        <v>270</v>
      </c>
      <c r="H325" s="315" t="s">
        <v>443</v>
      </c>
      <c r="I325" s="315" t="s">
        <v>445</v>
      </c>
      <c r="J325" s="315" t="s">
        <v>281</v>
      </c>
      <c r="K325" s="100"/>
      <c r="L325" s="11"/>
      <c r="R325" s="128" t="s">
        <v>280</v>
      </c>
      <c r="S325" s="128" t="s">
        <v>446</v>
      </c>
      <c r="T325" s="297" t="s">
        <v>443</v>
      </c>
      <c r="U325" s="297" t="s">
        <v>444</v>
      </c>
      <c r="V325" s="258" t="s">
        <v>272</v>
      </c>
      <c r="W325" s="128" t="s">
        <v>432</v>
      </c>
      <c r="X325" s="131" t="s">
        <v>408</v>
      </c>
      <c r="Y325" s="131" t="s">
        <v>436</v>
      </c>
      <c r="Z325" s="128" t="s">
        <v>431</v>
      </c>
      <c r="AA325" s="257"/>
    </row>
    <row r="326" spans="1:27" hidden="1">
      <c r="B326" s="97"/>
      <c r="C326" s="98"/>
      <c r="D326" s="99"/>
      <c r="E326" s="896"/>
      <c r="F326" s="441"/>
      <c r="G326" s="441"/>
      <c r="H326" s="445"/>
      <c r="I326" s="445"/>
      <c r="J326" s="441"/>
      <c r="K326" s="100"/>
      <c r="L326" s="11"/>
      <c r="R326" s="131">
        <f t="shared" ref="R326:R331" si="169">IF(F326="実施済",1,0)</f>
        <v>0</v>
      </c>
      <c r="S326" s="131">
        <f t="shared" ref="S326:S331" si="170">IF(G326="実施済",R326*1,0)</f>
        <v>0</v>
      </c>
      <c r="T326" s="131">
        <f t="shared" ref="T326:T331" si="171">IF(H326="実施済",S326*1,0)</f>
        <v>0</v>
      </c>
      <c r="U326" s="131">
        <f t="shared" ref="U326:U331" si="172">IF(I326="実施済",T326*1,0)</f>
        <v>0</v>
      </c>
      <c r="V326" s="260"/>
      <c r="W326" s="131" t="str">
        <f>IF(OR(E326="〇〇(合意形成対象者名に書き換え)",E326=""),"",SUM(S326,T326,U326))</f>
        <v/>
      </c>
      <c r="X326" s="131">
        <f t="shared" ref="X326:X331" si="173">MIN($W$326:$W$331)+1</f>
        <v>1</v>
      </c>
      <c r="Y326" s="131">
        <f>IF(E326="",1,IF(AND(E326="〇〇(合意形成対象者名に書き換え)",COUNTA($F326:$J326)=0),1,IF(AND(E326&lt;&gt;"〇〇(合意形成対象者名に書き換え)",COUNTA($F326:$J326)=5),1,0)))</f>
        <v>1</v>
      </c>
      <c r="Z326" s="131" t="str" cm="1">
        <f t="array" ref="Z326">_xlfn.IFS(X326=4,"A",X326=3,"B",X326=2,"C",X326=1,"D")</f>
        <v>D</v>
      </c>
      <c r="AA326" s="257"/>
    </row>
    <row r="327" spans="1:27">
      <c r="B327" s="97"/>
      <c r="C327" s="98"/>
      <c r="D327" s="99"/>
      <c r="E327" s="897" t="s">
        <v>129</v>
      </c>
      <c r="F327" s="448"/>
      <c r="G327" s="448"/>
      <c r="H327" s="447"/>
      <c r="I327" s="447"/>
      <c r="J327" s="448"/>
      <c r="K327" s="100"/>
      <c r="L327" s="11"/>
      <c r="R327" s="131">
        <f t="shared" si="169"/>
        <v>0</v>
      </c>
      <c r="S327" s="131">
        <f t="shared" si="170"/>
        <v>0</v>
      </c>
      <c r="T327" s="131">
        <f t="shared" si="171"/>
        <v>0</v>
      </c>
      <c r="U327" s="131">
        <f t="shared" si="172"/>
        <v>0</v>
      </c>
      <c r="V327" s="260"/>
      <c r="W327" s="131" t="str">
        <f t="shared" ref="W327:W331" si="174">IF(OR(E327="〇〇(合意形成対象者名に書き換え)",E327=""),"",SUM(S327,T327,U327))</f>
        <v/>
      </c>
      <c r="X327" s="131">
        <f t="shared" si="173"/>
        <v>1</v>
      </c>
      <c r="Y327" s="131">
        <f t="shared" ref="Y327:Y331" si="175">IF(E327="",1,IF(AND(E327="〇〇(合意形成対象者名に書き換え)",COUNTA($F327:$J327)=0),1,IF(AND(E327&lt;&gt;"〇〇(合意形成対象者名に書き換え)",COUNTA($F327:$J327)=5),1,0)))</f>
        <v>1</v>
      </c>
      <c r="Z327" s="131" t="str" cm="1">
        <f t="array" ref="Z327">_xlfn.IFS(X327=4,"A",X327=3,"B",X327=2,"C",X327=1,"D")</f>
        <v>D</v>
      </c>
      <c r="AA327" s="257"/>
    </row>
    <row r="328" spans="1:27">
      <c r="B328" s="97"/>
      <c r="C328" s="98"/>
      <c r="D328" s="99"/>
      <c r="E328" s="897" t="s">
        <v>129</v>
      </c>
      <c r="F328" s="443"/>
      <c r="G328" s="443"/>
      <c r="H328" s="449"/>
      <c r="I328" s="449"/>
      <c r="J328" s="443"/>
      <c r="K328" s="100"/>
      <c r="L328" s="11"/>
      <c r="R328" s="131">
        <f t="shared" si="169"/>
        <v>0</v>
      </c>
      <c r="S328" s="131">
        <f t="shared" si="170"/>
        <v>0</v>
      </c>
      <c r="T328" s="131">
        <f t="shared" si="171"/>
        <v>0</v>
      </c>
      <c r="U328" s="131">
        <f t="shared" si="172"/>
        <v>0</v>
      </c>
      <c r="V328" s="260"/>
      <c r="W328" s="131" t="str">
        <f t="shared" si="174"/>
        <v/>
      </c>
      <c r="X328" s="131">
        <f t="shared" si="173"/>
        <v>1</v>
      </c>
      <c r="Y328" s="131">
        <f t="shared" si="175"/>
        <v>1</v>
      </c>
      <c r="Z328" s="131" t="str" cm="1">
        <f t="array" ref="Z328">_xlfn.IFS(X328=4,"A",X328=3,"B",X328=2,"C",X328=1,"D")</f>
        <v>D</v>
      </c>
      <c r="AA328" s="257"/>
    </row>
    <row r="329" spans="1:27" s="101" customFormat="1">
      <c r="A329" s="11"/>
      <c r="B329" s="97"/>
      <c r="C329" s="98"/>
      <c r="D329" s="99"/>
      <c r="E329" s="897" t="s">
        <v>129</v>
      </c>
      <c r="F329" s="443"/>
      <c r="G329" s="443"/>
      <c r="H329" s="449"/>
      <c r="I329" s="449"/>
      <c r="J329" s="443"/>
      <c r="K329" s="100"/>
      <c r="L329" s="11"/>
      <c r="O329" s="11"/>
      <c r="P329" s="11"/>
      <c r="Q329" s="11"/>
      <c r="R329" s="131">
        <f t="shared" si="169"/>
        <v>0</v>
      </c>
      <c r="S329" s="131">
        <f t="shared" si="170"/>
        <v>0</v>
      </c>
      <c r="T329" s="131">
        <f t="shared" si="171"/>
        <v>0</v>
      </c>
      <c r="U329" s="131">
        <f t="shared" si="172"/>
        <v>0</v>
      </c>
      <c r="V329" s="260"/>
      <c r="W329" s="131" t="str">
        <f t="shared" si="174"/>
        <v/>
      </c>
      <c r="X329" s="131">
        <f t="shared" si="173"/>
        <v>1</v>
      </c>
      <c r="Y329" s="131">
        <f t="shared" si="175"/>
        <v>1</v>
      </c>
      <c r="Z329" s="131" t="str" cm="1">
        <f t="array" ref="Z329">_xlfn.IFS(X329=4,"A",X329=3,"B",X329=2,"C",X329=1,"D")</f>
        <v>D</v>
      </c>
      <c r="AA329" s="131"/>
    </row>
    <row r="330" spans="1:27" customFormat="1" ht="7.5" customHeight="1">
      <c r="B330" s="65"/>
      <c r="C330" s="4"/>
      <c r="D330" s="4"/>
      <c r="E330" s="290"/>
      <c r="F330" s="4"/>
      <c r="G330" s="4"/>
      <c r="H330" s="4"/>
      <c r="I330" s="4"/>
      <c r="J330" s="4"/>
      <c r="K330" s="9"/>
      <c r="L330" s="2"/>
      <c r="M330" s="2"/>
      <c r="N330" s="2"/>
      <c r="R330" s="131">
        <f t="shared" si="169"/>
        <v>0</v>
      </c>
      <c r="S330" s="131">
        <f t="shared" si="170"/>
        <v>0</v>
      </c>
      <c r="T330" s="131">
        <f t="shared" si="171"/>
        <v>0</v>
      </c>
      <c r="U330" s="131">
        <f t="shared" si="172"/>
        <v>0</v>
      </c>
      <c r="V330" s="260"/>
      <c r="W330" s="131" t="str">
        <f t="shared" si="174"/>
        <v/>
      </c>
      <c r="X330" s="131">
        <f t="shared" si="173"/>
        <v>1</v>
      </c>
      <c r="Y330" s="131">
        <f t="shared" si="175"/>
        <v>1</v>
      </c>
      <c r="Z330" s="131" t="str" cm="1">
        <f t="array" ref="Z330">_xlfn.IFS(X330=4,"A",X330=3,"B",X330=2,"C",X330=1,"D")</f>
        <v>D</v>
      </c>
      <c r="AA330" s="177"/>
    </row>
    <row r="331" spans="1:27" customFormat="1" ht="6" customHeight="1">
      <c r="E331" s="3"/>
      <c r="L331" s="2"/>
      <c r="M331" s="2"/>
      <c r="N331" s="2"/>
      <c r="R331" s="131">
        <f t="shared" si="169"/>
        <v>0</v>
      </c>
      <c r="S331" s="131">
        <f t="shared" si="170"/>
        <v>0</v>
      </c>
      <c r="T331" s="131">
        <f t="shared" si="171"/>
        <v>0</v>
      </c>
      <c r="U331" s="131">
        <f t="shared" si="172"/>
        <v>0</v>
      </c>
      <c r="V331" s="260"/>
      <c r="W331" s="131" t="str">
        <f t="shared" si="174"/>
        <v/>
      </c>
      <c r="X331" s="131">
        <f t="shared" si="173"/>
        <v>1</v>
      </c>
      <c r="Y331" s="131">
        <f t="shared" si="175"/>
        <v>1</v>
      </c>
      <c r="Z331" s="131" t="str" cm="1">
        <f t="array" ref="Z331">_xlfn.IFS(X331=4,"A",X331=3,"B",X331=2,"C",X331=1,"D")</f>
        <v>D</v>
      </c>
      <c r="AA331" s="177"/>
    </row>
    <row r="332" spans="1:27" customFormat="1" ht="103.5" customHeight="1">
      <c r="C332" s="78"/>
      <c r="D332" s="79"/>
      <c r="E332" s="71" t="s">
        <v>238</v>
      </c>
      <c r="F332" s="1057"/>
      <c r="G332" s="1057"/>
      <c r="H332" s="1057"/>
      <c r="I332" s="1057"/>
      <c r="J332" s="1057"/>
      <c r="K332" s="80" t="s">
        <v>132</v>
      </c>
      <c r="L332" s="80"/>
    </row>
    <row r="333" spans="1:27" customFormat="1" ht="146.25" customHeight="1">
      <c r="C333" s="75"/>
      <c r="D333" s="68"/>
      <c r="E333" s="71" t="s">
        <v>237</v>
      </c>
      <c r="F333" s="1057"/>
      <c r="G333" s="1057"/>
      <c r="H333" s="1057"/>
      <c r="I333" s="1057"/>
      <c r="J333" s="1057"/>
      <c r="L333" s="2"/>
      <c r="M333" s="2"/>
      <c r="N333" s="2"/>
    </row>
    <row r="334" spans="1:27" customFormat="1" ht="13.5" customHeight="1" thickBot="1">
      <c r="A334" s="81"/>
      <c r="B334" s="81"/>
      <c r="C334" s="81"/>
      <c r="D334" s="81"/>
      <c r="E334" s="313"/>
      <c r="F334" s="81"/>
      <c r="G334" s="81"/>
      <c r="H334" s="81"/>
      <c r="I334" s="81"/>
      <c r="J334" s="81"/>
      <c r="K334" s="81"/>
      <c r="L334" s="82"/>
      <c r="M334" s="2"/>
      <c r="N334" s="2"/>
    </row>
    <row r="335" spans="1:27" customFormat="1" ht="13.5" customHeight="1">
      <c r="E335" s="3"/>
      <c r="L335" s="2"/>
      <c r="M335" s="2"/>
      <c r="N335" s="2"/>
    </row>
    <row r="336" spans="1:27" customFormat="1" ht="15" customHeight="1">
      <c r="B336" s="10"/>
      <c r="C336" s="5"/>
      <c r="D336" s="5"/>
      <c r="E336" s="307"/>
      <c r="F336" s="5"/>
      <c r="G336" s="5"/>
      <c r="H336" s="5"/>
      <c r="I336" s="5"/>
      <c r="J336" s="5"/>
      <c r="K336" s="6"/>
      <c r="R336" s="11" t="str">
        <f>D337</f>
        <v>(選択してください)</v>
      </c>
    </row>
    <row r="337" spans="1:27" customFormat="1">
      <c r="B337" s="7"/>
      <c r="C337" s="77" t="str">
        <f ca="1">IFERROR(OFFSET('4.3民生部門電力以外の排出削減取組'!$C$1,MATCH(D337,'4.3民生部門電力以外の排出削減取組'!$E:$E,0)-1,0),"")</f>
        <v/>
      </c>
      <c r="D337" s="96" t="s">
        <v>130</v>
      </c>
      <c r="E337" s="72" t="s">
        <v>12</v>
      </c>
      <c r="F337" s="1063" t="str">
        <f ca="1">IFERROR(OFFSET('4.3民生部門電力以外の排出削減取組'!$G$1,MATCH($D337,'4.3民生部門電力以外の排出削減取組'!$E:$E,0)-1,0),"")</f>
        <v/>
      </c>
      <c r="G337" s="1063"/>
      <c r="H337" s="1063"/>
      <c r="I337" s="1063"/>
      <c r="J337" s="1063"/>
      <c r="K337" s="8"/>
      <c r="R337" s="257" t="str">
        <f ca="1">IFERROR(OFFSET('4.3民生部門電力以外の排出削減取組'!$G$1,MATCH($D337,'4.3民生部門電力以外の排出削減取組'!$E:$E,0)-1,0),"")</f>
        <v/>
      </c>
      <c r="S337" s="177"/>
      <c r="T337" s="177"/>
      <c r="U337" s="177"/>
      <c r="V337" s="177"/>
      <c r="W337" s="177"/>
      <c r="X337" s="177"/>
      <c r="Y337" s="177"/>
      <c r="Z337" s="177"/>
      <c r="AA337" s="177">
        <f ca="1">(F337=R337)*1</f>
        <v>1</v>
      </c>
    </row>
    <row r="338" spans="1:27" customFormat="1">
      <c r="B338" s="7"/>
      <c r="C338" s="74"/>
      <c r="D338" s="66"/>
      <c r="E338" s="72" t="s">
        <v>282</v>
      </c>
      <c r="F338" s="1080" t="str">
        <f ca="1">IFERROR(OFFSET('4.3民生部門電力以外の排出削減取組'!$H$1,MATCH($D337,'4.3民生部門電力以外の排出削減取組'!$E:$E,0)-1,0),"")</f>
        <v/>
      </c>
      <c r="G338" s="1080"/>
      <c r="H338" s="1080"/>
      <c r="I338" s="1080"/>
      <c r="J338" s="1080"/>
      <c r="K338" s="8"/>
      <c r="R338" s="177" t="str">
        <f ca="1">IFERROR(OFFSET('4.3民生部門電力以外の排出削減取組'!$H$1,MATCH($D337,'4.3民生部門電力以外の排出削減取組'!$E:$E,0)-1,0),"")</f>
        <v/>
      </c>
      <c r="S338" s="177"/>
      <c r="T338" s="177"/>
      <c r="U338" s="177"/>
      <c r="V338" s="177"/>
      <c r="W338" s="177"/>
      <c r="X338" s="177"/>
      <c r="Y338" s="177"/>
      <c r="Z338" s="177"/>
      <c r="AA338" s="177">
        <f t="shared" ref="AA338:AA339" ca="1" si="176">(F338=R338)*1</f>
        <v>1</v>
      </c>
    </row>
    <row r="339" spans="1:27" customFormat="1">
      <c r="B339" s="7"/>
      <c r="C339" s="74"/>
      <c r="D339" s="66"/>
      <c r="E339" s="72" t="s">
        <v>176</v>
      </c>
      <c r="F339" s="1063" t="str">
        <f>_xlfn.IFNA(R339,"")</f>
        <v/>
      </c>
      <c r="G339" s="1063"/>
      <c r="H339" s="1063"/>
      <c r="I339" s="1063"/>
      <c r="J339" s="1063"/>
      <c r="K339" s="8"/>
      <c r="R339" s="131" t="str">
        <f>IF(OR(COUNTIF($E341:$E346,"&lt;&gt;〇〇(合意形成対象者名に書き換え)")=3,COUNTIF($E341:$E346,"")&gt;3),"",IF(PRODUCT($Y341:$Y346)=1,Z341,""))</f>
        <v/>
      </c>
      <c r="S339" s="177"/>
      <c r="T339" s="177"/>
      <c r="U339" s="177"/>
      <c r="V339" s="177"/>
      <c r="W339" s="177"/>
      <c r="X339" s="177"/>
      <c r="Y339" s="177"/>
      <c r="Z339" s="177"/>
      <c r="AA339" s="177">
        <f t="shared" si="176"/>
        <v>1</v>
      </c>
    </row>
    <row r="340" spans="1:27" ht="63.75" customHeight="1">
      <c r="B340" s="97"/>
      <c r="C340" s="98"/>
      <c r="D340" s="99"/>
      <c r="E340" s="895"/>
      <c r="F340" s="315" t="s">
        <v>280</v>
      </c>
      <c r="G340" s="315" t="s">
        <v>270</v>
      </c>
      <c r="H340" s="315" t="s">
        <v>443</v>
      </c>
      <c r="I340" s="315" t="s">
        <v>445</v>
      </c>
      <c r="J340" s="315" t="s">
        <v>281</v>
      </c>
      <c r="K340" s="100"/>
      <c r="L340" s="11"/>
      <c r="R340" s="128" t="s">
        <v>280</v>
      </c>
      <c r="S340" s="128" t="s">
        <v>446</v>
      </c>
      <c r="T340" s="297" t="s">
        <v>443</v>
      </c>
      <c r="U340" s="297" t="s">
        <v>444</v>
      </c>
      <c r="V340" s="258" t="s">
        <v>272</v>
      </c>
      <c r="W340" s="128" t="s">
        <v>432</v>
      </c>
      <c r="X340" s="131" t="s">
        <v>408</v>
      </c>
      <c r="Y340" s="131" t="s">
        <v>436</v>
      </c>
      <c r="Z340" s="128" t="s">
        <v>431</v>
      </c>
      <c r="AA340" s="257"/>
    </row>
    <row r="341" spans="1:27" hidden="1">
      <c r="B341" s="97"/>
      <c r="C341" s="98"/>
      <c r="D341" s="99"/>
      <c r="E341" s="896"/>
      <c r="F341" s="441"/>
      <c r="G341" s="441"/>
      <c r="H341" s="445"/>
      <c r="I341" s="445"/>
      <c r="J341" s="441"/>
      <c r="K341" s="100"/>
      <c r="L341" s="11"/>
      <c r="R341" s="131">
        <f t="shared" ref="R341:R346" si="177">IF(F341="実施済",1,0)</f>
        <v>0</v>
      </c>
      <c r="S341" s="131">
        <f t="shared" ref="S341:S346" si="178">IF(G341="実施済",R341*1,0)</f>
        <v>0</v>
      </c>
      <c r="T341" s="131">
        <f t="shared" ref="T341:T346" si="179">IF(H341="実施済",S341*1,0)</f>
        <v>0</v>
      </c>
      <c r="U341" s="131">
        <f t="shared" ref="U341:U346" si="180">IF(I341="実施済",T341*1,0)</f>
        <v>0</v>
      </c>
      <c r="V341" s="260"/>
      <c r="W341" s="131" t="str">
        <f>IF(OR(E341="〇〇(合意形成対象者名に書き換え)",E341=""),"",SUM(S341,T341,U341))</f>
        <v/>
      </c>
      <c r="X341" s="131">
        <f t="shared" ref="X341:X346" si="181">MIN($W$341:$W$346)+1</f>
        <v>1</v>
      </c>
      <c r="Y341" s="131">
        <f>IF(E341="",1,IF(AND(E341="〇〇(合意形成対象者名に書き換え)",COUNTA($F341:$J341)=0),1,IF(AND(E341&lt;&gt;"〇〇(合意形成対象者名に書き換え)",COUNTA($F341:$J341)=5),1,0)))</f>
        <v>1</v>
      </c>
      <c r="Z341" s="131" t="str" cm="1">
        <f t="array" ref="Z341">_xlfn.IFS(X341=4,"A",X341=3,"B",X341=2,"C",X341=1,"D")</f>
        <v>D</v>
      </c>
      <c r="AA341" s="257"/>
    </row>
    <row r="342" spans="1:27">
      <c r="B342" s="97"/>
      <c r="C342" s="98"/>
      <c r="D342" s="99"/>
      <c r="E342" s="897" t="s">
        <v>129</v>
      </c>
      <c r="F342" s="448"/>
      <c r="G342" s="448"/>
      <c r="H342" s="447"/>
      <c r="I342" s="447"/>
      <c r="J342" s="448"/>
      <c r="K342" s="100"/>
      <c r="L342" s="11"/>
      <c r="R342" s="131">
        <f t="shared" si="177"/>
        <v>0</v>
      </c>
      <c r="S342" s="131">
        <f t="shared" si="178"/>
        <v>0</v>
      </c>
      <c r="T342" s="131">
        <f t="shared" si="179"/>
        <v>0</v>
      </c>
      <c r="U342" s="131">
        <f t="shared" si="180"/>
        <v>0</v>
      </c>
      <c r="V342" s="260"/>
      <c r="W342" s="131" t="str">
        <f t="shared" ref="W342:W346" si="182">IF(OR(E342="〇〇(合意形成対象者名に書き換え)",E342=""),"",SUM(S342,T342,U342))</f>
        <v/>
      </c>
      <c r="X342" s="131">
        <f t="shared" si="181"/>
        <v>1</v>
      </c>
      <c r="Y342" s="131">
        <f t="shared" ref="Y342:Y346" si="183">IF(E342="",1,IF(AND(E342="〇〇(合意形成対象者名に書き換え)",COUNTA($F342:$J342)=0),1,IF(AND(E342&lt;&gt;"〇〇(合意形成対象者名に書き換え)",COUNTA($F342:$J342)=5),1,0)))</f>
        <v>1</v>
      </c>
      <c r="Z342" s="131" t="str" cm="1">
        <f t="array" ref="Z342">_xlfn.IFS(X342=4,"A",X342=3,"B",X342=2,"C",X342=1,"D")</f>
        <v>D</v>
      </c>
      <c r="AA342" s="257"/>
    </row>
    <row r="343" spans="1:27">
      <c r="B343" s="97"/>
      <c r="C343" s="98"/>
      <c r="D343" s="99"/>
      <c r="E343" s="897" t="s">
        <v>129</v>
      </c>
      <c r="F343" s="443"/>
      <c r="G343" s="443"/>
      <c r="H343" s="449"/>
      <c r="I343" s="449"/>
      <c r="J343" s="443"/>
      <c r="K343" s="100"/>
      <c r="L343" s="11"/>
      <c r="R343" s="131">
        <f t="shared" si="177"/>
        <v>0</v>
      </c>
      <c r="S343" s="131">
        <f t="shared" si="178"/>
        <v>0</v>
      </c>
      <c r="T343" s="131">
        <f t="shared" si="179"/>
        <v>0</v>
      </c>
      <c r="U343" s="131">
        <f t="shared" si="180"/>
        <v>0</v>
      </c>
      <c r="V343" s="260"/>
      <c r="W343" s="131" t="str">
        <f t="shared" si="182"/>
        <v/>
      </c>
      <c r="X343" s="131">
        <f t="shared" si="181"/>
        <v>1</v>
      </c>
      <c r="Y343" s="131">
        <f t="shared" si="183"/>
        <v>1</v>
      </c>
      <c r="Z343" s="131" t="str" cm="1">
        <f t="array" ref="Z343">_xlfn.IFS(X343=4,"A",X343=3,"B",X343=2,"C",X343=1,"D")</f>
        <v>D</v>
      </c>
      <c r="AA343" s="257"/>
    </row>
    <row r="344" spans="1:27" s="101" customFormat="1">
      <c r="A344" s="11"/>
      <c r="B344" s="97"/>
      <c r="C344" s="98"/>
      <c r="D344" s="99"/>
      <c r="E344" s="897" t="s">
        <v>129</v>
      </c>
      <c r="F344" s="443"/>
      <c r="G344" s="443"/>
      <c r="H344" s="449"/>
      <c r="I344" s="449"/>
      <c r="J344" s="443"/>
      <c r="K344" s="100"/>
      <c r="L344" s="11"/>
      <c r="O344" s="11"/>
      <c r="P344" s="11"/>
      <c r="Q344" s="11"/>
      <c r="R344" s="131">
        <f t="shared" si="177"/>
        <v>0</v>
      </c>
      <c r="S344" s="131">
        <f t="shared" si="178"/>
        <v>0</v>
      </c>
      <c r="T344" s="131">
        <f t="shared" si="179"/>
        <v>0</v>
      </c>
      <c r="U344" s="131">
        <f t="shared" si="180"/>
        <v>0</v>
      </c>
      <c r="V344" s="260"/>
      <c r="W344" s="131" t="str">
        <f t="shared" si="182"/>
        <v/>
      </c>
      <c r="X344" s="131">
        <f t="shared" si="181"/>
        <v>1</v>
      </c>
      <c r="Y344" s="131">
        <f t="shared" si="183"/>
        <v>1</v>
      </c>
      <c r="Z344" s="131" t="str" cm="1">
        <f t="array" ref="Z344">_xlfn.IFS(X344=4,"A",X344=3,"B",X344=2,"C",X344=1,"D")</f>
        <v>D</v>
      </c>
      <c r="AA344" s="131"/>
    </row>
    <row r="345" spans="1:27" customFormat="1" ht="7.5" customHeight="1">
      <c r="B345" s="65"/>
      <c r="C345" s="4"/>
      <c r="D345" s="4"/>
      <c r="E345" s="290"/>
      <c r="F345" s="4"/>
      <c r="G345" s="4"/>
      <c r="H345" s="4"/>
      <c r="I345" s="4"/>
      <c r="J345" s="4"/>
      <c r="K345" s="9"/>
      <c r="L345" s="2"/>
      <c r="M345" s="2"/>
      <c r="N345" s="2"/>
      <c r="R345" s="131">
        <f t="shared" si="177"/>
        <v>0</v>
      </c>
      <c r="S345" s="131">
        <f t="shared" si="178"/>
        <v>0</v>
      </c>
      <c r="T345" s="131">
        <f t="shared" si="179"/>
        <v>0</v>
      </c>
      <c r="U345" s="131">
        <f t="shared" si="180"/>
        <v>0</v>
      </c>
      <c r="V345" s="260"/>
      <c r="W345" s="131" t="str">
        <f t="shared" si="182"/>
        <v/>
      </c>
      <c r="X345" s="131">
        <f t="shared" si="181"/>
        <v>1</v>
      </c>
      <c r="Y345" s="131">
        <f t="shared" si="183"/>
        <v>1</v>
      </c>
      <c r="Z345" s="131" t="str" cm="1">
        <f t="array" ref="Z345">_xlfn.IFS(X345=4,"A",X345=3,"B",X345=2,"C",X345=1,"D")</f>
        <v>D</v>
      </c>
      <c r="AA345" s="177"/>
    </row>
    <row r="346" spans="1:27" customFormat="1" ht="6" customHeight="1">
      <c r="E346" s="3"/>
      <c r="L346" s="2"/>
      <c r="M346" s="2"/>
      <c r="N346" s="2"/>
      <c r="R346" s="131">
        <f t="shared" si="177"/>
        <v>0</v>
      </c>
      <c r="S346" s="131">
        <f t="shared" si="178"/>
        <v>0</v>
      </c>
      <c r="T346" s="131">
        <f t="shared" si="179"/>
        <v>0</v>
      </c>
      <c r="U346" s="131">
        <f t="shared" si="180"/>
        <v>0</v>
      </c>
      <c r="V346" s="260"/>
      <c r="W346" s="131" t="str">
        <f t="shared" si="182"/>
        <v/>
      </c>
      <c r="X346" s="131">
        <f t="shared" si="181"/>
        <v>1</v>
      </c>
      <c r="Y346" s="131">
        <f t="shared" si="183"/>
        <v>1</v>
      </c>
      <c r="Z346" s="131" t="str" cm="1">
        <f t="array" ref="Z346">_xlfn.IFS(X346=4,"A",X346=3,"B",X346=2,"C",X346=1,"D")</f>
        <v>D</v>
      </c>
      <c r="AA346" s="177"/>
    </row>
    <row r="347" spans="1:27" customFormat="1" ht="103.5" customHeight="1">
      <c r="C347" s="78"/>
      <c r="D347" s="79"/>
      <c r="E347" s="71" t="s">
        <v>238</v>
      </c>
      <c r="F347" s="1057"/>
      <c r="G347" s="1057"/>
      <c r="H347" s="1057"/>
      <c r="I347" s="1057"/>
      <c r="J347" s="1057"/>
      <c r="K347" s="80" t="s">
        <v>132</v>
      </c>
      <c r="L347" s="80"/>
    </row>
    <row r="348" spans="1:27" customFormat="1" ht="146.25" customHeight="1">
      <c r="C348" s="75"/>
      <c r="D348" s="68"/>
      <c r="E348" s="71" t="s">
        <v>237</v>
      </c>
      <c r="F348" s="1057"/>
      <c r="G348" s="1057"/>
      <c r="H348" s="1057"/>
      <c r="I348" s="1057"/>
      <c r="J348" s="1057"/>
      <c r="L348" s="2"/>
      <c r="M348" s="2"/>
      <c r="N348" s="2"/>
    </row>
    <row r="349" spans="1:27" customFormat="1" ht="13.5" customHeight="1" thickBot="1">
      <c r="A349" s="81"/>
      <c r="B349" s="81"/>
      <c r="C349" s="81"/>
      <c r="D349" s="81"/>
      <c r="E349" s="313"/>
      <c r="F349" s="81"/>
      <c r="G349" s="81"/>
      <c r="H349" s="81"/>
      <c r="I349" s="81"/>
      <c r="J349" s="81"/>
      <c r="K349" s="81"/>
      <c r="L349" s="82"/>
      <c r="M349" s="2"/>
      <c r="N349" s="2"/>
    </row>
    <row r="350" spans="1:27" customFormat="1" ht="13.5" customHeight="1">
      <c r="E350" s="3"/>
      <c r="L350" s="2"/>
      <c r="M350" s="2"/>
      <c r="N350" s="2"/>
    </row>
    <row r="351" spans="1:27" customFormat="1" ht="15" customHeight="1">
      <c r="B351" s="10"/>
      <c r="C351" s="5"/>
      <c r="D351" s="5"/>
      <c r="E351" s="307"/>
      <c r="F351" s="5"/>
      <c r="G351" s="5"/>
      <c r="H351" s="5"/>
      <c r="I351" s="5"/>
      <c r="J351" s="5"/>
      <c r="K351" s="6"/>
      <c r="R351" s="11" t="str">
        <f>D352</f>
        <v>(選択してください)</v>
      </c>
    </row>
    <row r="352" spans="1:27" customFormat="1">
      <c r="B352" s="7"/>
      <c r="C352" s="77" t="str">
        <f ca="1">IFERROR(OFFSET('4.3民生部門電力以外の排出削減取組'!$C$1,MATCH(D352,'4.3民生部門電力以外の排出削減取組'!$E:$E,0)-1,0),"")</f>
        <v/>
      </c>
      <c r="D352" s="96" t="s">
        <v>130</v>
      </c>
      <c r="E352" s="72" t="s">
        <v>12</v>
      </c>
      <c r="F352" s="1063" t="str">
        <f ca="1">IFERROR(OFFSET('4.3民生部門電力以外の排出削減取組'!$G$1,MATCH($D352,'4.3民生部門電力以外の排出削減取組'!$E:$E,0)-1,0),"")</f>
        <v/>
      </c>
      <c r="G352" s="1063"/>
      <c r="H352" s="1063"/>
      <c r="I352" s="1063"/>
      <c r="J352" s="1063"/>
      <c r="K352" s="8"/>
      <c r="R352" s="257" t="str">
        <f ca="1">IFERROR(OFFSET('4.3民生部門電力以外の排出削減取組'!$G$1,MATCH($D352,'4.3民生部門電力以外の排出削減取組'!$E:$E,0)-1,0),"")</f>
        <v/>
      </c>
      <c r="S352" s="177"/>
      <c r="T352" s="177"/>
      <c r="U352" s="177"/>
      <c r="V352" s="177"/>
      <c r="W352" s="177"/>
      <c r="X352" s="177"/>
      <c r="Y352" s="177"/>
      <c r="Z352" s="177"/>
      <c r="AA352" s="177">
        <f ca="1">(F352=R352)*1</f>
        <v>1</v>
      </c>
    </row>
    <row r="353" spans="1:27" customFormat="1">
      <c r="B353" s="7"/>
      <c r="C353" s="74"/>
      <c r="D353" s="66"/>
      <c r="E353" s="72" t="s">
        <v>282</v>
      </c>
      <c r="F353" s="1080" t="str">
        <f ca="1">IFERROR(OFFSET('4.3民生部門電力以外の排出削減取組'!$H$1,MATCH($D352,'4.3民生部門電力以外の排出削減取組'!$E:$E,0)-1,0),"")</f>
        <v/>
      </c>
      <c r="G353" s="1080"/>
      <c r="H353" s="1080"/>
      <c r="I353" s="1080"/>
      <c r="J353" s="1080"/>
      <c r="K353" s="8"/>
      <c r="R353" s="177" t="str">
        <f ca="1">IFERROR(OFFSET('4.3民生部門電力以外の排出削減取組'!$H$1,MATCH($D352,'4.3民生部門電力以外の排出削減取組'!$E:$E,0)-1,0),"")</f>
        <v/>
      </c>
      <c r="S353" s="177"/>
      <c r="T353" s="177"/>
      <c r="U353" s="177"/>
      <c r="V353" s="177"/>
      <c r="W353" s="177"/>
      <c r="X353" s="177"/>
      <c r="Y353" s="177"/>
      <c r="Z353" s="177"/>
      <c r="AA353" s="177">
        <f t="shared" ref="AA353:AA354" ca="1" si="184">(F353=R353)*1</f>
        <v>1</v>
      </c>
    </row>
    <row r="354" spans="1:27" customFormat="1">
      <c r="B354" s="7"/>
      <c r="C354" s="74"/>
      <c r="D354" s="66"/>
      <c r="E354" s="72" t="s">
        <v>176</v>
      </c>
      <c r="F354" s="1063" t="str">
        <f>_xlfn.IFNA(R354,"")</f>
        <v/>
      </c>
      <c r="G354" s="1063"/>
      <c r="H354" s="1063"/>
      <c r="I354" s="1063"/>
      <c r="J354" s="1063"/>
      <c r="K354" s="8"/>
      <c r="R354" s="131" t="str">
        <f>IF(OR(COUNTIF($E356:$E361,"&lt;&gt;〇〇(合意形成対象者名に書き換え)")=3,COUNTIF($E356:$E361,"")&gt;3),"",IF(PRODUCT($Y356:$Y361)=1,Z356,""))</f>
        <v/>
      </c>
      <c r="S354" s="177"/>
      <c r="T354" s="177"/>
      <c r="U354" s="177"/>
      <c r="V354" s="177"/>
      <c r="W354" s="177"/>
      <c r="X354" s="177"/>
      <c r="Y354" s="177"/>
      <c r="Z354" s="177"/>
      <c r="AA354" s="177">
        <f t="shared" si="184"/>
        <v>1</v>
      </c>
    </row>
    <row r="355" spans="1:27" ht="63.75" customHeight="1">
      <c r="B355" s="97"/>
      <c r="C355" s="98"/>
      <c r="D355" s="99"/>
      <c r="E355" s="895"/>
      <c r="F355" s="315" t="s">
        <v>280</v>
      </c>
      <c r="G355" s="315" t="s">
        <v>270</v>
      </c>
      <c r="H355" s="315" t="s">
        <v>443</v>
      </c>
      <c r="I355" s="315" t="s">
        <v>445</v>
      </c>
      <c r="J355" s="315" t="s">
        <v>281</v>
      </c>
      <c r="K355" s="100"/>
      <c r="L355" s="11"/>
      <c r="R355" s="128" t="s">
        <v>280</v>
      </c>
      <c r="S355" s="128" t="s">
        <v>446</v>
      </c>
      <c r="T355" s="297" t="s">
        <v>443</v>
      </c>
      <c r="U355" s="297" t="s">
        <v>444</v>
      </c>
      <c r="V355" s="258" t="s">
        <v>272</v>
      </c>
      <c r="W355" s="128" t="s">
        <v>432</v>
      </c>
      <c r="X355" s="131" t="s">
        <v>408</v>
      </c>
      <c r="Y355" s="131" t="s">
        <v>436</v>
      </c>
      <c r="Z355" s="128" t="s">
        <v>431</v>
      </c>
      <c r="AA355" s="257"/>
    </row>
    <row r="356" spans="1:27" hidden="1">
      <c r="B356" s="97"/>
      <c r="C356" s="98"/>
      <c r="D356" s="99"/>
      <c r="E356" s="896"/>
      <c r="F356" s="441"/>
      <c r="G356" s="441"/>
      <c r="H356" s="445"/>
      <c r="I356" s="445"/>
      <c r="J356" s="441"/>
      <c r="K356" s="100"/>
      <c r="L356" s="11"/>
      <c r="R356" s="131">
        <f t="shared" ref="R356:R361" si="185">IF(F356="実施済",1,0)</f>
        <v>0</v>
      </c>
      <c r="S356" s="131">
        <f t="shared" ref="S356:S361" si="186">IF(G356="実施済",R356*1,0)</f>
        <v>0</v>
      </c>
      <c r="T356" s="131">
        <f t="shared" ref="T356:T361" si="187">IF(H356="実施済",S356*1,0)</f>
        <v>0</v>
      </c>
      <c r="U356" s="131">
        <f t="shared" ref="U356:U361" si="188">IF(I356="実施済",T356*1,0)</f>
        <v>0</v>
      </c>
      <c r="V356" s="260"/>
      <c r="W356" s="131" t="str">
        <f>IF(OR(E356="〇〇(合意形成対象者名に書き換え)",E356=""),"",SUM(S356,T356,U356))</f>
        <v/>
      </c>
      <c r="X356" s="131">
        <f t="shared" ref="X356:X361" si="189">MIN($W$356:$W$361)+1</f>
        <v>1</v>
      </c>
      <c r="Y356" s="131">
        <f>IF(E356="",1,IF(AND(E356="〇〇(合意形成対象者名に書き換え)",COUNTA($F356:$J356)=0),1,IF(AND(E356&lt;&gt;"〇〇(合意形成対象者名に書き換え)",COUNTA($F356:$J356)=5),1,0)))</f>
        <v>1</v>
      </c>
      <c r="Z356" s="131" t="str" cm="1">
        <f t="array" ref="Z356">_xlfn.IFS(X356=4,"A",X356=3,"B",X356=2,"C",X356=1,"D")</f>
        <v>D</v>
      </c>
      <c r="AA356" s="257"/>
    </row>
    <row r="357" spans="1:27">
      <c r="B357" s="97"/>
      <c r="C357" s="98"/>
      <c r="D357" s="99"/>
      <c r="E357" s="897" t="s">
        <v>129</v>
      </c>
      <c r="F357" s="448"/>
      <c r="G357" s="448"/>
      <c r="H357" s="447"/>
      <c r="I357" s="447"/>
      <c r="J357" s="448"/>
      <c r="K357" s="100"/>
      <c r="L357" s="11"/>
      <c r="R357" s="131">
        <f t="shared" si="185"/>
        <v>0</v>
      </c>
      <c r="S357" s="131">
        <f t="shared" si="186"/>
        <v>0</v>
      </c>
      <c r="T357" s="131">
        <f t="shared" si="187"/>
        <v>0</v>
      </c>
      <c r="U357" s="131">
        <f t="shared" si="188"/>
        <v>0</v>
      </c>
      <c r="V357" s="260"/>
      <c r="W357" s="131" t="str">
        <f t="shared" ref="W357:W361" si="190">IF(OR(E357="〇〇(合意形成対象者名に書き換え)",E357=""),"",SUM(S357,T357,U357))</f>
        <v/>
      </c>
      <c r="X357" s="131">
        <f t="shared" si="189"/>
        <v>1</v>
      </c>
      <c r="Y357" s="131">
        <f t="shared" ref="Y357:Y361" si="191">IF(E357="",1,IF(AND(E357="〇〇(合意形成対象者名に書き換え)",COUNTA($F357:$J357)=0),1,IF(AND(E357&lt;&gt;"〇〇(合意形成対象者名に書き換え)",COUNTA($F357:$J357)=5),1,0)))</f>
        <v>1</v>
      </c>
      <c r="Z357" s="131" t="str" cm="1">
        <f t="array" ref="Z357">_xlfn.IFS(X357=4,"A",X357=3,"B",X357=2,"C",X357=1,"D")</f>
        <v>D</v>
      </c>
      <c r="AA357" s="257"/>
    </row>
    <row r="358" spans="1:27">
      <c r="B358" s="97"/>
      <c r="C358" s="98"/>
      <c r="D358" s="99"/>
      <c r="E358" s="897" t="s">
        <v>129</v>
      </c>
      <c r="F358" s="443"/>
      <c r="G358" s="443"/>
      <c r="H358" s="449"/>
      <c r="I358" s="449"/>
      <c r="J358" s="443"/>
      <c r="K358" s="100"/>
      <c r="L358" s="11"/>
      <c r="R358" s="131">
        <f t="shared" si="185"/>
        <v>0</v>
      </c>
      <c r="S358" s="131">
        <f t="shared" si="186"/>
        <v>0</v>
      </c>
      <c r="T358" s="131">
        <f t="shared" si="187"/>
        <v>0</v>
      </c>
      <c r="U358" s="131">
        <f t="shared" si="188"/>
        <v>0</v>
      </c>
      <c r="V358" s="260"/>
      <c r="W358" s="131" t="str">
        <f t="shared" si="190"/>
        <v/>
      </c>
      <c r="X358" s="131">
        <f t="shared" si="189"/>
        <v>1</v>
      </c>
      <c r="Y358" s="131">
        <f t="shared" si="191"/>
        <v>1</v>
      </c>
      <c r="Z358" s="131" t="str" cm="1">
        <f t="array" ref="Z358">_xlfn.IFS(X358=4,"A",X358=3,"B",X358=2,"C",X358=1,"D")</f>
        <v>D</v>
      </c>
      <c r="AA358" s="257"/>
    </row>
    <row r="359" spans="1:27" s="101" customFormat="1">
      <c r="A359" s="11"/>
      <c r="B359" s="97"/>
      <c r="C359" s="98"/>
      <c r="D359" s="99"/>
      <c r="E359" s="897" t="s">
        <v>129</v>
      </c>
      <c r="F359" s="443"/>
      <c r="G359" s="443"/>
      <c r="H359" s="449"/>
      <c r="I359" s="449"/>
      <c r="J359" s="443"/>
      <c r="K359" s="100"/>
      <c r="L359" s="11"/>
      <c r="O359" s="11"/>
      <c r="P359" s="11"/>
      <c r="Q359" s="11"/>
      <c r="R359" s="131">
        <f t="shared" si="185"/>
        <v>0</v>
      </c>
      <c r="S359" s="131">
        <f t="shared" si="186"/>
        <v>0</v>
      </c>
      <c r="T359" s="131">
        <f t="shared" si="187"/>
        <v>0</v>
      </c>
      <c r="U359" s="131">
        <f t="shared" si="188"/>
        <v>0</v>
      </c>
      <c r="V359" s="260"/>
      <c r="W359" s="131" t="str">
        <f t="shared" si="190"/>
        <v/>
      </c>
      <c r="X359" s="131">
        <f t="shared" si="189"/>
        <v>1</v>
      </c>
      <c r="Y359" s="131">
        <f t="shared" si="191"/>
        <v>1</v>
      </c>
      <c r="Z359" s="131" t="str" cm="1">
        <f t="array" ref="Z359">_xlfn.IFS(X359=4,"A",X359=3,"B",X359=2,"C",X359=1,"D")</f>
        <v>D</v>
      </c>
      <c r="AA359" s="131"/>
    </row>
    <row r="360" spans="1:27" customFormat="1" ht="7.5" customHeight="1">
      <c r="B360" s="65"/>
      <c r="C360" s="4"/>
      <c r="D360" s="4"/>
      <c r="E360" s="290"/>
      <c r="F360" s="4"/>
      <c r="G360" s="4"/>
      <c r="H360" s="4"/>
      <c r="I360" s="4"/>
      <c r="J360" s="4"/>
      <c r="K360" s="9"/>
      <c r="L360" s="2"/>
      <c r="M360" s="2"/>
      <c r="N360" s="2"/>
      <c r="R360" s="131">
        <f t="shared" si="185"/>
        <v>0</v>
      </c>
      <c r="S360" s="131">
        <f t="shared" si="186"/>
        <v>0</v>
      </c>
      <c r="T360" s="131">
        <f t="shared" si="187"/>
        <v>0</v>
      </c>
      <c r="U360" s="131">
        <f t="shared" si="188"/>
        <v>0</v>
      </c>
      <c r="V360" s="260"/>
      <c r="W360" s="131" t="str">
        <f t="shared" si="190"/>
        <v/>
      </c>
      <c r="X360" s="131">
        <f t="shared" si="189"/>
        <v>1</v>
      </c>
      <c r="Y360" s="131">
        <f t="shared" si="191"/>
        <v>1</v>
      </c>
      <c r="Z360" s="131" t="str" cm="1">
        <f t="array" ref="Z360">_xlfn.IFS(X360=4,"A",X360=3,"B",X360=2,"C",X360=1,"D")</f>
        <v>D</v>
      </c>
      <c r="AA360" s="177"/>
    </row>
    <row r="361" spans="1:27" customFormat="1" ht="6" customHeight="1">
      <c r="E361" s="3"/>
      <c r="L361" s="2"/>
      <c r="M361" s="2"/>
      <c r="N361" s="2"/>
      <c r="R361" s="131">
        <f t="shared" si="185"/>
        <v>0</v>
      </c>
      <c r="S361" s="131">
        <f t="shared" si="186"/>
        <v>0</v>
      </c>
      <c r="T361" s="131">
        <f t="shared" si="187"/>
        <v>0</v>
      </c>
      <c r="U361" s="131">
        <f t="shared" si="188"/>
        <v>0</v>
      </c>
      <c r="V361" s="260"/>
      <c r="W361" s="131" t="str">
        <f t="shared" si="190"/>
        <v/>
      </c>
      <c r="X361" s="131">
        <f t="shared" si="189"/>
        <v>1</v>
      </c>
      <c r="Y361" s="131">
        <f t="shared" si="191"/>
        <v>1</v>
      </c>
      <c r="Z361" s="131" t="str" cm="1">
        <f t="array" ref="Z361">_xlfn.IFS(X361=4,"A",X361=3,"B",X361=2,"C",X361=1,"D")</f>
        <v>D</v>
      </c>
      <c r="AA361" s="177"/>
    </row>
    <row r="362" spans="1:27" customFormat="1" ht="103.5" customHeight="1">
      <c r="C362" s="78"/>
      <c r="D362" s="79"/>
      <c r="E362" s="71" t="s">
        <v>238</v>
      </c>
      <c r="F362" s="1057"/>
      <c r="G362" s="1057"/>
      <c r="H362" s="1057"/>
      <c r="I362" s="1057"/>
      <c r="J362" s="1057"/>
      <c r="K362" s="80" t="s">
        <v>132</v>
      </c>
      <c r="L362" s="80"/>
    </row>
    <row r="363" spans="1:27" customFormat="1" ht="146.25" customHeight="1">
      <c r="C363" s="75"/>
      <c r="D363" s="68"/>
      <c r="E363" s="71" t="s">
        <v>237</v>
      </c>
      <c r="F363" s="1057"/>
      <c r="G363" s="1057"/>
      <c r="H363" s="1057"/>
      <c r="I363" s="1057"/>
      <c r="J363" s="1057"/>
      <c r="L363" s="2"/>
      <c r="M363" s="2"/>
      <c r="N363" s="2"/>
    </row>
    <row r="364" spans="1:27" customFormat="1" ht="13.5" customHeight="1" thickBot="1">
      <c r="A364" s="81"/>
      <c r="B364" s="81"/>
      <c r="C364" s="81"/>
      <c r="D364" s="81"/>
      <c r="E364" s="313"/>
      <c r="F364" s="81"/>
      <c r="G364" s="81"/>
      <c r="H364" s="81"/>
      <c r="I364" s="81"/>
      <c r="J364" s="81"/>
      <c r="K364" s="81"/>
      <c r="L364" s="82"/>
      <c r="M364" s="2"/>
      <c r="N364" s="2"/>
    </row>
    <row r="365" spans="1:27" customFormat="1" ht="13.5" customHeight="1">
      <c r="E365" s="3"/>
      <c r="L365" s="2"/>
      <c r="M365" s="2"/>
      <c r="N365" s="2"/>
    </row>
    <row r="366" spans="1:27" customFormat="1" ht="15" customHeight="1">
      <c r="B366" s="10"/>
      <c r="C366" s="5"/>
      <c r="D366" s="5"/>
      <c r="E366" s="307"/>
      <c r="F366" s="5"/>
      <c r="G366" s="5"/>
      <c r="H366" s="5"/>
      <c r="I366" s="5"/>
      <c r="J366" s="5"/>
      <c r="K366" s="6"/>
      <c r="R366" s="11" t="str">
        <f>D367</f>
        <v>(選択してください)</v>
      </c>
    </row>
    <row r="367" spans="1:27" customFormat="1">
      <c r="B367" s="7"/>
      <c r="C367" s="77" t="str">
        <f ca="1">IFERROR(OFFSET('4.3民生部門電力以外の排出削減取組'!$C$1,MATCH(D367,'4.3民生部門電力以外の排出削減取組'!$E:$E,0)-1,0),"")</f>
        <v/>
      </c>
      <c r="D367" s="96" t="s">
        <v>130</v>
      </c>
      <c r="E367" s="72" t="s">
        <v>12</v>
      </c>
      <c r="F367" s="1063" t="str">
        <f ca="1">IFERROR(OFFSET('4.3民生部門電力以外の排出削減取組'!$G$1,MATCH($D367,'4.3民生部門電力以外の排出削減取組'!$E:$E,0)-1,0),"")</f>
        <v/>
      </c>
      <c r="G367" s="1063"/>
      <c r="H367" s="1063"/>
      <c r="I367" s="1063"/>
      <c r="J367" s="1063"/>
      <c r="K367" s="8"/>
      <c r="R367" s="257" t="str">
        <f ca="1">IFERROR(OFFSET('4.3民生部門電力以外の排出削減取組'!$G$1,MATCH($D367,'4.3民生部門電力以外の排出削減取組'!$E:$E,0)-1,0),"")</f>
        <v/>
      </c>
      <c r="S367" s="177"/>
      <c r="T367" s="177"/>
      <c r="U367" s="177"/>
      <c r="V367" s="177"/>
      <c r="W367" s="177"/>
      <c r="X367" s="177"/>
      <c r="Y367" s="177"/>
      <c r="Z367" s="177"/>
      <c r="AA367" s="177">
        <f ca="1">(F367=R367)*1</f>
        <v>1</v>
      </c>
    </row>
    <row r="368" spans="1:27" customFormat="1">
      <c r="B368" s="7"/>
      <c r="C368" s="74"/>
      <c r="D368" s="66"/>
      <c r="E368" s="72" t="s">
        <v>282</v>
      </c>
      <c r="F368" s="1080" t="str">
        <f ca="1">IFERROR(OFFSET('4.3民生部門電力以外の排出削減取組'!$H$1,MATCH($D367,'4.3民生部門電力以外の排出削減取組'!$E:$E,0)-1,0),"")</f>
        <v/>
      </c>
      <c r="G368" s="1080"/>
      <c r="H368" s="1080"/>
      <c r="I368" s="1080"/>
      <c r="J368" s="1080"/>
      <c r="K368" s="8"/>
      <c r="R368" s="177" t="str">
        <f ca="1">IFERROR(OFFSET('4.3民生部門電力以外の排出削減取組'!$H$1,MATCH($D367,'4.3民生部門電力以外の排出削減取組'!$E:$E,0)-1,0),"")</f>
        <v/>
      </c>
      <c r="S368" s="177"/>
      <c r="T368" s="177"/>
      <c r="U368" s="177"/>
      <c r="V368" s="177"/>
      <c r="W368" s="177"/>
      <c r="X368" s="177"/>
      <c r="Y368" s="177"/>
      <c r="Z368" s="177"/>
      <c r="AA368" s="177">
        <f t="shared" ref="AA368:AA369" ca="1" si="192">(F368=R368)*1</f>
        <v>1</v>
      </c>
    </row>
    <row r="369" spans="1:27" customFormat="1">
      <c r="B369" s="7"/>
      <c r="C369" s="74"/>
      <c r="D369" s="66"/>
      <c r="E369" s="72" t="s">
        <v>176</v>
      </c>
      <c r="F369" s="1063" t="str">
        <f>_xlfn.IFNA(R369,"")</f>
        <v/>
      </c>
      <c r="G369" s="1063"/>
      <c r="H369" s="1063"/>
      <c r="I369" s="1063"/>
      <c r="J369" s="1063"/>
      <c r="K369" s="8"/>
      <c r="R369" s="131" t="str">
        <f>IF(OR(COUNTIF($E371:$E376,"&lt;&gt;〇〇(合意形成対象者名に書き換え)")=3,COUNTIF($E371:$E376,"")&gt;3),"",IF(PRODUCT($Y371:$Y376)=1,Z371,""))</f>
        <v/>
      </c>
      <c r="S369" s="177"/>
      <c r="T369" s="177"/>
      <c r="U369" s="177"/>
      <c r="V369" s="177"/>
      <c r="W369" s="177"/>
      <c r="X369" s="177"/>
      <c r="Y369" s="177"/>
      <c r="Z369" s="177"/>
      <c r="AA369" s="177">
        <f t="shared" si="192"/>
        <v>1</v>
      </c>
    </row>
    <row r="370" spans="1:27" ht="63.75" customHeight="1">
      <c r="B370" s="97"/>
      <c r="C370" s="98"/>
      <c r="D370" s="99"/>
      <c r="E370" s="895"/>
      <c r="F370" s="315" t="s">
        <v>280</v>
      </c>
      <c r="G370" s="315" t="s">
        <v>270</v>
      </c>
      <c r="H370" s="315" t="s">
        <v>443</v>
      </c>
      <c r="I370" s="315" t="s">
        <v>445</v>
      </c>
      <c r="J370" s="315" t="s">
        <v>281</v>
      </c>
      <c r="K370" s="100"/>
      <c r="L370" s="11"/>
      <c r="R370" s="128" t="s">
        <v>280</v>
      </c>
      <c r="S370" s="128" t="s">
        <v>446</v>
      </c>
      <c r="T370" s="297" t="s">
        <v>443</v>
      </c>
      <c r="U370" s="297" t="s">
        <v>444</v>
      </c>
      <c r="V370" s="258" t="s">
        <v>272</v>
      </c>
      <c r="W370" s="128" t="s">
        <v>432</v>
      </c>
      <c r="X370" s="131" t="s">
        <v>408</v>
      </c>
      <c r="Y370" s="131" t="s">
        <v>436</v>
      </c>
      <c r="Z370" s="128" t="s">
        <v>431</v>
      </c>
      <c r="AA370" s="257"/>
    </row>
    <row r="371" spans="1:27" hidden="1">
      <c r="B371" s="97"/>
      <c r="C371" s="98"/>
      <c r="D371" s="99"/>
      <c r="E371" s="896"/>
      <c r="F371" s="441"/>
      <c r="G371" s="441"/>
      <c r="H371" s="445"/>
      <c r="I371" s="445"/>
      <c r="J371" s="441"/>
      <c r="K371" s="100"/>
      <c r="L371" s="11"/>
      <c r="R371" s="131">
        <f t="shared" ref="R371:R376" si="193">IF(F371="実施済",1,0)</f>
        <v>0</v>
      </c>
      <c r="S371" s="131">
        <f t="shared" ref="S371:S376" si="194">IF(G371="実施済",R371*1,0)</f>
        <v>0</v>
      </c>
      <c r="T371" s="131">
        <f t="shared" ref="T371:T376" si="195">IF(H371="実施済",S371*1,0)</f>
        <v>0</v>
      </c>
      <c r="U371" s="131">
        <f t="shared" ref="U371:U376" si="196">IF(I371="実施済",T371*1,0)</f>
        <v>0</v>
      </c>
      <c r="V371" s="260"/>
      <c r="W371" s="131" t="str">
        <f>IF(OR(E371="〇〇(合意形成対象者名に書き換え)",E371=""),"",SUM(S371,T371,U371))</f>
        <v/>
      </c>
      <c r="X371" s="131">
        <f t="shared" ref="X371:X376" si="197">MIN($W$371:$W$376)+1</f>
        <v>1</v>
      </c>
      <c r="Y371" s="131">
        <f>IF(E371="",1,IF(AND(E371="〇〇(合意形成対象者名に書き換え)",COUNTA($F371:$J371)=0),1,IF(AND(E371&lt;&gt;"〇〇(合意形成対象者名に書き換え)",COUNTA($F371:$J371)=5),1,0)))</f>
        <v>1</v>
      </c>
      <c r="Z371" s="131" t="str" cm="1">
        <f t="array" ref="Z371">_xlfn.IFS(X371=4,"A",X371=3,"B",X371=2,"C",X371=1,"D")</f>
        <v>D</v>
      </c>
      <c r="AA371" s="257"/>
    </row>
    <row r="372" spans="1:27">
      <c r="B372" s="97"/>
      <c r="C372" s="98"/>
      <c r="D372" s="99"/>
      <c r="E372" s="897" t="s">
        <v>129</v>
      </c>
      <c r="F372" s="448"/>
      <c r="G372" s="448"/>
      <c r="H372" s="447"/>
      <c r="I372" s="447"/>
      <c r="J372" s="448"/>
      <c r="K372" s="100"/>
      <c r="L372" s="11"/>
      <c r="R372" s="131">
        <f t="shared" si="193"/>
        <v>0</v>
      </c>
      <c r="S372" s="131">
        <f t="shared" si="194"/>
        <v>0</v>
      </c>
      <c r="T372" s="131">
        <f t="shared" si="195"/>
        <v>0</v>
      </c>
      <c r="U372" s="131">
        <f t="shared" si="196"/>
        <v>0</v>
      </c>
      <c r="V372" s="260"/>
      <c r="W372" s="131" t="str">
        <f t="shared" ref="W372:W376" si="198">IF(OR(E372="〇〇(合意形成対象者名に書き換え)",E372=""),"",SUM(S372,T372,U372))</f>
        <v/>
      </c>
      <c r="X372" s="131">
        <f t="shared" si="197"/>
        <v>1</v>
      </c>
      <c r="Y372" s="131">
        <f t="shared" ref="Y372:Y376" si="199">IF(E372="",1,IF(AND(E372="〇〇(合意形成対象者名に書き換え)",COUNTA($F372:$J372)=0),1,IF(AND(E372&lt;&gt;"〇〇(合意形成対象者名に書き換え)",COUNTA($F372:$J372)=5),1,0)))</f>
        <v>1</v>
      </c>
      <c r="Z372" s="131" t="str" cm="1">
        <f t="array" ref="Z372">_xlfn.IFS(X372=4,"A",X372=3,"B",X372=2,"C",X372=1,"D")</f>
        <v>D</v>
      </c>
      <c r="AA372" s="257"/>
    </row>
    <row r="373" spans="1:27">
      <c r="B373" s="97"/>
      <c r="C373" s="98"/>
      <c r="D373" s="99"/>
      <c r="E373" s="897" t="s">
        <v>129</v>
      </c>
      <c r="F373" s="443"/>
      <c r="G373" s="443"/>
      <c r="H373" s="449"/>
      <c r="I373" s="449"/>
      <c r="J373" s="443"/>
      <c r="K373" s="100"/>
      <c r="L373" s="11"/>
      <c r="R373" s="131">
        <f t="shared" si="193"/>
        <v>0</v>
      </c>
      <c r="S373" s="131">
        <f t="shared" si="194"/>
        <v>0</v>
      </c>
      <c r="T373" s="131">
        <f t="shared" si="195"/>
        <v>0</v>
      </c>
      <c r="U373" s="131">
        <f t="shared" si="196"/>
        <v>0</v>
      </c>
      <c r="V373" s="260"/>
      <c r="W373" s="131" t="str">
        <f t="shared" si="198"/>
        <v/>
      </c>
      <c r="X373" s="131">
        <f t="shared" si="197"/>
        <v>1</v>
      </c>
      <c r="Y373" s="131">
        <f t="shared" si="199"/>
        <v>1</v>
      </c>
      <c r="Z373" s="131" t="str" cm="1">
        <f t="array" ref="Z373">_xlfn.IFS(X373=4,"A",X373=3,"B",X373=2,"C",X373=1,"D")</f>
        <v>D</v>
      </c>
      <c r="AA373" s="257"/>
    </row>
    <row r="374" spans="1:27" s="101" customFormat="1">
      <c r="A374" s="11"/>
      <c r="B374" s="97"/>
      <c r="C374" s="98"/>
      <c r="D374" s="99"/>
      <c r="E374" s="897" t="s">
        <v>129</v>
      </c>
      <c r="F374" s="443"/>
      <c r="G374" s="443"/>
      <c r="H374" s="449"/>
      <c r="I374" s="449"/>
      <c r="J374" s="443"/>
      <c r="K374" s="100"/>
      <c r="L374" s="11"/>
      <c r="O374" s="11"/>
      <c r="P374" s="11"/>
      <c r="Q374" s="11"/>
      <c r="R374" s="131">
        <f t="shared" si="193"/>
        <v>0</v>
      </c>
      <c r="S374" s="131">
        <f t="shared" si="194"/>
        <v>0</v>
      </c>
      <c r="T374" s="131">
        <f t="shared" si="195"/>
        <v>0</v>
      </c>
      <c r="U374" s="131">
        <f t="shared" si="196"/>
        <v>0</v>
      </c>
      <c r="V374" s="260"/>
      <c r="W374" s="131" t="str">
        <f t="shared" si="198"/>
        <v/>
      </c>
      <c r="X374" s="131">
        <f t="shared" si="197"/>
        <v>1</v>
      </c>
      <c r="Y374" s="131">
        <f t="shared" si="199"/>
        <v>1</v>
      </c>
      <c r="Z374" s="131" t="str" cm="1">
        <f t="array" ref="Z374">_xlfn.IFS(X374=4,"A",X374=3,"B",X374=2,"C",X374=1,"D")</f>
        <v>D</v>
      </c>
      <c r="AA374" s="131"/>
    </row>
    <row r="375" spans="1:27" customFormat="1" ht="7.5" customHeight="1">
      <c r="B375" s="65"/>
      <c r="C375" s="4"/>
      <c r="D375" s="4"/>
      <c r="E375" s="290"/>
      <c r="F375" s="4"/>
      <c r="G375" s="4"/>
      <c r="H375" s="4"/>
      <c r="I375" s="4"/>
      <c r="J375" s="4"/>
      <c r="K375" s="9"/>
      <c r="L375" s="2"/>
      <c r="M375" s="2"/>
      <c r="N375" s="2"/>
      <c r="R375" s="131">
        <f t="shared" si="193"/>
        <v>0</v>
      </c>
      <c r="S375" s="131">
        <f t="shared" si="194"/>
        <v>0</v>
      </c>
      <c r="T375" s="131">
        <f t="shared" si="195"/>
        <v>0</v>
      </c>
      <c r="U375" s="131">
        <f t="shared" si="196"/>
        <v>0</v>
      </c>
      <c r="V375" s="260"/>
      <c r="W375" s="131" t="str">
        <f t="shared" si="198"/>
        <v/>
      </c>
      <c r="X375" s="131">
        <f t="shared" si="197"/>
        <v>1</v>
      </c>
      <c r="Y375" s="131">
        <f t="shared" si="199"/>
        <v>1</v>
      </c>
      <c r="Z375" s="131" t="str" cm="1">
        <f t="array" ref="Z375">_xlfn.IFS(X375=4,"A",X375=3,"B",X375=2,"C",X375=1,"D")</f>
        <v>D</v>
      </c>
      <c r="AA375" s="177"/>
    </row>
    <row r="376" spans="1:27" customFormat="1" ht="6" customHeight="1">
      <c r="E376" s="3"/>
      <c r="L376" s="2"/>
      <c r="M376" s="2"/>
      <c r="N376" s="2"/>
      <c r="R376" s="131">
        <f t="shared" si="193"/>
        <v>0</v>
      </c>
      <c r="S376" s="131">
        <f t="shared" si="194"/>
        <v>0</v>
      </c>
      <c r="T376" s="131">
        <f t="shared" si="195"/>
        <v>0</v>
      </c>
      <c r="U376" s="131">
        <f t="shared" si="196"/>
        <v>0</v>
      </c>
      <c r="V376" s="260"/>
      <c r="W376" s="131" t="str">
        <f t="shared" si="198"/>
        <v/>
      </c>
      <c r="X376" s="131">
        <f t="shared" si="197"/>
        <v>1</v>
      </c>
      <c r="Y376" s="131">
        <f t="shared" si="199"/>
        <v>1</v>
      </c>
      <c r="Z376" s="131" t="str" cm="1">
        <f t="array" ref="Z376">_xlfn.IFS(X376=4,"A",X376=3,"B",X376=2,"C",X376=1,"D")</f>
        <v>D</v>
      </c>
      <c r="AA376" s="177"/>
    </row>
    <row r="377" spans="1:27" customFormat="1" ht="103.5" customHeight="1">
      <c r="C377" s="78"/>
      <c r="D377" s="79"/>
      <c r="E377" s="71" t="s">
        <v>238</v>
      </c>
      <c r="F377" s="1057"/>
      <c r="G377" s="1057"/>
      <c r="H377" s="1057"/>
      <c r="I377" s="1057"/>
      <c r="J377" s="1057"/>
      <c r="K377" s="80" t="s">
        <v>132</v>
      </c>
      <c r="L377" s="80"/>
    </row>
    <row r="378" spans="1:27" customFormat="1" ht="146.25" customHeight="1">
      <c r="C378" s="75"/>
      <c r="D378" s="68"/>
      <c r="E378" s="71" t="s">
        <v>237</v>
      </c>
      <c r="F378" s="1057"/>
      <c r="G378" s="1057"/>
      <c r="H378" s="1057"/>
      <c r="I378" s="1057"/>
      <c r="J378" s="1057"/>
      <c r="L378" s="2"/>
      <c r="M378" s="2"/>
      <c r="N378" s="2"/>
    </row>
    <row r="379" spans="1:27" customFormat="1" ht="13.5" customHeight="1" thickBot="1">
      <c r="A379" s="81"/>
      <c r="B379" s="81"/>
      <c r="C379" s="81"/>
      <c r="D379" s="81"/>
      <c r="E379" s="313"/>
      <c r="F379" s="81"/>
      <c r="G379" s="81"/>
      <c r="H379" s="81"/>
      <c r="I379" s="81"/>
      <c r="J379" s="81"/>
      <c r="K379" s="81"/>
      <c r="L379" s="82"/>
      <c r="M379" s="2"/>
      <c r="N379" s="2"/>
    </row>
    <row r="380" spans="1:27" customFormat="1" ht="13.5" customHeight="1">
      <c r="E380" s="3"/>
      <c r="L380" s="2"/>
      <c r="M380" s="2"/>
      <c r="N380" s="2"/>
    </row>
    <row r="381" spans="1:27" customFormat="1" ht="15" customHeight="1">
      <c r="B381" s="10"/>
      <c r="C381" s="5"/>
      <c r="D381" s="5"/>
      <c r="E381" s="307"/>
      <c r="F381" s="5"/>
      <c r="G381" s="5"/>
      <c r="H381" s="5"/>
      <c r="I381" s="5"/>
      <c r="J381" s="5"/>
      <c r="K381" s="6"/>
      <c r="R381" s="11" t="str">
        <f>D382</f>
        <v>(選択してください)</v>
      </c>
    </row>
    <row r="382" spans="1:27" customFormat="1">
      <c r="B382" s="7"/>
      <c r="C382" s="77" t="str">
        <f ca="1">IFERROR(OFFSET('4.3民生部門電力以外の排出削減取組'!$C$1,MATCH(D382,'4.3民生部門電力以外の排出削減取組'!$E:$E,0)-1,0),"")</f>
        <v/>
      </c>
      <c r="D382" s="96" t="s">
        <v>130</v>
      </c>
      <c r="E382" s="72" t="s">
        <v>12</v>
      </c>
      <c r="F382" s="1063" t="str">
        <f ca="1">IFERROR(OFFSET('4.3民生部門電力以外の排出削減取組'!$G$1,MATCH($D382,'4.3民生部門電力以外の排出削減取組'!$E:$E,0)-1,0),"")</f>
        <v/>
      </c>
      <c r="G382" s="1063"/>
      <c r="H382" s="1063"/>
      <c r="I382" s="1063"/>
      <c r="J382" s="1063"/>
      <c r="K382" s="8"/>
      <c r="R382" s="257" t="str">
        <f ca="1">IFERROR(OFFSET('4.3民生部門電力以外の排出削減取組'!$G$1,MATCH($D382,'4.3民生部門電力以外の排出削減取組'!$E:$E,0)-1,0),"")</f>
        <v/>
      </c>
      <c r="S382" s="177"/>
      <c r="T382" s="177"/>
      <c r="U382" s="177"/>
      <c r="V382" s="177"/>
      <c r="W382" s="177"/>
      <c r="X382" s="177"/>
      <c r="Y382" s="177"/>
      <c r="Z382" s="177"/>
      <c r="AA382" s="177">
        <f ca="1">(F382=R382)*1</f>
        <v>1</v>
      </c>
    </row>
    <row r="383" spans="1:27" customFormat="1">
      <c r="B383" s="7"/>
      <c r="C383" s="74"/>
      <c r="D383" s="66"/>
      <c r="E383" s="72" t="s">
        <v>282</v>
      </c>
      <c r="F383" s="1080" t="str">
        <f ca="1">IFERROR(OFFSET('4.3民生部門電力以外の排出削減取組'!$H$1,MATCH($D382,'4.3民生部門電力以外の排出削減取組'!$E:$E,0)-1,0),"")</f>
        <v/>
      </c>
      <c r="G383" s="1080"/>
      <c r="H383" s="1080"/>
      <c r="I383" s="1080"/>
      <c r="J383" s="1080"/>
      <c r="K383" s="8"/>
      <c r="R383" s="177" t="str">
        <f ca="1">IFERROR(OFFSET('4.3民生部門電力以外の排出削減取組'!$H$1,MATCH($D382,'4.3民生部門電力以外の排出削減取組'!$E:$E,0)-1,0),"")</f>
        <v/>
      </c>
      <c r="S383" s="177"/>
      <c r="T383" s="177"/>
      <c r="U383" s="177"/>
      <c r="V383" s="177"/>
      <c r="W383" s="177"/>
      <c r="X383" s="177"/>
      <c r="Y383" s="177"/>
      <c r="Z383" s="177"/>
      <c r="AA383" s="177">
        <f t="shared" ref="AA383:AA384" ca="1" si="200">(F383=R383)*1</f>
        <v>1</v>
      </c>
    </row>
    <row r="384" spans="1:27" customFormat="1">
      <c r="B384" s="7"/>
      <c r="C384" s="74"/>
      <c r="D384" s="66"/>
      <c r="E384" s="72" t="s">
        <v>176</v>
      </c>
      <c r="F384" s="1063" t="str">
        <f>_xlfn.IFNA(R384,"")</f>
        <v/>
      </c>
      <c r="G384" s="1063"/>
      <c r="H384" s="1063"/>
      <c r="I384" s="1063"/>
      <c r="J384" s="1063"/>
      <c r="K384" s="8"/>
      <c r="R384" s="131" t="str">
        <f>IF(OR(COUNTIF($E386:$E391,"&lt;&gt;〇〇(合意形成対象者名に書き換え)")=3,COUNTIF($E386:$E391,"")&gt;3),"",IF(PRODUCT($Y386:$Y391)=1,Z386,""))</f>
        <v/>
      </c>
      <c r="S384" s="177"/>
      <c r="T384" s="177"/>
      <c r="U384" s="177"/>
      <c r="V384" s="177"/>
      <c r="W384" s="177"/>
      <c r="X384" s="177"/>
      <c r="Y384" s="177"/>
      <c r="Z384" s="177"/>
      <c r="AA384" s="177">
        <f t="shared" si="200"/>
        <v>1</v>
      </c>
    </row>
    <row r="385" spans="1:27" ht="63.75" customHeight="1">
      <c r="B385" s="97"/>
      <c r="C385" s="98"/>
      <c r="D385" s="99"/>
      <c r="E385" s="895"/>
      <c r="F385" s="315" t="s">
        <v>280</v>
      </c>
      <c r="G385" s="315" t="s">
        <v>270</v>
      </c>
      <c r="H385" s="315" t="s">
        <v>443</v>
      </c>
      <c r="I385" s="315" t="s">
        <v>445</v>
      </c>
      <c r="J385" s="315" t="s">
        <v>281</v>
      </c>
      <c r="K385" s="100"/>
      <c r="L385" s="11"/>
      <c r="R385" s="128" t="s">
        <v>280</v>
      </c>
      <c r="S385" s="128" t="s">
        <v>446</v>
      </c>
      <c r="T385" s="297" t="s">
        <v>443</v>
      </c>
      <c r="U385" s="297" t="s">
        <v>444</v>
      </c>
      <c r="V385" s="258" t="s">
        <v>272</v>
      </c>
      <c r="W385" s="128" t="s">
        <v>432</v>
      </c>
      <c r="X385" s="131" t="s">
        <v>408</v>
      </c>
      <c r="Y385" s="131" t="s">
        <v>436</v>
      </c>
      <c r="Z385" s="128" t="s">
        <v>431</v>
      </c>
      <c r="AA385" s="257"/>
    </row>
    <row r="386" spans="1:27" hidden="1">
      <c r="B386" s="97"/>
      <c r="C386" s="98"/>
      <c r="D386" s="99"/>
      <c r="E386" s="896"/>
      <c r="F386" s="441"/>
      <c r="G386" s="441"/>
      <c r="H386" s="445"/>
      <c r="I386" s="445"/>
      <c r="J386" s="441"/>
      <c r="K386" s="100"/>
      <c r="L386" s="11"/>
      <c r="R386" s="131">
        <f t="shared" ref="R386:R391" si="201">IF(F386="実施済",1,0)</f>
        <v>0</v>
      </c>
      <c r="S386" s="131">
        <f t="shared" ref="S386:S391" si="202">IF(G386="実施済",R386*1,0)</f>
        <v>0</v>
      </c>
      <c r="T386" s="131">
        <f t="shared" ref="T386:T391" si="203">IF(H386="実施済",S386*1,0)</f>
        <v>0</v>
      </c>
      <c r="U386" s="131">
        <f t="shared" ref="U386:U391" si="204">IF(I386="実施済",T386*1,0)</f>
        <v>0</v>
      </c>
      <c r="V386" s="260"/>
      <c r="W386" s="131" t="str">
        <f>IF(OR(E386="〇〇(合意形成対象者名に書き換え)",E386=""),"",SUM(S386,T386,U386))</f>
        <v/>
      </c>
      <c r="X386" s="131">
        <f t="shared" ref="X386:X391" si="205">MIN($W$386:$W$391)+1</f>
        <v>1</v>
      </c>
      <c r="Y386" s="131">
        <f>IF(E386="",1,IF(AND(E386="〇〇(合意形成対象者名に書き換え)",COUNTA($F386:$J386)=0),1,IF(AND(E386&lt;&gt;"〇〇(合意形成対象者名に書き換え)",COUNTA($F386:$J386)=5),1,0)))</f>
        <v>1</v>
      </c>
      <c r="Z386" s="131" t="str" cm="1">
        <f t="array" ref="Z386">_xlfn.IFS(X386=4,"A",X386=3,"B",X386=2,"C",X386=1,"D")</f>
        <v>D</v>
      </c>
      <c r="AA386" s="257"/>
    </row>
    <row r="387" spans="1:27">
      <c r="B387" s="97"/>
      <c r="C387" s="98"/>
      <c r="D387" s="99"/>
      <c r="E387" s="897" t="s">
        <v>129</v>
      </c>
      <c r="F387" s="448"/>
      <c r="G387" s="448"/>
      <c r="H387" s="447"/>
      <c r="I387" s="447"/>
      <c r="J387" s="448"/>
      <c r="K387" s="100"/>
      <c r="L387" s="11"/>
      <c r="R387" s="131">
        <f t="shared" si="201"/>
        <v>0</v>
      </c>
      <c r="S387" s="131">
        <f t="shared" si="202"/>
        <v>0</v>
      </c>
      <c r="T387" s="131">
        <f t="shared" si="203"/>
        <v>0</v>
      </c>
      <c r="U387" s="131">
        <f t="shared" si="204"/>
        <v>0</v>
      </c>
      <c r="V387" s="260"/>
      <c r="W387" s="131" t="str">
        <f t="shared" ref="W387:W391" si="206">IF(OR(E387="〇〇(合意形成対象者名に書き換え)",E387=""),"",SUM(S387,T387,U387))</f>
        <v/>
      </c>
      <c r="X387" s="131">
        <f t="shared" si="205"/>
        <v>1</v>
      </c>
      <c r="Y387" s="131">
        <f t="shared" ref="Y387:Y391" si="207">IF(E387="",1,IF(AND(E387="〇〇(合意形成対象者名に書き換え)",COUNTA($F387:$J387)=0),1,IF(AND(E387&lt;&gt;"〇〇(合意形成対象者名に書き換え)",COUNTA($F387:$J387)=5),1,0)))</f>
        <v>1</v>
      </c>
      <c r="Z387" s="131" t="str" cm="1">
        <f t="array" ref="Z387">_xlfn.IFS(X387=4,"A",X387=3,"B",X387=2,"C",X387=1,"D")</f>
        <v>D</v>
      </c>
      <c r="AA387" s="257"/>
    </row>
    <row r="388" spans="1:27">
      <c r="B388" s="97"/>
      <c r="C388" s="98"/>
      <c r="D388" s="99"/>
      <c r="E388" s="897" t="s">
        <v>129</v>
      </c>
      <c r="F388" s="443"/>
      <c r="G388" s="443"/>
      <c r="H388" s="449"/>
      <c r="I388" s="449"/>
      <c r="J388" s="443"/>
      <c r="K388" s="100"/>
      <c r="L388" s="11"/>
      <c r="R388" s="131">
        <f t="shared" si="201"/>
        <v>0</v>
      </c>
      <c r="S388" s="131">
        <f t="shared" si="202"/>
        <v>0</v>
      </c>
      <c r="T388" s="131">
        <f t="shared" si="203"/>
        <v>0</v>
      </c>
      <c r="U388" s="131">
        <f t="shared" si="204"/>
        <v>0</v>
      </c>
      <c r="V388" s="260"/>
      <c r="W388" s="131" t="str">
        <f t="shared" si="206"/>
        <v/>
      </c>
      <c r="X388" s="131">
        <f t="shared" si="205"/>
        <v>1</v>
      </c>
      <c r="Y388" s="131">
        <f t="shared" si="207"/>
        <v>1</v>
      </c>
      <c r="Z388" s="131" t="str" cm="1">
        <f t="array" ref="Z388">_xlfn.IFS(X388=4,"A",X388=3,"B",X388=2,"C",X388=1,"D")</f>
        <v>D</v>
      </c>
      <c r="AA388" s="257"/>
    </row>
    <row r="389" spans="1:27" s="101" customFormat="1">
      <c r="A389" s="11"/>
      <c r="B389" s="97"/>
      <c r="C389" s="98"/>
      <c r="D389" s="99"/>
      <c r="E389" s="897" t="s">
        <v>129</v>
      </c>
      <c r="F389" s="443"/>
      <c r="G389" s="443"/>
      <c r="H389" s="449"/>
      <c r="I389" s="449"/>
      <c r="J389" s="443"/>
      <c r="K389" s="100"/>
      <c r="L389" s="11"/>
      <c r="O389" s="11"/>
      <c r="P389" s="11"/>
      <c r="Q389" s="11"/>
      <c r="R389" s="131">
        <f t="shared" si="201"/>
        <v>0</v>
      </c>
      <c r="S389" s="131">
        <f t="shared" si="202"/>
        <v>0</v>
      </c>
      <c r="T389" s="131">
        <f t="shared" si="203"/>
        <v>0</v>
      </c>
      <c r="U389" s="131">
        <f t="shared" si="204"/>
        <v>0</v>
      </c>
      <c r="V389" s="260"/>
      <c r="W389" s="131" t="str">
        <f t="shared" si="206"/>
        <v/>
      </c>
      <c r="X389" s="131">
        <f t="shared" si="205"/>
        <v>1</v>
      </c>
      <c r="Y389" s="131">
        <f t="shared" si="207"/>
        <v>1</v>
      </c>
      <c r="Z389" s="131" t="str" cm="1">
        <f t="array" ref="Z389">_xlfn.IFS(X389=4,"A",X389=3,"B",X389=2,"C",X389=1,"D")</f>
        <v>D</v>
      </c>
      <c r="AA389" s="131"/>
    </row>
    <row r="390" spans="1:27" customFormat="1" ht="7.5" customHeight="1">
      <c r="B390" s="65"/>
      <c r="C390" s="4"/>
      <c r="D390" s="4"/>
      <c r="E390" s="290"/>
      <c r="F390" s="4"/>
      <c r="G390" s="4"/>
      <c r="H390" s="4"/>
      <c r="I390" s="4"/>
      <c r="J390" s="4"/>
      <c r="K390" s="9"/>
      <c r="L390" s="2"/>
      <c r="M390" s="2"/>
      <c r="N390" s="2"/>
      <c r="R390" s="131">
        <f t="shared" si="201"/>
        <v>0</v>
      </c>
      <c r="S390" s="131">
        <f t="shared" si="202"/>
        <v>0</v>
      </c>
      <c r="T390" s="131">
        <f t="shared" si="203"/>
        <v>0</v>
      </c>
      <c r="U390" s="131">
        <f t="shared" si="204"/>
        <v>0</v>
      </c>
      <c r="V390" s="260"/>
      <c r="W390" s="131" t="str">
        <f t="shared" si="206"/>
        <v/>
      </c>
      <c r="X390" s="131">
        <f t="shared" si="205"/>
        <v>1</v>
      </c>
      <c r="Y390" s="131">
        <f t="shared" si="207"/>
        <v>1</v>
      </c>
      <c r="Z390" s="131" t="str" cm="1">
        <f t="array" ref="Z390">_xlfn.IFS(X390=4,"A",X390=3,"B",X390=2,"C",X390=1,"D")</f>
        <v>D</v>
      </c>
      <c r="AA390" s="177"/>
    </row>
    <row r="391" spans="1:27" customFormat="1" ht="6" customHeight="1">
      <c r="E391" s="3"/>
      <c r="L391" s="2"/>
      <c r="M391" s="2"/>
      <c r="N391" s="2"/>
      <c r="R391" s="131">
        <f t="shared" si="201"/>
        <v>0</v>
      </c>
      <c r="S391" s="131">
        <f t="shared" si="202"/>
        <v>0</v>
      </c>
      <c r="T391" s="131">
        <f t="shared" si="203"/>
        <v>0</v>
      </c>
      <c r="U391" s="131">
        <f t="shared" si="204"/>
        <v>0</v>
      </c>
      <c r="V391" s="260"/>
      <c r="W391" s="131" t="str">
        <f t="shared" si="206"/>
        <v/>
      </c>
      <c r="X391" s="131">
        <f t="shared" si="205"/>
        <v>1</v>
      </c>
      <c r="Y391" s="131">
        <f t="shared" si="207"/>
        <v>1</v>
      </c>
      <c r="Z391" s="131" t="str" cm="1">
        <f t="array" ref="Z391">_xlfn.IFS(X391=4,"A",X391=3,"B",X391=2,"C",X391=1,"D")</f>
        <v>D</v>
      </c>
      <c r="AA391" s="177"/>
    </row>
    <row r="392" spans="1:27" customFormat="1" ht="103.5" customHeight="1">
      <c r="C392" s="78"/>
      <c r="D392" s="79"/>
      <c r="E392" s="71" t="s">
        <v>238</v>
      </c>
      <c r="F392" s="1057"/>
      <c r="G392" s="1057"/>
      <c r="H392" s="1057"/>
      <c r="I392" s="1057"/>
      <c r="J392" s="1057"/>
      <c r="K392" s="80" t="s">
        <v>132</v>
      </c>
      <c r="L392" s="80"/>
    </row>
    <row r="393" spans="1:27" customFormat="1" ht="146.25" customHeight="1">
      <c r="C393" s="75"/>
      <c r="D393" s="68"/>
      <c r="E393" s="71" t="s">
        <v>237</v>
      </c>
      <c r="F393" s="1057"/>
      <c r="G393" s="1057"/>
      <c r="H393" s="1057"/>
      <c r="I393" s="1057"/>
      <c r="J393" s="1057"/>
      <c r="L393" s="2"/>
      <c r="M393" s="2"/>
      <c r="N393" s="2"/>
    </row>
    <row r="394" spans="1:27" customFormat="1" ht="13.5" customHeight="1" thickBot="1">
      <c r="A394" s="81"/>
      <c r="B394" s="81"/>
      <c r="C394" s="81"/>
      <c r="D394" s="81"/>
      <c r="E394" s="313"/>
      <c r="F394" s="81"/>
      <c r="G394" s="81"/>
      <c r="H394" s="81"/>
      <c r="I394" s="81"/>
      <c r="J394" s="81"/>
      <c r="K394" s="81"/>
      <c r="L394" s="82"/>
      <c r="M394" s="2"/>
      <c r="N394" s="2"/>
    </row>
    <row r="395" spans="1:27" customFormat="1" ht="13.5" customHeight="1">
      <c r="E395" s="3"/>
      <c r="L395" s="2"/>
      <c r="M395" s="2"/>
      <c r="N395" s="2"/>
    </row>
    <row r="396" spans="1:27" customFormat="1" ht="15" customHeight="1">
      <c r="B396" s="10"/>
      <c r="C396" s="5"/>
      <c r="D396" s="5"/>
      <c r="E396" s="307"/>
      <c r="F396" s="5"/>
      <c r="G396" s="5"/>
      <c r="H396" s="5"/>
      <c r="I396" s="5"/>
      <c r="J396" s="5"/>
      <c r="K396" s="6"/>
      <c r="R396" s="11" t="str">
        <f>D397</f>
        <v>(選択してください)</v>
      </c>
    </row>
    <row r="397" spans="1:27" customFormat="1">
      <c r="B397" s="7"/>
      <c r="C397" s="77" t="str">
        <f ca="1">IFERROR(OFFSET('4.3民生部門電力以外の排出削減取組'!$C$1,MATCH(D397,'4.3民生部門電力以外の排出削減取組'!$E:$E,0)-1,0),"")</f>
        <v/>
      </c>
      <c r="D397" s="96" t="s">
        <v>130</v>
      </c>
      <c r="E397" s="72" t="s">
        <v>12</v>
      </c>
      <c r="F397" s="1063" t="str">
        <f ca="1">IFERROR(OFFSET('4.3民生部門電力以外の排出削減取組'!$G$1,MATCH($D397,'4.3民生部門電力以外の排出削減取組'!$E:$E,0)-1,0),"")</f>
        <v/>
      </c>
      <c r="G397" s="1063"/>
      <c r="H397" s="1063"/>
      <c r="I397" s="1063"/>
      <c r="J397" s="1063"/>
      <c r="K397" s="8"/>
      <c r="R397" s="257" t="str">
        <f ca="1">IFERROR(OFFSET('4.3民生部門電力以外の排出削減取組'!$G$1,MATCH($D397,'4.3民生部門電力以外の排出削減取組'!$E:$E,0)-1,0),"")</f>
        <v/>
      </c>
      <c r="S397" s="177"/>
      <c r="T397" s="177"/>
      <c r="U397" s="177"/>
      <c r="V397" s="177"/>
      <c r="W397" s="177"/>
      <c r="X397" s="177"/>
      <c r="Y397" s="177"/>
      <c r="Z397" s="177"/>
      <c r="AA397" s="177">
        <f ca="1">(F397=R397)*1</f>
        <v>1</v>
      </c>
    </row>
    <row r="398" spans="1:27" customFormat="1">
      <c r="B398" s="7"/>
      <c r="C398" s="74"/>
      <c r="D398" s="66"/>
      <c r="E398" s="72" t="s">
        <v>282</v>
      </c>
      <c r="F398" s="1080" t="str">
        <f ca="1">IFERROR(OFFSET('4.3民生部門電力以外の排出削減取組'!$H$1,MATCH($D397,'4.3民生部門電力以外の排出削減取組'!$E:$E,0)-1,0),"")</f>
        <v/>
      </c>
      <c r="G398" s="1080"/>
      <c r="H398" s="1080"/>
      <c r="I398" s="1080"/>
      <c r="J398" s="1080"/>
      <c r="K398" s="8"/>
      <c r="R398" s="177" t="str">
        <f ca="1">IFERROR(OFFSET('4.3民生部門電力以外の排出削減取組'!$H$1,MATCH($D397,'4.3民生部門電力以外の排出削減取組'!$E:$E,0)-1,0),"")</f>
        <v/>
      </c>
      <c r="S398" s="177"/>
      <c r="T398" s="177"/>
      <c r="U398" s="177"/>
      <c r="V398" s="177"/>
      <c r="W398" s="177"/>
      <c r="X398" s="177"/>
      <c r="Y398" s="177"/>
      <c r="Z398" s="177"/>
      <c r="AA398" s="177">
        <f t="shared" ref="AA398:AA399" ca="1" si="208">(F398=R398)*1</f>
        <v>1</v>
      </c>
    </row>
    <row r="399" spans="1:27" customFormat="1">
      <c r="B399" s="7"/>
      <c r="C399" s="74"/>
      <c r="D399" s="66"/>
      <c r="E399" s="72" t="s">
        <v>176</v>
      </c>
      <c r="F399" s="1063" t="str">
        <f>_xlfn.IFNA(R399,"")</f>
        <v/>
      </c>
      <c r="G399" s="1063"/>
      <c r="H399" s="1063"/>
      <c r="I399" s="1063"/>
      <c r="J399" s="1063"/>
      <c r="K399" s="8"/>
      <c r="R399" s="131" t="str">
        <f>IF(OR(COUNTIF($E401:$E406,"&lt;&gt;〇〇(合意形成対象者名に書き換え)")=3,COUNTIF($E401:$E406,"")&gt;3),"",IF(PRODUCT($Y401:$Y406)=1,Z401,""))</f>
        <v/>
      </c>
      <c r="S399" s="177"/>
      <c r="T399" s="177"/>
      <c r="U399" s="177"/>
      <c r="V399" s="177"/>
      <c r="W399" s="177"/>
      <c r="X399" s="177"/>
      <c r="Y399" s="177"/>
      <c r="Z399" s="177"/>
      <c r="AA399" s="177">
        <f t="shared" si="208"/>
        <v>1</v>
      </c>
    </row>
    <row r="400" spans="1:27" ht="63.75" customHeight="1">
      <c r="B400" s="97"/>
      <c r="C400" s="98"/>
      <c r="D400" s="99"/>
      <c r="E400" s="895"/>
      <c r="F400" s="315" t="s">
        <v>280</v>
      </c>
      <c r="G400" s="315" t="s">
        <v>270</v>
      </c>
      <c r="H400" s="315" t="s">
        <v>443</v>
      </c>
      <c r="I400" s="315" t="s">
        <v>445</v>
      </c>
      <c r="J400" s="315" t="s">
        <v>281</v>
      </c>
      <c r="K400" s="100"/>
      <c r="L400" s="11"/>
      <c r="R400" s="128" t="s">
        <v>280</v>
      </c>
      <c r="S400" s="128" t="s">
        <v>446</v>
      </c>
      <c r="T400" s="297" t="s">
        <v>443</v>
      </c>
      <c r="U400" s="297" t="s">
        <v>444</v>
      </c>
      <c r="V400" s="258" t="s">
        <v>272</v>
      </c>
      <c r="W400" s="128" t="s">
        <v>432</v>
      </c>
      <c r="X400" s="131" t="s">
        <v>408</v>
      </c>
      <c r="Y400" s="131" t="s">
        <v>436</v>
      </c>
      <c r="Z400" s="128" t="s">
        <v>431</v>
      </c>
      <c r="AA400" s="257"/>
    </row>
    <row r="401" spans="1:27" hidden="1">
      <c r="B401" s="97"/>
      <c r="C401" s="98"/>
      <c r="D401" s="99"/>
      <c r="E401" s="896"/>
      <c r="F401" s="441"/>
      <c r="G401" s="441"/>
      <c r="H401" s="445"/>
      <c r="I401" s="445"/>
      <c r="J401" s="441"/>
      <c r="K401" s="100"/>
      <c r="L401" s="11"/>
      <c r="R401" s="131">
        <f t="shared" ref="R401:R406" si="209">IF(F401="実施済",1,0)</f>
        <v>0</v>
      </c>
      <c r="S401" s="131">
        <f t="shared" ref="S401:S406" si="210">IF(G401="実施済",R401*1,0)</f>
        <v>0</v>
      </c>
      <c r="T401" s="131">
        <f t="shared" ref="T401:T406" si="211">IF(H401="実施済",S401*1,0)</f>
        <v>0</v>
      </c>
      <c r="U401" s="131">
        <f t="shared" ref="U401:U406" si="212">IF(I401="実施済",T401*1,0)</f>
        <v>0</v>
      </c>
      <c r="V401" s="260"/>
      <c r="W401" s="131" t="str">
        <f>IF(OR(E401="〇〇(合意形成対象者名に書き換え)",E401=""),"",SUM(S401,T401,U401))</f>
        <v/>
      </c>
      <c r="X401" s="131">
        <f t="shared" ref="X401:X406" si="213">MIN($W$401:$W$406)+1</f>
        <v>1</v>
      </c>
      <c r="Y401" s="131">
        <f>IF(E401="",1,IF(AND(E401="〇〇(合意形成対象者名に書き換え)",COUNTA($F401:$J401)=0),1,IF(AND(E401&lt;&gt;"〇〇(合意形成対象者名に書き換え)",COUNTA($F401:$J401)=5),1,0)))</f>
        <v>1</v>
      </c>
      <c r="Z401" s="131" t="str" cm="1">
        <f t="array" ref="Z401">_xlfn.IFS(X401=4,"A",X401=3,"B",X401=2,"C",X401=1,"D")</f>
        <v>D</v>
      </c>
      <c r="AA401" s="257"/>
    </row>
    <row r="402" spans="1:27">
      <c r="B402" s="97"/>
      <c r="C402" s="98"/>
      <c r="D402" s="99"/>
      <c r="E402" s="897" t="s">
        <v>129</v>
      </c>
      <c r="F402" s="448"/>
      <c r="G402" s="448"/>
      <c r="H402" s="447"/>
      <c r="I402" s="447"/>
      <c r="J402" s="448"/>
      <c r="K402" s="100"/>
      <c r="L402" s="11"/>
      <c r="R402" s="131">
        <f t="shared" si="209"/>
        <v>0</v>
      </c>
      <c r="S402" s="131">
        <f t="shared" si="210"/>
        <v>0</v>
      </c>
      <c r="T402" s="131">
        <f t="shared" si="211"/>
        <v>0</v>
      </c>
      <c r="U402" s="131">
        <f t="shared" si="212"/>
        <v>0</v>
      </c>
      <c r="V402" s="260"/>
      <c r="W402" s="131" t="str">
        <f t="shared" ref="W402:W406" si="214">IF(OR(E402="〇〇(合意形成対象者名に書き換え)",E402=""),"",SUM(S402,T402,U402))</f>
        <v/>
      </c>
      <c r="X402" s="131">
        <f t="shared" si="213"/>
        <v>1</v>
      </c>
      <c r="Y402" s="131">
        <f t="shared" ref="Y402:Y406" si="215">IF(E402="",1,IF(AND(E402="〇〇(合意形成対象者名に書き換え)",COUNTA($F402:$J402)=0),1,IF(AND(E402&lt;&gt;"〇〇(合意形成対象者名に書き換え)",COUNTA($F402:$J402)=5),1,0)))</f>
        <v>1</v>
      </c>
      <c r="Z402" s="131" t="str" cm="1">
        <f t="array" ref="Z402">_xlfn.IFS(X402=4,"A",X402=3,"B",X402=2,"C",X402=1,"D")</f>
        <v>D</v>
      </c>
      <c r="AA402" s="257"/>
    </row>
    <row r="403" spans="1:27">
      <c r="B403" s="97"/>
      <c r="C403" s="98"/>
      <c r="D403" s="99"/>
      <c r="E403" s="897" t="s">
        <v>129</v>
      </c>
      <c r="F403" s="443"/>
      <c r="G403" s="443"/>
      <c r="H403" s="449"/>
      <c r="I403" s="449"/>
      <c r="J403" s="443"/>
      <c r="K403" s="100"/>
      <c r="L403" s="11"/>
      <c r="R403" s="131">
        <f t="shared" si="209"/>
        <v>0</v>
      </c>
      <c r="S403" s="131">
        <f t="shared" si="210"/>
        <v>0</v>
      </c>
      <c r="T403" s="131">
        <f t="shared" si="211"/>
        <v>0</v>
      </c>
      <c r="U403" s="131">
        <f t="shared" si="212"/>
        <v>0</v>
      </c>
      <c r="V403" s="260"/>
      <c r="W403" s="131" t="str">
        <f t="shared" si="214"/>
        <v/>
      </c>
      <c r="X403" s="131">
        <f t="shared" si="213"/>
        <v>1</v>
      </c>
      <c r="Y403" s="131">
        <f t="shared" si="215"/>
        <v>1</v>
      </c>
      <c r="Z403" s="131" t="str" cm="1">
        <f t="array" ref="Z403">_xlfn.IFS(X403=4,"A",X403=3,"B",X403=2,"C",X403=1,"D")</f>
        <v>D</v>
      </c>
      <c r="AA403" s="257"/>
    </row>
    <row r="404" spans="1:27" s="101" customFormat="1">
      <c r="A404" s="11"/>
      <c r="B404" s="97"/>
      <c r="C404" s="98"/>
      <c r="D404" s="99"/>
      <c r="E404" s="897" t="s">
        <v>129</v>
      </c>
      <c r="F404" s="443"/>
      <c r="G404" s="443"/>
      <c r="H404" s="449"/>
      <c r="I404" s="449"/>
      <c r="J404" s="443"/>
      <c r="K404" s="100"/>
      <c r="L404" s="11"/>
      <c r="O404" s="11"/>
      <c r="P404" s="11"/>
      <c r="Q404" s="11"/>
      <c r="R404" s="131">
        <f t="shared" si="209"/>
        <v>0</v>
      </c>
      <c r="S404" s="131">
        <f t="shared" si="210"/>
        <v>0</v>
      </c>
      <c r="T404" s="131">
        <f t="shared" si="211"/>
        <v>0</v>
      </c>
      <c r="U404" s="131">
        <f t="shared" si="212"/>
        <v>0</v>
      </c>
      <c r="V404" s="260"/>
      <c r="W404" s="131" t="str">
        <f t="shared" si="214"/>
        <v/>
      </c>
      <c r="X404" s="131">
        <f t="shared" si="213"/>
        <v>1</v>
      </c>
      <c r="Y404" s="131">
        <f t="shared" si="215"/>
        <v>1</v>
      </c>
      <c r="Z404" s="131" t="str" cm="1">
        <f t="array" ref="Z404">_xlfn.IFS(X404=4,"A",X404=3,"B",X404=2,"C",X404=1,"D")</f>
        <v>D</v>
      </c>
      <c r="AA404" s="131"/>
    </row>
    <row r="405" spans="1:27" customFormat="1" ht="7.5" customHeight="1">
      <c r="B405" s="65"/>
      <c r="C405" s="4"/>
      <c r="D405" s="4"/>
      <c r="E405" s="290"/>
      <c r="F405" s="4"/>
      <c r="G405" s="4"/>
      <c r="H405" s="4"/>
      <c r="I405" s="4"/>
      <c r="J405" s="4"/>
      <c r="K405" s="9"/>
      <c r="L405" s="2"/>
      <c r="M405" s="2"/>
      <c r="N405" s="2"/>
      <c r="R405" s="131">
        <f t="shared" si="209"/>
        <v>0</v>
      </c>
      <c r="S405" s="131">
        <f t="shared" si="210"/>
        <v>0</v>
      </c>
      <c r="T405" s="131">
        <f t="shared" si="211"/>
        <v>0</v>
      </c>
      <c r="U405" s="131">
        <f t="shared" si="212"/>
        <v>0</v>
      </c>
      <c r="V405" s="260"/>
      <c r="W405" s="131" t="str">
        <f t="shared" si="214"/>
        <v/>
      </c>
      <c r="X405" s="131">
        <f t="shared" si="213"/>
        <v>1</v>
      </c>
      <c r="Y405" s="131">
        <f t="shared" si="215"/>
        <v>1</v>
      </c>
      <c r="Z405" s="131" t="str" cm="1">
        <f t="array" ref="Z405">_xlfn.IFS(X405=4,"A",X405=3,"B",X405=2,"C",X405=1,"D")</f>
        <v>D</v>
      </c>
      <c r="AA405" s="177"/>
    </row>
    <row r="406" spans="1:27" customFormat="1" ht="6" customHeight="1">
      <c r="E406" s="3"/>
      <c r="L406" s="2"/>
      <c r="M406" s="2"/>
      <c r="N406" s="2"/>
      <c r="R406" s="131">
        <f t="shared" si="209"/>
        <v>0</v>
      </c>
      <c r="S406" s="131">
        <f t="shared" si="210"/>
        <v>0</v>
      </c>
      <c r="T406" s="131">
        <f t="shared" si="211"/>
        <v>0</v>
      </c>
      <c r="U406" s="131">
        <f t="shared" si="212"/>
        <v>0</v>
      </c>
      <c r="V406" s="260"/>
      <c r="W406" s="131" t="str">
        <f t="shared" si="214"/>
        <v/>
      </c>
      <c r="X406" s="131">
        <f t="shared" si="213"/>
        <v>1</v>
      </c>
      <c r="Y406" s="131">
        <f t="shared" si="215"/>
        <v>1</v>
      </c>
      <c r="Z406" s="131" t="str" cm="1">
        <f t="array" ref="Z406">_xlfn.IFS(X406=4,"A",X406=3,"B",X406=2,"C",X406=1,"D")</f>
        <v>D</v>
      </c>
      <c r="AA406" s="177"/>
    </row>
    <row r="407" spans="1:27" customFormat="1" ht="103.5" customHeight="1">
      <c r="C407" s="78"/>
      <c r="D407" s="79"/>
      <c r="E407" s="71" t="s">
        <v>238</v>
      </c>
      <c r="F407" s="1057"/>
      <c r="G407" s="1057"/>
      <c r="H407" s="1057"/>
      <c r="I407" s="1057"/>
      <c r="J407" s="1057"/>
      <c r="K407" s="80" t="s">
        <v>132</v>
      </c>
      <c r="L407" s="80"/>
    </row>
    <row r="408" spans="1:27" customFormat="1" ht="146.25" customHeight="1">
      <c r="C408" s="75"/>
      <c r="D408" s="68"/>
      <c r="E408" s="71" t="s">
        <v>237</v>
      </c>
      <c r="F408" s="1057"/>
      <c r="G408" s="1057"/>
      <c r="H408" s="1057"/>
      <c r="I408" s="1057"/>
      <c r="J408" s="1057"/>
      <c r="L408" s="2"/>
      <c r="M408" s="2"/>
      <c r="N408" s="2"/>
    </row>
    <row r="409" spans="1:27" customFormat="1" ht="13.5" customHeight="1" thickBot="1">
      <c r="A409" s="81"/>
      <c r="B409" s="81"/>
      <c r="C409" s="81"/>
      <c r="D409" s="81"/>
      <c r="E409" s="313"/>
      <c r="F409" s="81"/>
      <c r="G409" s="81"/>
      <c r="H409" s="81"/>
      <c r="I409" s="81"/>
      <c r="J409" s="81"/>
      <c r="K409" s="81"/>
      <c r="L409" s="82"/>
      <c r="M409" s="2"/>
      <c r="N409" s="2"/>
    </row>
    <row r="410" spans="1:27" customFormat="1" ht="13.5" customHeight="1">
      <c r="E410" s="3"/>
      <c r="L410" s="2"/>
      <c r="M410" s="2"/>
      <c r="N410" s="2"/>
    </row>
    <row r="411" spans="1:27" customFormat="1" ht="15" customHeight="1">
      <c r="B411" s="10"/>
      <c r="C411" s="5"/>
      <c r="D411" s="5"/>
      <c r="E411" s="307"/>
      <c r="F411" s="5"/>
      <c r="G411" s="5"/>
      <c r="H411" s="5"/>
      <c r="I411" s="5"/>
      <c r="J411" s="5"/>
      <c r="K411" s="6"/>
      <c r="R411" s="11" t="str">
        <f>D412</f>
        <v>(選択してください)</v>
      </c>
    </row>
    <row r="412" spans="1:27" customFormat="1">
      <c r="B412" s="7"/>
      <c r="C412" s="77" t="str">
        <f ca="1">IFERROR(OFFSET('4.3民生部門電力以外の排出削減取組'!$C$1,MATCH(D412,'4.3民生部門電力以外の排出削減取組'!$E:$E,0)-1,0),"")</f>
        <v/>
      </c>
      <c r="D412" s="96" t="s">
        <v>130</v>
      </c>
      <c r="E412" s="72" t="s">
        <v>12</v>
      </c>
      <c r="F412" s="1063" t="str">
        <f ca="1">IFERROR(OFFSET('4.3民生部門電力以外の排出削減取組'!$G$1,MATCH($D412,'4.3民生部門電力以外の排出削減取組'!$E:$E,0)-1,0),"")</f>
        <v/>
      </c>
      <c r="G412" s="1063"/>
      <c r="H412" s="1063"/>
      <c r="I412" s="1063"/>
      <c r="J412" s="1063"/>
      <c r="K412" s="8"/>
      <c r="R412" s="257" t="str">
        <f ca="1">IFERROR(OFFSET('4.3民生部門電力以外の排出削減取組'!$G$1,MATCH($D412,'4.3民生部門電力以外の排出削減取組'!$E:$E,0)-1,0),"")</f>
        <v/>
      </c>
      <c r="S412" s="177"/>
      <c r="T412" s="177"/>
      <c r="U412" s="177"/>
      <c r="V412" s="177"/>
      <c r="W412" s="177"/>
      <c r="X412" s="177"/>
      <c r="Y412" s="177"/>
      <c r="Z412" s="177"/>
      <c r="AA412" s="177">
        <f ca="1">(F412=R412)*1</f>
        <v>1</v>
      </c>
    </row>
    <row r="413" spans="1:27" customFormat="1">
      <c r="B413" s="7"/>
      <c r="C413" s="74"/>
      <c r="D413" s="66"/>
      <c r="E413" s="72" t="s">
        <v>282</v>
      </c>
      <c r="F413" s="1080" t="str">
        <f ca="1">IFERROR(OFFSET('4.3民生部門電力以外の排出削減取組'!$H$1,MATCH($D412,'4.3民生部門電力以外の排出削減取組'!$E:$E,0)-1,0),"")</f>
        <v/>
      </c>
      <c r="G413" s="1080"/>
      <c r="H413" s="1080"/>
      <c r="I413" s="1080"/>
      <c r="J413" s="1080"/>
      <c r="K413" s="8"/>
      <c r="R413" s="177" t="str">
        <f ca="1">IFERROR(OFFSET('4.3民生部門電力以外の排出削減取組'!$H$1,MATCH($D412,'4.3民生部門電力以外の排出削減取組'!$E:$E,0)-1,0),"")</f>
        <v/>
      </c>
      <c r="S413" s="177"/>
      <c r="T413" s="177"/>
      <c r="U413" s="177"/>
      <c r="V413" s="177"/>
      <c r="W413" s="177"/>
      <c r="X413" s="177"/>
      <c r="Y413" s="177"/>
      <c r="Z413" s="177"/>
      <c r="AA413" s="177">
        <f t="shared" ref="AA413:AA414" ca="1" si="216">(F413=R413)*1</f>
        <v>1</v>
      </c>
    </row>
    <row r="414" spans="1:27" customFormat="1">
      <c r="B414" s="7"/>
      <c r="C414" s="74"/>
      <c r="D414" s="66"/>
      <c r="E414" s="72" t="s">
        <v>176</v>
      </c>
      <c r="F414" s="1063" t="str">
        <f>_xlfn.IFNA(R414,"")</f>
        <v/>
      </c>
      <c r="G414" s="1063"/>
      <c r="H414" s="1063"/>
      <c r="I414" s="1063"/>
      <c r="J414" s="1063"/>
      <c r="K414" s="8"/>
      <c r="R414" s="131" t="str">
        <f>IF(OR(COUNTIF($E416:$E421,"&lt;&gt;〇〇(合意形成対象者名に書き換え)")=3,COUNTIF($E416:$E421,"")&gt;3),"",IF(PRODUCT($Y416:$Y421)=1,Z416,""))</f>
        <v/>
      </c>
      <c r="S414" s="177"/>
      <c r="T414" s="177"/>
      <c r="U414" s="177"/>
      <c r="V414" s="177"/>
      <c r="W414" s="177"/>
      <c r="X414" s="177"/>
      <c r="Y414" s="177"/>
      <c r="Z414" s="177"/>
      <c r="AA414" s="177">
        <f t="shared" si="216"/>
        <v>1</v>
      </c>
    </row>
    <row r="415" spans="1:27" ht="63.75" customHeight="1">
      <c r="B415" s="97"/>
      <c r="C415" s="98"/>
      <c r="D415" s="99"/>
      <c r="E415" s="895"/>
      <c r="F415" s="315" t="s">
        <v>280</v>
      </c>
      <c r="G415" s="315" t="s">
        <v>270</v>
      </c>
      <c r="H415" s="315" t="s">
        <v>443</v>
      </c>
      <c r="I415" s="315" t="s">
        <v>445</v>
      </c>
      <c r="J415" s="315" t="s">
        <v>281</v>
      </c>
      <c r="K415" s="100"/>
      <c r="L415" s="11"/>
      <c r="R415" s="128" t="s">
        <v>280</v>
      </c>
      <c r="S415" s="128" t="s">
        <v>446</v>
      </c>
      <c r="T415" s="297" t="s">
        <v>443</v>
      </c>
      <c r="U415" s="297" t="s">
        <v>444</v>
      </c>
      <c r="V415" s="258" t="s">
        <v>272</v>
      </c>
      <c r="W415" s="128" t="s">
        <v>432</v>
      </c>
      <c r="X415" s="131" t="s">
        <v>408</v>
      </c>
      <c r="Y415" s="131" t="s">
        <v>436</v>
      </c>
      <c r="Z415" s="128" t="s">
        <v>431</v>
      </c>
      <c r="AA415" s="257"/>
    </row>
    <row r="416" spans="1:27" hidden="1">
      <c r="B416" s="97"/>
      <c r="C416" s="98"/>
      <c r="D416" s="99"/>
      <c r="E416" s="896"/>
      <c r="F416" s="441"/>
      <c r="G416" s="441"/>
      <c r="H416" s="445"/>
      <c r="I416" s="445"/>
      <c r="J416" s="441"/>
      <c r="K416" s="100"/>
      <c r="L416" s="11"/>
      <c r="R416" s="131">
        <f t="shared" ref="R416:R421" si="217">IF(F416="実施済",1,0)</f>
        <v>0</v>
      </c>
      <c r="S416" s="131">
        <f t="shared" ref="S416:S421" si="218">IF(G416="実施済",R416*1,0)</f>
        <v>0</v>
      </c>
      <c r="T416" s="131">
        <f t="shared" ref="T416:T421" si="219">IF(H416="実施済",S416*1,0)</f>
        <v>0</v>
      </c>
      <c r="U416" s="131">
        <f t="shared" ref="U416:U421" si="220">IF(I416="実施済",T416*1,0)</f>
        <v>0</v>
      </c>
      <c r="V416" s="260"/>
      <c r="W416" s="131" t="str">
        <f>IF(OR(E416="〇〇(合意形成対象者名に書き換え)",E416=""),"",SUM(S416,T416,U416))</f>
        <v/>
      </c>
      <c r="X416" s="131">
        <f t="shared" ref="X416:X421" si="221">MIN($W$416:$W$421)+1</f>
        <v>1</v>
      </c>
      <c r="Y416" s="131">
        <f>IF(E416="",1,IF(AND(E416="〇〇(合意形成対象者名に書き換え)",COUNTA($F416:$J416)=0),1,IF(AND(E416&lt;&gt;"〇〇(合意形成対象者名に書き換え)",COUNTA($F416:$J416)=5),1,0)))</f>
        <v>1</v>
      </c>
      <c r="Z416" s="131" t="str" cm="1">
        <f t="array" ref="Z416">_xlfn.IFS(X416=4,"A",X416=3,"B",X416=2,"C",X416=1,"D")</f>
        <v>D</v>
      </c>
      <c r="AA416" s="257"/>
    </row>
    <row r="417" spans="1:27">
      <c r="B417" s="97"/>
      <c r="C417" s="98"/>
      <c r="D417" s="99"/>
      <c r="E417" s="897" t="s">
        <v>129</v>
      </c>
      <c r="F417" s="448"/>
      <c r="G417" s="448"/>
      <c r="H417" s="447"/>
      <c r="I417" s="447"/>
      <c r="J417" s="448"/>
      <c r="K417" s="100"/>
      <c r="L417" s="11"/>
      <c r="R417" s="131">
        <f t="shared" si="217"/>
        <v>0</v>
      </c>
      <c r="S417" s="131">
        <f t="shared" si="218"/>
        <v>0</v>
      </c>
      <c r="T417" s="131">
        <f t="shared" si="219"/>
        <v>0</v>
      </c>
      <c r="U417" s="131">
        <f t="shared" si="220"/>
        <v>0</v>
      </c>
      <c r="V417" s="260"/>
      <c r="W417" s="131" t="str">
        <f t="shared" ref="W417:W421" si="222">IF(OR(E417="〇〇(合意形成対象者名に書き換え)",E417=""),"",SUM(S417,T417,U417))</f>
        <v/>
      </c>
      <c r="X417" s="131">
        <f t="shared" si="221"/>
        <v>1</v>
      </c>
      <c r="Y417" s="131">
        <f t="shared" ref="Y417:Y421" si="223">IF(E417="",1,IF(AND(E417="〇〇(合意形成対象者名に書き換え)",COUNTA($F417:$J417)=0),1,IF(AND(E417&lt;&gt;"〇〇(合意形成対象者名に書き換え)",COUNTA($F417:$J417)=5),1,0)))</f>
        <v>1</v>
      </c>
      <c r="Z417" s="131" t="str" cm="1">
        <f t="array" ref="Z417">_xlfn.IFS(X417=4,"A",X417=3,"B",X417=2,"C",X417=1,"D")</f>
        <v>D</v>
      </c>
      <c r="AA417" s="257"/>
    </row>
    <row r="418" spans="1:27">
      <c r="B418" s="97"/>
      <c r="C418" s="98"/>
      <c r="D418" s="99"/>
      <c r="E418" s="897" t="s">
        <v>129</v>
      </c>
      <c r="F418" s="443"/>
      <c r="G418" s="443"/>
      <c r="H418" s="449"/>
      <c r="I418" s="449"/>
      <c r="J418" s="443"/>
      <c r="K418" s="100"/>
      <c r="L418" s="11"/>
      <c r="R418" s="131">
        <f t="shared" si="217"/>
        <v>0</v>
      </c>
      <c r="S418" s="131">
        <f t="shared" si="218"/>
        <v>0</v>
      </c>
      <c r="T418" s="131">
        <f t="shared" si="219"/>
        <v>0</v>
      </c>
      <c r="U418" s="131">
        <f t="shared" si="220"/>
        <v>0</v>
      </c>
      <c r="V418" s="260"/>
      <c r="W418" s="131" t="str">
        <f t="shared" si="222"/>
        <v/>
      </c>
      <c r="X418" s="131">
        <f t="shared" si="221"/>
        <v>1</v>
      </c>
      <c r="Y418" s="131">
        <f t="shared" si="223"/>
        <v>1</v>
      </c>
      <c r="Z418" s="131" t="str" cm="1">
        <f t="array" ref="Z418">_xlfn.IFS(X418=4,"A",X418=3,"B",X418=2,"C",X418=1,"D")</f>
        <v>D</v>
      </c>
      <c r="AA418" s="257"/>
    </row>
    <row r="419" spans="1:27" s="101" customFormat="1">
      <c r="A419" s="11"/>
      <c r="B419" s="97"/>
      <c r="C419" s="98"/>
      <c r="D419" s="99"/>
      <c r="E419" s="897" t="s">
        <v>129</v>
      </c>
      <c r="F419" s="443"/>
      <c r="G419" s="443"/>
      <c r="H419" s="449"/>
      <c r="I419" s="449"/>
      <c r="J419" s="443"/>
      <c r="K419" s="100"/>
      <c r="L419" s="11"/>
      <c r="O419" s="11"/>
      <c r="P419" s="11"/>
      <c r="Q419" s="11"/>
      <c r="R419" s="131">
        <f t="shared" si="217"/>
        <v>0</v>
      </c>
      <c r="S419" s="131">
        <f t="shared" si="218"/>
        <v>0</v>
      </c>
      <c r="T419" s="131">
        <f t="shared" si="219"/>
        <v>0</v>
      </c>
      <c r="U419" s="131">
        <f t="shared" si="220"/>
        <v>0</v>
      </c>
      <c r="V419" s="260"/>
      <c r="W419" s="131" t="str">
        <f t="shared" si="222"/>
        <v/>
      </c>
      <c r="X419" s="131">
        <f t="shared" si="221"/>
        <v>1</v>
      </c>
      <c r="Y419" s="131">
        <f t="shared" si="223"/>
        <v>1</v>
      </c>
      <c r="Z419" s="131" t="str" cm="1">
        <f t="array" ref="Z419">_xlfn.IFS(X419=4,"A",X419=3,"B",X419=2,"C",X419=1,"D")</f>
        <v>D</v>
      </c>
      <c r="AA419" s="131"/>
    </row>
    <row r="420" spans="1:27" customFormat="1" ht="7.5" customHeight="1">
      <c r="B420" s="65"/>
      <c r="C420" s="4"/>
      <c r="D420" s="4"/>
      <c r="E420" s="290"/>
      <c r="F420" s="4"/>
      <c r="G420" s="4"/>
      <c r="H420" s="4"/>
      <c r="I420" s="4"/>
      <c r="J420" s="4"/>
      <c r="K420" s="9"/>
      <c r="L420" s="2"/>
      <c r="M420" s="2"/>
      <c r="N420" s="2"/>
      <c r="R420" s="131">
        <f t="shared" si="217"/>
        <v>0</v>
      </c>
      <c r="S420" s="131">
        <f t="shared" si="218"/>
        <v>0</v>
      </c>
      <c r="T420" s="131">
        <f t="shared" si="219"/>
        <v>0</v>
      </c>
      <c r="U420" s="131">
        <f t="shared" si="220"/>
        <v>0</v>
      </c>
      <c r="V420" s="260"/>
      <c r="W420" s="131" t="str">
        <f t="shared" si="222"/>
        <v/>
      </c>
      <c r="X420" s="131">
        <f t="shared" si="221"/>
        <v>1</v>
      </c>
      <c r="Y420" s="131">
        <f t="shared" si="223"/>
        <v>1</v>
      </c>
      <c r="Z420" s="131" t="str" cm="1">
        <f t="array" ref="Z420">_xlfn.IFS(X420=4,"A",X420=3,"B",X420=2,"C",X420=1,"D")</f>
        <v>D</v>
      </c>
      <c r="AA420" s="177"/>
    </row>
    <row r="421" spans="1:27" customFormat="1" ht="6" customHeight="1">
      <c r="E421" s="3"/>
      <c r="L421" s="2"/>
      <c r="M421" s="2"/>
      <c r="N421" s="2"/>
      <c r="R421" s="131">
        <f t="shared" si="217"/>
        <v>0</v>
      </c>
      <c r="S421" s="131">
        <f t="shared" si="218"/>
        <v>0</v>
      </c>
      <c r="T421" s="131">
        <f t="shared" si="219"/>
        <v>0</v>
      </c>
      <c r="U421" s="131">
        <f t="shared" si="220"/>
        <v>0</v>
      </c>
      <c r="V421" s="260"/>
      <c r="W421" s="131" t="str">
        <f t="shared" si="222"/>
        <v/>
      </c>
      <c r="X421" s="131">
        <f t="shared" si="221"/>
        <v>1</v>
      </c>
      <c r="Y421" s="131">
        <f t="shared" si="223"/>
        <v>1</v>
      </c>
      <c r="Z421" s="131" t="str" cm="1">
        <f t="array" ref="Z421">_xlfn.IFS(X421=4,"A",X421=3,"B",X421=2,"C",X421=1,"D")</f>
        <v>D</v>
      </c>
      <c r="AA421" s="177"/>
    </row>
    <row r="422" spans="1:27" customFormat="1" ht="103.5" customHeight="1">
      <c r="C422" s="78"/>
      <c r="D422" s="79"/>
      <c r="E422" s="71" t="s">
        <v>238</v>
      </c>
      <c r="F422" s="1057"/>
      <c r="G422" s="1057"/>
      <c r="H422" s="1057"/>
      <c r="I422" s="1057"/>
      <c r="J422" s="1057"/>
      <c r="K422" s="80" t="s">
        <v>132</v>
      </c>
      <c r="L422" s="80"/>
    </row>
    <row r="423" spans="1:27" customFormat="1" ht="146.25" customHeight="1">
      <c r="C423" s="75"/>
      <c r="D423" s="68"/>
      <c r="E423" s="71" t="s">
        <v>237</v>
      </c>
      <c r="F423" s="1057"/>
      <c r="G423" s="1057"/>
      <c r="H423" s="1057"/>
      <c r="I423" s="1057"/>
      <c r="J423" s="1057"/>
      <c r="L423" s="2"/>
      <c r="M423" s="2"/>
      <c r="N423" s="2"/>
    </row>
    <row r="424" spans="1:27" customFormat="1" ht="13.5" customHeight="1" thickBot="1">
      <c r="A424" s="81"/>
      <c r="B424" s="81"/>
      <c r="C424" s="81"/>
      <c r="D424" s="81"/>
      <c r="E424" s="313"/>
      <c r="F424" s="81"/>
      <c r="G424" s="81"/>
      <c r="H424" s="81"/>
      <c r="I424" s="81"/>
      <c r="J424" s="81"/>
      <c r="K424" s="81"/>
      <c r="L424" s="82"/>
      <c r="M424" s="2"/>
      <c r="N424" s="2"/>
    </row>
    <row r="425" spans="1:27" customFormat="1" ht="13.5" customHeight="1">
      <c r="E425" s="3"/>
      <c r="L425" s="2"/>
      <c r="M425" s="2"/>
      <c r="N425" s="2"/>
    </row>
    <row r="426" spans="1:27" customFormat="1" ht="15" customHeight="1">
      <c r="B426" s="10"/>
      <c r="C426" s="5"/>
      <c r="D426" s="5"/>
      <c r="E426" s="307"/>
      <c r="F426" s="5"/>
      <c r="G426" s="5"/>
      <c r="H426" s="5"/>
      <c r="I426" s="5"/>
      <c r="J426" s="5"/>
      <c r="K426" s="6"/>
      <c r="R426" s="11" t="str">
        <f>D427</f>
        <v>(選択してください)</v>
      </c>
    </row>
    <row r="427" spans="1:27" customFormat="1">
      <c r="B427" s="7"/>
      <c r="C427" s="77" t="str">
        <f ca="1">IFERROR(OFFSET('4.3民生部門電力以外の排出削減取組'!$C$1,MATCH(D427,'4.3民生部門電力以外の排出削減取組'!$E:$E,0)-1,0),"")</f>
        <v/>
      </c>
      <c r="D427" s="96" t="s">
        <v>130</v>
      </c>
      <c r="E427" s="72" t="s">
        <v>12</v>
      </c>
      <c r="F427" s="1063" t="str">
        <f ca="1">IFERROR(OFFSET('4.3民生部門電力以外の排出削減取組'!$G$1,MATCH($D427,'4.3民生部門電力以外の排出削減取組'!$E:$E,0)-1,0),"")</f>
        <v/>
      </c>
      <c r="G427" s="1063"/>
      <c r="H427" s="1063"/>
      <c r="I427" s="1063"/>
      <c r="J427" s="1063"/>
      <c r="K427" s="8"/>
      <c r="R427" s="257" t="str">
        <f ca="1">IFERROR(OFFSET('4.3民生部門電力以外の排出削減取組'!$G$1,MATCH($D427,'4.3民生部門電力以外の排出削減取組'!$E:$E,0)-1,0),"")</f>
        <v/>
      </c>
      <c r="S427" s="177"/>
      <c r="T427" s="177"/>
      <c r="U427" s="177"/>
      <c r="V427" s="177"/>
      <c r="W427" s="177"/>
      <c r="X427" s="177"/>
      <c r="Y427" s="177"/>
      <c r="Z427" s="177"/>
      <c r="AA427" s="177">
        <f ca="1">(F427=R427)*1</f>
        <v>1</v>
      </c>
    </row>
    <row r="428" spans="1:27" customFormat="1">
      <c r="B428" s="7"/>
      <c r="C428" s="74"/>
      <c r="D428" s="66"/>
      <c r="E428" s="72" t="s">
        <v>282</v>
      </c>
      <c r="F428" s="1080" t="str">
        <f ca="1">IFERROR(OFFSET('4.3民生部門電力以外の排出削減取組'!$H$1,MATCH($D427,'4.3民生部門電力以外の排出削減取組'!$E:$E,0)-1,0),"")</f>
        <v/>
      </c>
      <c r="G428" s="1080"/>
      <c r="H428" s="1080"/>
      <c r="I428" s="1080"/>
      <c r="J428" s="1080"/>
      <c r="K428" s="8"/>
      <c r="R428" s="177" t="str">
        <f ca="1">IFERROR(OFFSET('4.3民生部門電力以外の排出削減取組'!$H$1,MATCH($D427,'4.3民生部門電力以外の排出削減取組'!$E:$E,0)-1,0),"")</f>
        <v/>
      </c>
      <c r="S428" s="177"/>
      <c r="T428" s="177"/>
      <c r="U428" s="177"/>
      <c r="V428" s="177"/>
      <c r="W428" s="177"/>
      <c r="X428" s="177"/>
      <c r="Y428" s="177"/>
      <c r="Z428" s="177"/>
      <c r="AA428" s="177">
        <f t="shared" ref="AA428:AA429" ca="1" si="224">(F428=R428)*1</f>
        <v>1</v>
      </c>
    </row>
    <row r="429" spans="1:27" customFormat="1">
      <c r="B429" s="7"/>
      <c r="C429" s="74"/>
      <c r="D429" s="66"/>
      <c r="E429" s="72" t="s">
        <v>176</v>
      </c>
      <c r="F429" s="1063" t="str">
        <f>_xlfn.IFNA(R429,"")</f>
        <v/>
      </c>
      <c r="G429" s="1063"/>
      <c r="H429" s="1063"/>
      <c r="I429" s="1063"/>
      <c r="J429" s="1063"/>
      <c r="K429" s="8"/>
      <c r="R429" s="131" t="str">
        <f>IF(OR(COUNTIF($E431:$E436,"&lt;&gt;〇〇(合意形成対象者名に書き換え)")=3,COUNTIF($E431:$E436,"")&gt;3),"",IF(PRODUCT($Y431:$Y436)=1,Z431,""))</f>
        <v/>
      </c>
      <c r="S429" s="177"/>
      <c r="T429" s="177"/>
      <c r="U429" s="177"/>
      <c r="V429" s="177"/>
      <c r="W429" s="177"/>
      <c r="X429" s="177"/>
      <c r="Y429" s="177"/>
      <c r="Z429" s="177"/>
      <c r="AA429" s="177">
        <f t="shared" si="224"/>
        <v>1</v>
      </c>
    </row>
    <row r="430" spans="1:27" ht="63.75" customHeight="1">
      <c r="B430" s="97"/>
      <c r="C430" s="98"/>
      <c r="D430" s="99"/>
      <c r="E430" s="895"/>
      <c r="F430" s="315" t="s">
        <v>280</v>
      </c>
      <c r="G430" s="315" t="s">
        <v>270</v>
      </c>
      <c r="H430" s="315" t="s">
        <v>443</v>
      </c>
      <c r="I430" s="315" t="s">
        <v>445</v>
      </c>
      <c r="J430" s="315" t="s">
        <v>281</v>
      </c>
      <c r="K430" s="100"/>
      <c r="L430" s="11"/>
      <c r="R430" s="128" t="s">
        <v>280</v>
      </c>
      <c r="S430" s="128" t="s">
        <v>446</v>
      </c>
      <c r="T430" s="297" t="s">
        <v>443</v>
      </c>
      <c r="U430" s="297" t="s">
        <v>444</v>
      </c>
      <c r="V430" s="258" t="s">
        <v>272</v>
      </c>
      <c r="W430" s="128" t="s">
        <v>432</v>
      </c>
      <c r="X430" s="131" t="s">
        <v>408</v>
      </c>
      <c r="Y430" s="131" t="s">
        <v>436</v>
      </c>
      <c r="Z430" s="128" t="s">
        <v>431</v>
      </c>
      <c r="AA430" s="257"/>
    </row>
    <row r="431" spans="1:27" hidden="1">
      <c r="B431" s="97"/>
      <c r="C431" s="98"/>
      <c r="D431" s="99"/>
      <c r="E431" s="896"/>
      <c r="F431" s="441"/>
      <c r="G431" s="441"/>
      <c r="H431" s="445"/>
      <c r="I431" s="445"/>
      <c r="J431" s="441"/>
      <c r="K431" s="100"/>
      <c r="L431" s="11"/>
      <c r="R431" s="131">
        <f t="shared" ref="R431:R436" si="225">IF(F431="実施済",1,0)</f>
        <v>0</v>
      </c>
      <c r="S431" s="131">
        <f t="shared" ref="S431:S436" si="226">IF(G431="実施済",R431*1,0)</f>
        <v>0</v>
      </c>
      <c r="T431" s="131">
        <f t="shared" ref="T431:T436" si="227">IF(H431="実施済",S431*1,0)</f>
        <v>0</v>
      </c>
      <c r="U431" s="131">
        <f t="shared" ref="U431:U436" si="228">IF(I431="実施済",T431*1,0)</f>
        <v>0</v>
      </c>
      <c r="V431" s="260"/>
      <c r="W431" s="131" t="str">
        <f>IF(OR(E431="〇〇(合意形成対象者名に書き換え)",E431=""),"",SUM(S431,T431,U431))</f>
        <v/>
      </c>
      <c r="X431" s="131">
        <f t="shared" ref="X431:X436" si="229">MIN($W$431:$W$436)+1</f>
        <v>1</v>
      </c>
      <c r="Y431" s="131">
        <f>IF(E431="",1,IF(AND(E431="〇〇(合意形成対象者名に書き換え)",COUNTA($F431:$J431)=0),1,IF(AND(E431&lt;&gt;"〇〇(合意形成対象者名に書き換え)",COUNTA($F431:$J431)=5),1,0)))</f>
        <v>1</v>
      </c>
      <c r="Z431" s="131" t="str" cm="1">
        <f t="array" ref="Z431">_xlfn.IFS(X431=4,"A",X431=3,"B",X431=2,"C",X431=1,"D")</f>
        <v>D</v>
      </c>
      <c r="AA431" s="257"/>
    </row>
    <row r="432" spans="1:27">
      <c r="B432" s="97"/>
      <c r="C432" s="98"/>
      <c r="D432" s="99"/>
      <c r="E432" s="897" t="s">
        <v>129</v>
      </c>
      <c r="F432" s="448"/>
      <c r="G432" s="448"/>
      <c r="H432" s="447"/>
      <c r="I432" s="447"/>
      <c r="J432" s="448"/>
      <c r="K432" s="100"/>
      <c r="L432" s="11"/>
      <c r="R432" s="131">
        <f t="shared" si="225"/>
        <v>0</v>
      </c>
      <c r="S432" s="131">
        <f t="shared" si="226"/>
        <v>0</v>
      </c>
      <c r="T432" s="131">
        <f t="shared" si="227"/>
        <v>0</v>
      </c>
      <c r="U432" s="131">
        <f t="shared" si="228"/>
        <v>0</v>
      </c>
      <c r="V432" s="260"/>
      <c r="W432" s="131" t="str">
        <f t="shared" ref="W432:W436" si="230">IF(OR(E432="〇〇(合意形成対象者名に書き換え)",E432=""),"",SUM(S432,T432,U432))</f>
        <v/>
      </c>
      <c r="X432" s="131">
        <f t="shared" si="229"/>
        <v>1</v>
      </c>
      <c r="Y432" s="131">
        <f t="shared" ref="Y432:Y436" si="231">IF(E432="",1,IF(AND(E432="〇〇(合意形成対象者名に書き換え)",COUNTA($F432:$J432)=0),1,IF(AND(E432&lt;&gt;"〇〇(合意形成対象者名に書き換え)",COUNTA($F432:$J432)=5),1,0)))</f>
        <v>1</v>
      </c>
      <c r="Z432" s="131" t="str" cm="1">
        <f t="array" ref="Z432">_xlfn.IFS(X432=4,"A",X432=3,"B",X432=2,"C",X432=1,"D")</f>
        <v>D</v>
      </c>
      <c r="AA432" s="257"/>
    </row>
    <row r="433" spans="1:27">
      <c r="B433" s="97"/>
      <c r="C433" s="98"/>
      <c r="D433" s="99"/>
      <c r="E433" s="897" t="s">
        <v>129</v>
      </c>
      <c r="F433" s="443"/>
      <c r="G433" s="443"/>
      <c r="H433" s="449"/>
      <c r="I433" s="449"/>
      <c r="J433" s="443"/>
      <c r="K433" s="100"/>
      <c r="L433" s="11"/>
      <c r="R433" s="131">
        <f t="shared" si="225"/>
        <v>0</v>
      </c>
      <c r="S433" s="131">
        <f t="shared" si="226"/>
        <v>0</v>
      </c>
      <c r="T433" s="131">
        <f t="shared" si="227"/>
        <v>0</v>
      </c>
      <c r="U433" s="131">
        <f t="shared" si="228"/>
        <v>0</v>
      </c>
      <c r="V433" s="260"/>
      <c r="W433" s="131" t="str">
        <f t="shared" si="230"/>
        <v/>
      </c>
      <c r="X433" s="131">
        <f t="shared" si="229"/>
        <v>1</v>
      </c>
      <c r="Y433" s="131">
        <f t="shared" si="231"/>
        <v>1</v>
      </c>
      <c r="Z433" s="131" t="str" cm="1">
        <f t="array" ref="Z433">_xlfn.IFS(X433=4,"A",X433=3,"B",X433=2,"C",X433=1,"D")</f>
        <v>D</v>
      </c>
      <c r="AA433" s="257"/>
    </row>
    <row r="434" spans="1:27" s="101" customFormat="1">
      <c r="A434" s="11"/>
      <c r="B434" s="97"/>
      <c r="C434" s="98"/>
      <c r="D434" s="99"/>
      <c r="E434" s="897" t="s">
        <v>129</v>
      </c>
      <c r="F434" s="443"/>
      <c r="G434" s="443"/>
      <c r="H434" s="449"/>
      <c r="I434" s="449"/>
      <c r="J434" s="443"/>
      <c r="K434" s="100"/>
      <c r="L434" s="11"/>
      <c r="O434" s="11"/>
      <c r="P434" s="11"/>
      <c r="Q434" s="11"/>
      <c r="R434" s="131">
        <f t="shared" si="225"/>
        <v>0</v>
      </c>
      <c r="S434" s="131">
        <f t="shared" si="226"/>
        <v>0</v>
      </c>
      <c r="T434" s="131">
        <f t="shared" si="227"/>
        <v>0</v>
      </c>
      <c r="U434" s="131">
        <f t="shared" si="228"/>
        <v>0</v>
      </c>
      <c r="V434" s="260"/>
      <c r="W434" s="131" t="str">
        <f t="shared" si="230"/>
        <v/>
      </c>
      <c r="X434" s="131">
        <f t="shared" si="229"/>
        <v>1</v>
      </c>
      <c r="Y434" s="131">
        <f t="shared" si="231"/>
        <v>1</v>
      </c>
      <c r="Z434" s="131" t="str" cm="1">
        <f t="array" ref="Z434">_xlfn.IFS(X434=4,"A",X434=3,"B",X434=2,"C",X434=1,"D")</f>
        <v>D</v>
      </c>
      <c r="AA434" s="131"/>
    </row>
    <row r="435" spans="1:27" customFormat="1" ht="7.5" customHeight="1">
      <c r="B435" s="65"/>
      <c r="C435" s="4"/>
      <c r="D435" s="4"/>
      <c r="E435" s="290"/>
      <c r="F435" s="4"/>
      <c r="G435" s="4"/>
      <c r="H435" s="4"/>
      <c r="I435" s="4"/>
      <c r="J435" s="4"/>
      <c r="K435" s="9"/>
      <c r="L435" s="2"/>
      <c r="M435" s="2"/>
      <c r="N435" s="2"/>
      <c r="R435" s="131">
        <f t="shared" si="225"/>
        <v>0</v>
      </c>
      <c r="S435" s="131">
        <f t="shared" si="226"/>
        <v>0</v>
      </c>
      <c r="T435" s="131">
        <f t="shared" si="227"/>
        <v>0</v>
      </c>
      <c r="U435" s="131">
        <f t="shared" si="228"/>
        <v>0</v>
      </c>
      <c r="V435" s="260"/>
      <c r="W435" s="131" t="str">
        <f t="shared" si="230"/>
        <v/>
      </c>
      <c r="X435" s="131">
        <f t="shared" si="229"/>
        <v>1</v>
      </c>
      <c r="Y435" s="131">
        <f t="shared" si="231"/>
        <v>1</v>
      </c>
      <c r="Z435" s="131" t="str" cm="1">
        <f t="array" ref="Z435">_xlfn.IFS(X435=4,"A",X435=3,"B",X435=2,"C",X435=1,"D")</f>
        <v>D</v>
      </c>
      <c r="AA435" s="177"/>
    </row>
    <row r="436" spans="1:27" customFormat="1" ht="6" customHeight="1">
      <c r="E436" s="3"/>
      <c r="L436" s="2"/>
      <c r="M436" s="2"/>
      <c r="N436" s="2"/>
      <c r="R436" s="131">
        <f t="shared" si="225"/>
        <v>0</v>
      </c>
      <c r="S436" s="131">
        <f t="shared" si="226"/>
        <v>0</v>
      </c>
      <c r="T436" s="131">
        <f t="shared" si="227"/>
        <v>0</v>
      </c>
      <c r="U436" s="131">
        <f t="shared" si="228"/>
        <v>0</v>
      </c>
      <c r="V436" s="260"/>
      <c r="W436" s="131" t="str">
        <f t="shared" si="230"/>
        <v/>
      </c>
      <c r="X436" s="131">
        <f t="shared" si="229"/>
        <v>1</v>
      </c>
      <c r="Y436" s="131">
        <f t="shared" si="231"/>
        <v>1</v>
      </c>
      <c r="Z436" s="131" t="str" cm="1">
        <f t="array" ref="Z436">_xlfn.IFS(X436=4,"A",X436=3,"B",X436=2,"C",X436=1,"D")</f>
        <v>D</v>
      </c>
      <c r="AA436" s="177"/>
    </row>
    <row r="437" spans="1:27" customFormat="1" ht="103.5" customHeight="1">
      <c r="C437" s="78"/>
      <c r="D437" s="79"/>
      <c r="E437" s="71" t="s">
        <v>238</v>
      </c>
      <c r="F437" s="1057"/>
      <c r="G437" s="1057"/>
      <c r="H437" s="1057"/>
      <c r="I437" s="1057"/>
      <c r="J437" s="1057"/>
      <c r="K437" s="80" t="s">
        <v>132</v>
      </c>
      <c r="L437" s="80"/>
    </row>
    <row r="438" spans="1:27" customFormat="1" ht="146.25" customHeight="1">
      <c r="C438" s="75"/>
      <c r="D438" s="68"/>
      <c r="E438" s="71" t="s">
        <v>237</v>
      </c>
      <c r="F438" s="1057"/>
      <c r="G438" s="1057"/>
      <c r="H438" s="1057"/>
      <c r="I438" s="1057"/>
      <c r="J438" s="1057"/>
      <c r="L438" s="2"/>
      <c r="M438" s="2"/>
      <c r="N438" s="2"/>
    </row>
    <row r="439" spans="1:27" customFormat="1" ht="13.5" customHeight="1" thickBot="1">
      <c r="A439" s="81"/>
      <c r="B439" s="81"/>
      <c r="C439" s="81"/>
      <c r="D439" s="81"/>
      <c r="E439" s="313"/>
      <c r="F439" s="81"/>
      <c r="G439" s="81"/>
      <c r="H439" s="81"/>
      <c r="I439" s="81"/>
      <c r="J439" s="81"/>
      <c r="K439" s="81"/>
      <c r="L439" s="82"/>
      <c r="M439" s="2"/>
      <c r="N439" s="2"/>
    </row>
    <row r="440" spans="1:27" customFormat="1" ht="13.5" customHeight="1">
      <c r="E440" s="3"/>
      <c r="L440" s="2"/>
      <c r="M440" s="2"/>
      <c r="N440" s="2"/>
    </row>
    <row r="441" spans="1:27" customFormat="1" ht="15" customHeight="1">
      <c r="B441" s="10"/>
      <c r="C441" s="5"/>
      <c r="D441" s="5"/>
      <c r="E441" s="307"/>
      <c r="F441" s="5"/>
      <c r="G441" s="5"/>
      <c r="H441" s="5"/>
      <c r="I441" s="5"/>
      <c r="J441" s="5"/>
      <c r="K441" s="6"/>
      <c r="R441" s="11" t="str">
        <f>D442</f>
        <v>(選択してください)</v>
      </c>
    </row>
    <row r="442" spans="1:27" customFormat="1">
      <c r="B442" s="7"/>
      <c r="C442" s="77" t="str">
        <f ca="1">IFERROR(OFFSET('4.3民生部門電力以外の排出削減取組'!$C$1,MATCH(D442,'4.3民生部門電力以外の排出削減取組'!$E:$E,0)-1,0),"")</f>
        <v/>
      </c>
      <c r="D442" s="96" t="s">
        <v>130</v>
      </c>
      <c r="E442" s="72" t="s">
        <v>12</v>
      </c>
      <c r="F442" s="1063" t="str">
        <f ca="1">IFERROR(OFFSET('4.3民生部門電力以外の排出削減取組'!$G$1,MATCH($D442,'4.3民生部門電力以外の排出削減取組'!$E:$E,0)-1,0),"")</f>
        <v/>
      </c>
      <c r="G442" s="1063"/>
      <c r="H442" s="1063"/>
      <c r="I442" s="1063"/>
      <c r="J442" s="1063"/>
      <c r="K442" s="8"/>
      <c r="R442" s="257" t="str">
        <f ca="1">IFERROR(OFFSET('4.3民生部門電力以外の排出削減取組'!$G$1,MATCH($D442,'4.3民生部門電力以外の排出削減取組'!$E:$E,0)-1,0),"")</f>
        <v/>
      </c>
      <c r="S442" s="177"/>
      <c r="T442" s="177"/>
      <c r="U442" s="177"/>
      <c r="V442" s="177"/>
      <c r="W442" s="177"/>
      <c r="X442" s="177"/>
      <c r="Y442" s="177"/>
      <c r="Z442" s="177"/>
      <c r="AA442" s="177">
        <f ca="1">(F442=R442)*1</f>
        <v>1</v>
      </c>
    </row>
    <row r="443" spans="1:27" customFormat="1">
      <c r="B443" s="7"/>
      <c r="C443" s="74"/>
      <c r="D443" s="66"/>
      <c r="E443" s="72" t="s">
        <v>282</v>
      </c>
      <c r="F443" s="1080" t="str">
        <f ca="1">IFERROR(OFFSET('4.3民生部門電力以外の排出削減取組'!$H$1,MATCH($D442,'4.3民生部門電力以外の排出削減取組'!$E:$E,0)-1,0),"")</f>
        <v/>
      </c>
      <c r="G443" s="1080"/>
      <c r="H443" s="1080"/>
      <c r="I443" s="1080"/>
      <c r="J443" s="1080"/>
      <c r="K443" s="8"/>
      <c r="R443" s="177" t="str">
        <f ca="1">IFERROR(OFFSET('4.3民生部門電力以外の排出削減取組'!$H$1,MATCH($D442,'4.3民生部門電力以外の排出削減取組'!$E:$E,0)-1,0),"")</f>
        <v/>
      </c>
      <c r="S443" s="177"/>
      <c r="T443" s="177"/>
      <c r="U443" s="177"/>
      <c r="V443" s="177"/>
      <c r="W443" s="177"/>
      <c r="X443" s="177"/>
      <c r="Y443" s="177"/>
      <c r="Z443" s="177"/>
      <c r="AA443" s="177">
        <f t="shared" ref="AA443:AA444" ca="1" si="232">(F443=R443)*1</f>
        <v>1</v>
      </c>
    </row>
    <row r="444" spans="1:27" customFormat="1">
      <c r="B444" s="7"/>
      <c r="C444" s="74"/>
      <c r="D444" s="66"/>
      <c r="E444" s="72" t="s">
        <v>176</v>
      </c>
      <c r="F444" s="1063" t="str">
        <f>_xlfn.IFNA(R444,"")</f>
        <v/>
      </c>
      <c r="G444" s="1063"/>
      <c r="H444" s="1063"/>
      <c r="I444" s="1063"/>
      <c r="J444" s="1063"/>
      <c r="K444" s="8"/>
      <c r="R444" s="131" t="str">
        <f>IF(OR(COUNTIF($E446:$E451,"&lt;&gt;〇〇(合意形成対象者名に書き換え)")=3,COUNTIF($E446:$E451,"")&gt;3),"",IF(PRODUCT($Y446:$Y451)=1,Z446,""))</f>
        <v/>
      </c>
      <c r="S444" s="177"/>
      <c r="T444" s="177"/>
      <c r="U444" s="177"/>
      <c r="V444" s="177"/>
      <c r="W444" s="177"/>
      <c r="X444" s="177"/>
      <c r="Y444" s="177"/>
      <c r="Z444" s="177"/>
      <c r="AA444" s="177">
        <f t="shared" si="232"/>
        <v>1</v>
      </c>
    </row>
    <row r="445" spans="1:27" ht="63.75" customHeight="1">
      <c r="B445" s="97"/>
      <c r="C445" s="98"/>
      <c r="D445" s="99"/>
      <c r="E445" s="895"/>
      <c r="F445" s="315" t="s">
        <v>280</v>
      </c>
      <c r="G445" s="315" t="s">
        <v>270</v>
      </c>
      <c r="H445" s="315" t="s">
        <v>443</v>
      </c>
      <c r="I445" s="315" t="s">
        <v>445</v>
      </c>
      <c r="J445" s="315" t="s">
        <v>281</v>
      </c>
      <c r="K445" s="100"/>
      <c r="L445" s="11"/>
      <c r="R445" s="128" t="s">
        <v>280</v>
      </c>
      <c r="S445" s="128" t="s">
        <v>446</v>
      </c>
      <c r="T445" s="297" t="s">
        <v>443</v>
      </c>
      <c r="U445" s="297" t="s">
        <v>444</v>
      </c>
      <c r="V445" s="258" t="s">
        <v>272</v>
      </c>
      <c r="W445" s="128" t="s">
        <v>432</v>
      </c>
      <c r="X445" s="131" t="s">
        <v>408</v>
      </c>
      <c r="Y445" s="131" t="s">
        <v>436</v>
      </c>
      <c r="Z445" s="128" t="s">
        <v>431</v>
      </c>
      <c r="AA445" s="257"/>
    </row>
    <row r="446" spans="1:27" hidden="1">
      <c r="B446" s="97"/>
      <c r="C446" s="98"/>
      <c r="D446" s="99"/>
      <c r="E446" s="896"/>
      <c r="F446" s="441"/>
      <c r="G446" s="441"/>
      <c r="H446" s="445"/>
      <c r="I446" s="445"/>
      <c r="J446" s="441"/>
      <c r="K446" s="100"/>
      <c r="L446" s="11"/>
      <c r="R446" s="131">
        <f t="shared" ref="R446:R451" si="233">IF(F446="実施済",1,0)</f>
        <v>0</v>
      </c>
      <c r="S446" s="131">
        <f t="shared" ref="S446:S451" si="234">IF(G446="実施済",R446*1,0)</f>
        <v>0</v>
      </c>
      <c r="T446" s="131">
        <f t="shared" ref="T446:T451" si="235">IF(H446="実施済",S446*1,0)</f>
        <v>0</v>
      </c>
      <c r="U446" s="131">
        <f t="shared" ref="U446:U451" si="236">IF(I446="実施済",T446*1,0)</f>
        <v>0</v>
      </c>
      <c r="V446" s="260"/>
      <c r="W446" s="131" t="str">
        <f>IF(OR(E446="〇〇(合意形成対象者名に書き換え)",E446=""),"",SUM(S446,T446,U446))</f>
        <v/>
      </c>
      <c r="X446" s="131">
        <f t="shared" ref="X446:X451" si="237">MIN($W$446:$W$451)+1</f>
        <v>1</v>
      </c>
      <c r="Y446" s="131">
        <f>IF(E446="",1,IF(AND(E446="〇〇(合意形成対象者名に書き換え)",COUNTA($F446:$J446)=0),1,IF(AND(E446&lt;&gt;"〇〇(合意形成対象者名に書き換え)",COUNTA($F446:$J446)=5),1,0)))</f>
        <v>1</v>
      </c>
      <c r="Z446" s="131" t="str" cm="1">
        <f t="array" ref="Z446">_xlfn.IFS(X446=4,"A",X446=3,"B",X446=2,"C",X446=1,"D")</f>
        <v>D</v>
      </c>
      <c r="AA446" s="257"/>
    </row>
    <row r="447" spans="1:27">
      <c r="B447" s="97"/>
      <c r="C447" s="98"/>
      <c r="D447" s="99"/>
      <c r="E447" s="897" t="s">
        <v>129</v>
      </c>
      <c r="F447" s="448"/>
      <c r="G447" s="448"/>
      <c r="H447" s="447"/>
      <c r="I447" s="447"/>
      <c r="J447" s="448"/>
      <c r="K447" s="100"/>
      <c r="L447" s="11"/>
      <c r="R447" s="131">
        <f t="shared" si="233"/>
        <v>0</v>
      </c>
      <c r="S447" s="131">
        <f t="shared" si="234"/>
        <v>0</v>
      </c>
      <c r="T447" s="131">
        <f t="shared" si="235"/>
        <v>0</v>
      </c>
      <c r="U447" s="131">
        <f t="shared" si="236"/>
        <v>0</v>
      </c>
      <c r="V447" s="260"/>
      <c r="W447" s="131" t="str">
        <f t="shared" ref="W447:W451" si="238">IF(OR(E447="〇〇(合意形成対象者名に書き換え)",E447=""),"",SUM(S447,T447,U447))</f>
        <v/>
      </c>
      <c r="X447" s="131">
        <f t="shared" si="237"/>
        <v>1</v>
      </c>
      <c r="Y447" s="131">
        <f t="shared" ref="Y447:Y451" si="239">IF(E447="",1,IF(AND(E447="〇〇(合意形成対象者名に書き換え)",COUNTA($F447:$J447)=0),1,IF(AND(E447&lt;&gt;"〇〇(合意形成対象者名に書き換え)",COUNTA($F447:$J447)=5),1,0)))</f>
        <v>1</v>
      </c>
      <c r="Z447" s="131" t="str" cm="1">
        <f t="array" ref="Z447">_xlfn.IFS(X447=4,"A",X447=3,"B",X447=2,"C",X447=1,"D")</f>
        <v>D</v>
      </c>
      <c r="AA447" s="257"/>
    </row>
    <row r="448" spans="1:27">
      <c r="B448" s="97"/>
      <c r="C448" s="98"/>
      <c r="D448" s="99"/>
      <c r="E448" s="897" t="s">
        <v>129</v>
      </c>
      <c r="F448" s="443"/>
      <c r="G448" s="443"/>
      <c r="H448" s="449"/>
      <c r="I448" s="449"/>
      <c r="J448" s="443"/>
      <c r="K448" s="100"/>
      <c r="L448" s="11"/>
      <c r="R448" s="131">
        <f t="shared" si="233"/>
        <v>0</v>
      </c>
      <c r="S448" s="131">
        <f t="shared" si="234"/>
        <v>0</v>
      </c>
      <c r="T448" s="131">
        <f t="shared" si="235"/>
        <v>0</v>
      </c>
      <c r="U448" s="131">
        <f t="shared" si="236"/>
        <v>0</v>
      </c>
      <c r="V448" s="260"/>
      <c r="W448" s="131" t="str">
        <f t="shared" si="238"/>
        <v/>
      </c>
      <c r="X448" s="131">
        <f t="shared" si="237"/>
        <v>1</v>
      </c>
      <c r="Y448" s="131">
        <f t="shared" si="239"/>
        <v>1</v>
      </c>
      <c r="Z448" s="131" t="str" cm="1">
        <f t="array" ref="Z448">_xlfn.IFS(X448=4,"A",X448=3,"B",X448=2,"C",X448=1,"D")</f>
        <v>D</v>
      </c>
      <c r="AA448" s="257"/>
    </row>
    <row r="449" spans="1:27" s="101" customFormat="1">
      <c r="A449" s="11"/>
      <c r="B449" s="97"/>
      <c r="C449" s="98"/>
      <c r="D449" s="99"/>
      <c r="E449" s="897" t="s">
        <v>129</v>
      </c>
      <c r="F449" s="443"/>
      <c r="G449" s="443"/>
      <c r="H449" s="449"/>
      <c r="I449" s="449"/>
      <c r="J449" s="443"/>
      <c r="K449" s="100"/>
      <c r="L449" s="11"/>
      <c r="O449" s="11"/>
      <c r="P449" s="11"/>
      <c r="Q449" s="11"/>
      <c r="R449" s="131">
        <f t="shared" si="233"/>
        <v>0</v>
      </c>
      <c r="S449" s="131">
        <f t="shared" si="234"/>
        <v>0</v>
      </c>
      <c r="T449" s="131">
        <f t="shared" si="235"/>
        <v>0</v>
      </c>
      <c r="U449" s="131">
        <f t="shared" si="236"/>
        <v>0</v>
      </c>
      <c r="V449" s="260"/>
      <c r="W449" s="131" t="str">
        <f t="shared" si="238"/>
        <v/>
      </c>
      <c r="X449" s="131">
        <f t="shared" si="237"/>
        <v>1</v>
      </c>
      <c r="Y449" s="131">
        <f t="shared" si="239"/>
        <v>1</v>
      </c>
      <c r="Z449" s="131" t="str" cm="1">
        <f t="array" ref="Z449">_xlfn.IFS(X449=4,"A",X449=3,"B",X449=2,"C",X449=1,"D")</f>
        <v>D</v>
      </c>
      <c r="AA449" s="131"/>
    </row>
    <row r="450" spans="1:27" customFormat="1" ht="7.5" customHeight="1">
      <c r="B450" s="65"/>
      <c r="C450" s="4"/>
      <c r="D450" s="4"/>
      <c r="E450" s="290"/>
      <c r="F450" s="4"/>
      <c r="G450" s="4"/>
      <c r="H450" s="4"/>
      <c r="I450" s="4"/>
      <c r="J450" s="4"/>
      <c r="K450" s="9"/>
      <c r="L450" s="2"/>
      <c r="M450" s="2"/>
      <c r="N450" s="2"/>
      <c r="R450" s="131">
        <f t="shared" si="233"/>
        <v>0</v>
      </c>
      <c r="S450" s="131">
        <f t="shared" si="234"/>
        <v>0</v>
      </c>
      <c r="T450" s="131">
        <f t="shared" si="235"/>
        <v>0</v>
      </c>
      <c r="U450" s="131">
        <f t="shared" si="236"/>
        <v>0</v>
      </c>
      <c r="V450" s="260"/>
      <c r="W450" s="131" t="str">
        <f t="shared" si="238"/>
        <v/>
      </c>
      <c r="X450" s="131">
        <f t="shared" si="237"/>
        <v>1</v>
      </c>
      <c r="Y450" s="131">
        <f t="shared" si="239"/>
        <v>1</v>
      </c>
      <c r="Z450" s="131" t="str" cm="1">
        <f t="array" ref="Z450">_xlfn.IFS(X450=4,"A",X450=3,"B",X450=2,"C",X450=1,"D")</f>
        <v>D</v>
      </c>
      <c r="AA450" s="177"/>
    </row>
    <row r="451" spans="1:27" customFormat="1" ht="6" customHeight="1">
      <c r="E451" s="3"/>
      <c r="L451" s="2"/>
      <c r="M451" s="2"/>
      <c r="N451" s="2"/>
      <c r="R451" s="131">
        <f t="shared" si="233"/>
        <v>0</v>
      </c>
      <c r="S451" s="131">
        <f t="shared" si="234"/>
        <v>0</v>
      </c>
      <c r="T451" s="131">
        <f t="shared" si="235"/>
        <v>0</v>
      </c>
      <c r="U451" s="131">
        <f t="shared" si="236"/>
        <v>0</v>
      </c>
      <c r="V451" s="260"/>
      <c r="W451" s="131" t="str">
        <f t="shared" si="238"/>
        <v/>
      </c>
      <c r="X451" s="131">
        <f t="shared" si="237"/>
        <v>1</v>
      </c>
      <c r="Y451" s="131">
        <f t="shared" si="239"/>
        <v>1</v>
      </c>
      <c r="Z451" s="131" t="str" cm="1">
        <f t="array" ref="Z451">_xlfn.IFS(X451=4,"A",X451=3,"B",X451=2,"C",X451=1,"D")</f>
        <v>D</v>
      </c>
      <c r="AA451" s="177"/>
    </row>
    <row r="452" spans="1:27" customFormat="1" ht="103.5" customHeight="1">
      <c r="C452" s="78"/>
      <c r="D452" s="79"/>
      <c r="E452" s="71" t="s">
        <v>238</v>
      </c>
      <c r="F452" s="1057"/>
      <c r="G452" s="1057"/>
      <c r="H452" s="1057"/>
      <c r="I452" s="1057"/>
      <c r="J452" s="1057"/>
      <c r="K452" s="80" t="s">
        <v>132</v>
      </c>
      <c r="L452" s="80"/>
    </row>
    <row r="453" spans="1:27" customFormat="1" ht="146.25" customHeight="1">
      <c r="C453" s="75"/>
      <c r="D453" s="68"/>
      <c r="E453" s="71" t="s">
        <v>237</v>
      </c>
      <c r="F453" s="1057"/>
      <c r="G453" s="1057"/>
      <c r="H453" s="1057"/>
      <c r="I453" s="1057"/>
      <c r="J453" s="1057"/>
      <c r="L453" s="2"/>
      <c r="M453" s="2"/>
      <c r="N453" s="2"/>
    </row>
    <row r="454" spans="1:27" customFormat="1" ht="13.5" customHeight="1" thickBot="1">
      <c r="A454" s="81"/>
      <c r="B454" s="81"/>
      <c r="C454" s="81"/>
      <c r="D454" s="81"/>
      <c r="E454" s="313"/>
      <c r="F454" s="81"/>
      <c r="G454" s="81"/>
      <c r="H454" s="81"/>
      <c r="I454" s="81"/>
      <c r="J454" s="81"/>
      <c r="K454" s="81"/>
      <c r="L454" s="82"/>
      <c r="M454" s="2"/>
      <c r="N454" s="2"/>
    </row>
  </sheetData>
  <sheetProtection algorithmName="SHA-512" hashValue="3KNHACyX3couZw2XVuErrxQsUFZc++GqdZ7pYqunJe4XsrE23prxnJ5QDsbq6hxBhI2/wr+Fqkqb+LY2QdqOzg==" saltValue="r7lffRAsOH5bLTEBj5RCEw==" spinCount="100000" sheet="1" formatCells="0" insertRows="0" deleteRows="0"/>
  <mergeCells count="151">
    <mergeCell ref="F22:J22"/>
    <mergeCell ref="F23:J23"/>
    <mergeCell ref="F24:J24"/>
    <mergeCell ref="F32:J32"/>
    <mergeCell ref="F33:J33"/>
    <mergeCell ref="F17:J17"/>
    <mergeCell ref="F18:J18"/>
    <mergeCell ref="B2:K2"/>
    <mergeCell ref="F7:J7"/>
    <mergeCell ref="F8:J8"/>
    <mergeCell ref="F9:J9"/>
    <mergeCell ref="F52:J52"/>
    <mergeCell ref="F53:J53"/>
    <mergeCell ref="F54:J54"/>
    <mergeCell ref="F62:J62"/>
    <mergeCell ref="F63:J63"/>
    <mergeCell ref="F37:J37"/>
    <mergeCell ref="F38:J38"/>
    <mergeCell ref="F39:J39"/>
    <mergeCell ref="F47:J47"/>
    <mergeCell ref="F48:J48"/>
    <mergeCell ref="F82:J82"/>
    <mergeCell ref="F83:J83"/>
    <mergeCell ref="F84:J84"/>
    <mergeCell ref="F92:J92"/>
    <mergeCell ref="F93:J93"/>
    <mergeCell ref="F67:J67"/>
    <mergeCell ref="F68:J68"/>
    <mergeCell ref="F69:J69"/>
    <mergeCell ref="F77:J77"/>
    <mergeCell ref="F78:J78"/>
    <mergeCell ref="F112:J112"/>
    <mergeCell ref="F113:J113"/>
    <mergeCell ref="F114:J114"/>
    <mergeCell ref="F122:J122"/>
    <mergeCell ref="F123:J123"/>
    <mergeCell ref="F97:J97"/>
    <mergeCell ref="F98:J98"/>
    <mergeCell ref="F99:J99"/>
    <mergeCell ref="F107:J107"/>
    <mergeCell ref="F108:J108"/>
    <mergeCell ref="F142:J142"/>
    <mergeCell ref="F143:J143"/>
    <mergeCell ref="F144:J144"/>
    <mergeCell ref="F152:J152"/>
    <mergeCell ref="F153:J153"/>
    <mergeCell ref="F127:J127"/>
    <mergeCell ref="F128:J128"/>
    <mergeCell ref="F129:J129"/>
    <mergeCell ref="F137:J137"/>
    <mergeCell ref="F138:J138"/>
    <mergeCell ref="F172:J172"/>
    <mergeCell ref="F173:J173"/>
    <mergeCell ref="F174:J174"/>
    <mergeCell ref="F182:J182"/>
    <mergeCell ref="F183:J183"/>
    <mergeCell ref="F157:J157"/>
    <mergeCell ref="F158:J158"/>
    <mergeCell ref="F159:J159"/>
    <mergeCell ref="F167:J167"/>
    <mergeCell ref="F168:J168"/>
    <mergeCell ref="F202:J202"/>
    <mergeCell ref="F203:J203"/>
    <mergeCell ref="F204:J204"/>
    <mergeCell ref="F212:J212"/>
    <mergeCell ref="F213:J213"/>
    <mergeCell ref="F187:J187"/>
    <mergeCell ref="F188:J188"/>
    <mergeCell ref="F189:J189"/>
    <mergeCell ref="F197:J197"/>
    <mergeCell ref="F198:J198"/>
    <mergeCell ref="F232:J232"/>
    <mergeCell ref="F233:J233"/>
    <mergeCell ref="F234:J234"/>
    <mergeCell ref="F242:J242"/>
    <mergeCell ref="F243:J243"/>
    <mergeCell ref="F217:J217"/>
    <mergeCell ref="F218:J218"/>
    <mergeCell ref="F219:J219"/>
    <mergeCell ref="F227:J227"/>
    <mergeCell ref="F228:J228"/>
    <mergeCell ref="F262:J262"/>
    <mergeCell ref="F263:J263"/>
    <mergeCell ref="F264:J264"/>
    <mergeCell ref="F272:J272"/>
    <mergeCell ref="F273:J273"/>
    <mergeCell ref="F247:J247"/>
    <mergeCell ref="F248:J248"/>
    <mergeCell ref="F249:J249"/>
    <mergeCell ref="F257:J257"/>
    <mergeCell ref="F258:J258"/>
    <mergeCell ref="F292:J292"/>
    <mergeCell ref="F293:J293"/>
    <mergeCell ref="F294:J294"/>
    <mergeCell ref="F302:J302"/>
    <mergeCell ref="F303:J303"/>
    <mergeCell ref="F277:J277"/>
    <mergeCell ref="F278:J278"/>
    <mergeCell ref="F279:J279"/>
    <mergeCell ref="F287:J287"/>
    <mergeCell ref="F288:J288"/>
    <mergeCell ref="F322:J322"/>
    <mergeCell ref="F323:J323"/>
    <mergeCell ref="F324:J324"/>
    <mergeCell ref="F332:J332"/>
    <mergeCell ref="F333:J333"/>
    <mergeCell ref="F307:J307"/>
    <mergeCell ref="F308:J308"/>
    <mergeCell ref="F309:J309"/>
    <mergeCell ref="F317:J317"/>
    <mergeCell ref="F318:J318"/>
    <mergeCell ref="F352:J352"/>
    <mergeCell ref="F353:J353"/>
    <mergeCell ref="F354:J354"/>
    <mergeCell ref="F362:J362"/>
    <mergeCell ref="F363:J363"/>
    <mergeCell ref="F337:J337"/>
    <mergeCell ref="F338:J338"/>
    <mergeCell ref="F339:J339"/>
    <mergeCell ref="F347:J347"/>
    <mergeCell ref="F348:J348"/>
    <mergeCell ref="F382:J382"/>
    <mergeCell ref="F383:J383"/>
    <mergeCell ref="F384:J384"/>
    <mergeCell ref="F392:J392"/>
    <mergeCell ref="F393:J393"/>
    <mergeCell ref="F367:J367"/>
    <mergeCell ref="F368:J368"/>
    <mergeCell ref="F369:J369"/>
    <mergeCell ref="F377:J377"/>
    <mergeCell ref="F378:J378"/>
    <mergeCell ref="F412:J412"/>
    <mergeCell ref="F413:J413"/>
    <mergeCell ref="F414:J414"/>
    <mergeCell ref="F422:J422"/>
    <mergeCell ref="F423:J423"/>
    <mergeCell ref="F397:J397"/>
    <mergeCell ref="F398:J398"/>
    <mergeCell ref="F399:J399"/>
    <mergeCell ref="F407:J407"/>
    <mergeCell ref="F408:J408"/>
    <mergeCell ref="F442:J442"/>
    <mergeCell ref="F443:J443"/>
    <mergeCell ref="F444:J444"/>
    <mergeCell ref="F452:J452"/>
    <mergeCell ref="F453:J453"/>
    <mergeCell ref="F427:J427"/>
    <mergeCell ref="F428:J428"/>
    <mergeCell ref="F429:J429"/>
    <mergeCell ref="F437:J437"/>
    <mergeCell ref="F438:J438"/>
  </mergeCells>
  <phoneticPr fontId="1"/>
  <conditionalFormatting sqref="C22">
    <cfRule type="containsBlanks" dxfId="318" priority="982">
      <formula>LEN(TRIM(C22))=0</formula>
    </cfRule>
  </conditionalFormatting>
  <conditionalFormatting sqref="C37">
    <cfRule type="containsBlanks" dxfId="317" priority="981">
      <formula>LEN(TRIM(C37))=0</formula>
    </cfRule>
  </conditionalFormatting>
  <conditionalFormatting sqref="C52">
    <cfRule type="containsBlanks" dxfId="316" priority="980">
      <formula>LEN(TRIM(C52))=0</formula>
    </cfRule>
  </conditionalFormatting>
  <conditionalFormatting sqref="C67">
    <cfRule type="containsBlanks" dxfId="315" priority="979">
      <formula>LEN(TRIM(C67))=0</formula>
    </cfRule>
  </conditionalFormatting>
  <conditionalFormatting sqref="C82">
    <cfRule type="containsBlanks" dxfId="314" priority="978">
      <formula>LEN(TRIM(C82))=0</formula>
    </cfRule>
  </conditionalFormatting>
  <conditionalFormatting sqref="C97">
    <cfRule type="containsBlanks" dxfId="313" priority="977">
      <formula>LEN(TRIM(C97))=0</formula>
    </cfRule>
  </conditionalFormatting>
  <conditionalFormatting sqref="C112">
    <cfRule type="containsBlanks" dxfId="312" priority="976">
      <formula>LEN(TRIM(C112))=0</formula>
    </cfRule>
  </conditionalFormatting>
  <conditionalFormatting sqref="C127">
    <cfRule type="containsBlanks" dxfId="311" priority="975">
      <formula>LEN(TRIM(C127))=0</formula>
    </cfRule>
  </conditionalFormatting>
  <conditionalFormatting sqref="C142">
    <cfRule type="containsBlanks" dxfId="310" priority="974">
      <formula>LEN(TRIM(C142))=0</formula>
    </cfRule>
  </conditionalFormatting>
  <conditionalFormatting sqref="C157">
    <cfRule type="containsBlanks" dxfId="309" priority="973">
      <formula>LEN(TRIM(C157))=0</formula>
    </cfRule>
  </conditionalFormatting>
  <conditionalFormatting sqref="C172">
    <cfRule type="containsBlanks" dxfId="308" priority="972">
      <formula>LEN(TRIM(C172))=0</formula>
    </cfRule>
  </conditionalFormatting>
  <conditionalFormatting sqref="C187">
    <cfRule type="containsBlanks" dxfId="307" priority="971">
      <formula>LEN(TRIM(C187))=0</formula>
    </cfRule>
  </conditionalFormatting>
  <conditionalFormatting sqref="C202">
    <cfRule type="containsBlanks" dxfId="306" priority="970">
      <formula>LEN(TRIM(C202))=0</formula>
    </cfRule>
  </conditionalFormatting>
  <conditionalFormatting sqref="C217">
    <cfRule type="containsBlanks" dxfId="305" priority="969">
      <formula>LEN(TRIM(C217))=0</formula>
    </cfRule>
  </conditionalFormatting>
  <conditionalFormatting sqref="C232">
    <cfRule type="containsBlanks" dxfId="304" priority="968">
      <formula>LEN(TRIM(C232))=0</formula>
    </cfRule>
  </conditionalFormatting>
  <conditionalFormatting sqref="C247">
    <cfRule type="containsBlanks" dxfId="303" priority="967">
      <formula>LEN(TRIM(C247))=0</formula>
    </cfRule>
  </conditionalFormatting>
  <conditionalFormatting sqref="C262">
    <cfRule type="containsBlanks" dxfId="302" priority="966">
      <formula>LEN(TRIM(C262))=0</formula>
    </cfRule>
  </conditionalFormatting>
  <conditionalFormatting sqref="C277">
    <cfRule type="containsBlanks" dxfId="301" priority="965">
      <formula>LEN(TRIM(C277))=0</formula>
    </cfRule>
  </conditionalFormatting>
  <conditionalFormatting sqref="C292">
    <cfRule type="containsBlanks" dxfId="300" priority="964">
      <formula>LEN(TRIM(C292))=0</formula>
    </cfRule>
  </conditionalFormatting>
  <conditionalFormatting sqref="C307">
    <cfRule type="containsBlanks" dxfId="299" priority="963">
      <formula>LEN(TRIM(C307))=0</formula>
    </cfRule>
  </conditionalFormatting>
  <conditionalFormatting sqref="C322">
    <cfRule type="containsBlanks" dxfId="298" priority="962">
      <formula>LEN(TRIM(C322))=0</formula>
    </cfRule>
  </conditionalFormatting>
  <conditionalFormatting sqref="C337">
    <cfRule type="containsBlanks" dxfId="297" priority="961">
      <formula>LEN(TRIM(C337))=0</formula>
    </cfRule>
  </conditionalFormatting>
  <conditionalFormatting sqref="C352">
    <cfRule type="containsBlanks" dxfId="296" priority="960">
      <formula>LEN(TRIM(C352))=0</formula>
    </cfRule>
  </conditionalFormatting>
  <conditionalFormatting sqref="C367">
    <cfRule type="containsBlanks" dxfId="295" priority="959">
      <formula>LEN(TRIM(C367))=0</formula>
    </cfRule>
  </conditionalFormatting>
  <conditionalFormatting sqref="C382">
    <cfRule type="containsBlanks" dxfId="294" priority="958">
      <formula>LEN(TRIM(C382))=0</formula>
    </cfRule>
  </conditionalFormatting>
  <conditionalFormatting sqref="C397">
    <cfRule type="containsBlanks" dxfId="293" priority="957">
      <formula>LEN(TRIM(C397))=0</formula>
    </cfRule>
  </conditionalFormatting>
  <conditionalFormatting sqref="C412">
    <cfRule type="containsBlanks" dxfId="292" priority="956">
      <formula>LEN(TRIM(C412))=0</formula>
    </cfRule>
  </conditionalFormatting>
  <conditionalFormatting sqref="C427">
    <cfRule type="containsBlanks" dxfId="291" priority="955">
      <formula>LEN(TRIM(C427))=0</formula>
    </cfRule>
  </conditionalFormatting>
  <conditionalFormatting sqref="C442">
    <cfRule type="containsBlanks" dxfId="290" priority="954">
      <formula>LEN(TRIM(C442))=0</formula>
    </cfRule>
  </conditionalFormatting>
  <conditionalFormatting sqref="C15:D15">
    <cfRule type="expression" dxfId="289" priority="327">
      <formula>$E17="懸念事項"</formula>
    </cfRule>
  </conditionalFormatting>
  <conditionalFormatting sqref="C30:D30">
    <cfRule type="expression" dxfId="288" priority="230">
      <formula>$E32="懸念事項"</formula>
    </cfRule>
  </conditionalFormatting>
  <conditionalFormatting sqref="C45:D45">
    <cfRule type="expression" dxfId="287" priority="226">
      <formula>$E47="懸念事項"</formula>
    </cfRule>
  </conditionalFormatting>
  <conditionalFormatting sqref="C60:D60">
    <cfRule type="expression" dxfId="286" priority="222">
      <formula>$E62="懸念事項"</formula>
    </cfRule>
  </conditionalFormatting>
  <conditionalFormatting sqref="C75:D75">
    <cfRule type="expression" dxfId="285" priority="218">
      <formula>$E77="懸念事項"</formula>
    </cfRule>
  </conditionalFormatting>
  <conditionalFormatting sqref="C90:D90">
    <cfRule type="expression" dxfId="284" priority="214">
      <formula>$E92="懸念事項"</formula>
    </cfRule>
  </conditionalFormatting>
  <conditionalFormatting sqref="C105:D105">
    <cfRule type="expression" dxfId="283" priority="210">
      <formula>$E107="懸念事項"</formula>
    </cfRule>
  </conditionalFormatting>
  <conditionalFormatting sqref="C120:D120">
    <cfRule type="expression" dxfId="282" priority="206">
      <formula>$E122="懸念事項"</formula>
    </cfRule>
  </conditionalFormatting>
  <conditionalFormatting sqref="C135:D135">
    <cfRule type="expression" dxfId="281" priority="202">
      <formula>$E137="懸念事項"</formula>
    </cfRule>
  </conditionalFormatting>
  <conditionalFormatting sqref="C150:D150">
    <cfRule type="expression" dxfId="280" priority="198">
      <formula>$E152="懸念事項"</formula>
    </cfRule>
  </conditionalFormatting>
  <conditionalFormatting sqref="C165:D165">
    <cfRule type="expression" dxfId="279" priority="194">
      <formula>$E167="懸念事項"</formula>
    </cfRule>
  </conditionalFormatting>
  <conditionalFormatting sqref="C180:D180">
    <cfRule type="expression" dxfId="278" priority="190">
      <formula>$E182="懸念事項"</formula>
    </cfRule>
  </conditionalFormatting>
  <conditionalFormatting sqref="C195:D195">
    <cfRule type="expression" dxfId="277" priority="186">
      <formula>$E197="懸念事項"</formula>
    </cfRule>
  </conditionalFormatting>
  <conditionalFormatting sqref="C210:D210">
    <cfRule type="expression" dxfId="276" priority="182">
      <formula>$E212="懸念事項"</formula>
    </cfRule>
  </conditionalFormatting>
  <conditionalFormatting sqref="C225:D225">
    <cfRule type="expression" dxfId="275" priority="178">
      <formula>$E227="懸念事項"</formula>
    </cfRule>
  </conditionalFormatting>
  <conditionalFormatting sqref="C240:D240">
    <cfRule type="expression" dxfId="274" priority="174">
      <formula>$E242="懸念事項"</formula>
    </cfRule>
  </conditionalFormatting>
  <conditionalFormatting sqref="C255:D255">
    <cfRule type="expression" dxfId="273" priority="170">
      <formula>$E257="懸念事項"</formula>
    </cfRule>
  </conditionalFormatting>
  <conditionalFormatting sqref="C270:D270">
    <cfRule type="expression" dxfId="272" priority="166">
      <formula>$E272="懸念事項"</formula>
    </cfRule>
  </conditionalFormatting>
  <conditionalFormatting sqref="C285:D285">
    <cfRule type="expression" dxfId="271" priority="162">
      <formula>$E287="懸念事項"</formula>
    </cfRule>
  </conditionalFormatting>
  <conditionalFormatting sqref="C300:D300">
    <cfRule type="expression" dxfId="270" priority="158">
      <formula>$E302="懸念事項"</formula>
    </cfRule>
  </conditionalFormatting>
  <conditionalFormatting sqref="C315:D315">
    <cfRule type="expression" dxfId="269" priority="154">
      <formula>$E317="懸念事項"</formula>
    </cfRule>
  </conditionalFormatting>
  <conditionalFormatting sqref="C330:D330">
    <cfRule type="expression" dxfId="268" priority="150">
      <formula>$E332="懸念事項"</formula>
    </cfRule>
  </conditionalFormatting>
  <conditionalFormatting sqref="C345:D345">
    <cfRule type="expression" dxfId="267" priority="146">
      <formula>$E347="懸念事項"</formula>
    </cfRule>
  </conditionalFormatting>
  <conditionalFormatting sqref="C360:D360">
    <cfRule type="expression" dxfId="266" priority="142">
      <formula>$E362="懸念事項"</formula>
    </cfRule>
  </conditionalFormatting>
  <conditionalFormatting sqref="C375:D375">
    <cfRule type="expression" dxfId="265" priority="138">
      <formula>$E377="懸念事項"</formula>
    </cfRule>
  </conditionalFormatting>
  <conditionalFormatting sqref="C390:D390">
    <cfRule type="expression" dxfId="264" priority="134">
      <formula>$E392="懸念事項"</formula>
    </cfRule>
  </conditionalFormatting>
  <conditionalFormatting sqref="C405:D405">
    <cfRule type="expression" dxfId="263" priority="130">
      <formula>$E407="懸念事項"</formula>
    </cfRule>
  </conditionalFormatting>
  <conditionalFormatting sqref="C420:D420">
    <cfRule type="expression" dxfId="262" priority="126">
      <formula>$E422="懸念事項"</formula>
    </cfRule>
  </conditionalFormatting>
  <conditionalFormatting sqref="C435:D435">
    <cfRule type="expression" dxfId="261" priority="122">
      <formula>$E437="懸念事項"</formula>
    </cfRule>
  </conditionalFormatting>
  <conditionalFormatting sqref="C450:D450">
    <cfRule type="expression" dxfId="260" priority="118">
      <formula>$E452="懸念事項"</formula>
    </cfRule>
  </conditionalFormatting>
  <conditionalFormatting sqref="C10:J15">
    <cfRule type="expression" dxfId="259" priority="412">
      <formula>$R10=""</formula>
    </cfRule>
  </conditionalFormatting>
  <conditionalFormatting sqref="C25:J30">
    <cfRule type="expression" dxfId="258" priority="231">
      <formula>$R25=""</formula>
    </cfRule>
  </conditionalFormatting>
  <conditionalFormatting sqref="C40:J45">
    <cfRule type="expression" dxfId="257" priority="227">
      <formula>$R40=""</formula>
    </cfRule>
  </conditionalFormatting>
  <conditionalFormatting sqref="C55:J60">
    <cfRule type="expression" dxfId="256" priority="223">
      <formula>$R55=""</formula>
    </cfRule>
  </conditionalFormatting>
  <conditionalFormatting sqref="C70:J75">
    <cfRule type="expression" dxfId="255" priority="219">
      <formula>$R70=""</formula>
    </cfRule>
  </conditionalFormatting>
  <conditionalFormatting sqref="C85:J90">
    <cfRule type="expression" dxfId="254" priority="215">
      <formula>$R85=""</formula>
    </cfRule>
  </conditionalFormatting>
  <conditionalFormatting sqref="C100:J105">
    <cfRule type="expression" dxfId="253" priority="211">
      <formula>$R100=""</formula>
    </cfRule>
  </conditionalFormatting>
  <conditionalFormatting sqref="C115:J120">
    <cfRule type="expression" dxfId="252" priority="207">
      <formula>$R115=""</formula>
    </cfRule>
  </conditionalFormatting>
  <conditionalFormatting sqref="C130:J135">
    <cfRule type="expression" dxfId="251" priority="203">
      <formula>$R130=""</formula>
    </cfRule>
  </conditionalFormatting>
  <conditionalFormatting sqref="C145:J150">
    <cfRule type="expression" dxfId="250" priority="199">
      <formula>$R145=""</formula>
    </cfRule>
  </conditionalFormatting>
  <conditionalFormatting sqref="C160:J165">
    <cfRule type="expression" dxfId="249" priority="195">
      <formula>$R160=""</formula>
    </cfRule>
  </conditionalFormatting>
  <conditionalFormatting sqref="C175:J180">
    <cfRule type="expression" dxfId="248" priority="191">
      <formula>$R175=""</formula>
    </cfRule>
  </conditionalFormatting>
  <conditionalFormatting sqref="C190:J195">
    <cfRule type="expression" dxfId="247" priority="187">
      <formula>$R190=""</formula>
    </cfRule>
  </conditionalFormatting>
  <conditionalFormatting sqref="C205:J210">
    <cfRule type="expression" dxfId="246" priority="183">
      <formula>$R205=""</formula>
    </cfRule>
  </conditionalFormatting>
  <conditionalFormatting sqref="C220:J225">
    <cfRule type="expression" dxfId="245" priority="179">
      <formula>$R220=""</formula>
    </cfRule>
  </conditionalFormatting>
  <conditionalFormatting sqref="C235:J240">
    <cfRule type="expression" dxfId="244" priority="175">
      <formula>$R235=""</formula>
    </cfRule>
  </conditionalFormatting>
  <conditionalFormatting sqref="C250:J255">
    <cfRule type="expression" dxfId="243" priority="171">
      <formula>$R250=""</formula>
    </cfRule>
  </conditionalFormatting>
  <conditionalFormatting sqref="C265:J270">
    <cfRule type="expression" dxfId="242" priority="167">
      <formula>$R265=""</formula>
    </cfRule>
  </conditionalFormatting>
  <conditionalFormatting sqref="C280:J285">
    <cfRule type="expression" dxfId="241" priority="163">
      <formula>$R280=""</formula>
    </cfRule>
  </conditionalFormatting>
  <conditionalFormatting sqref="C295:J300">
    <cfRule type="expression" dxfId="240" priority="159">
      <formula>$R295=""</formula>
    </cfRule>
  </conditionalFormatting>
  <conditionalFormatting sqref="C310:J315">
    <cfRule type="expression" dxfId="239" priority="155">
      <formula>$R310=""</formula>
    </cfRule>
  </conditionalFormatting>
  <conditionalFormatting sqref="C325:J330">
    <cfRule type="expression" dxfId="238" priority="151">
      <formula>$R325=""</formula>
    </cfRule>
  </conditionalFormatting>
  <conditionalFormatting sqref="C340:J345">
    <cfRule type="expression" dxfId="237" priority="147">
      <formula>$R340=""</formula>
    </cfRule>
  </conditionalFormatting>
  <conditionalFormatting sqref="C355:J360">
    <cfRule type="expression" dxfId="236" priority="143">
      <formula>$R355=""</formula>
    </cfRule>
  </conditionalFormatting>
  <conditionalFormatting sqref="C370:J375">
    <cfRule type="expression" dxfId="235" priority="139">
      <formula>$R370=""</formula>
    </cfRule>
  </conditionalFormatting>
  <conditionalFormatting sqref="C385:J390">
    <cfRule type="expression" dxfId="234" priority="135">
      <formula>$R385=""</formula>
    </cfRule>
  </conditionalFormatting>
  <conditionalFormatting sqref="C400:J405">
    <cfRule type="expression" dxfId="233" priority="131">
      <formula>$R400=""</formula>
    </cfRule>
  </conditionalFormatting>
  <conditionalFormatting sqref="C415:J420">
    <cfRule type="expression" dxfId="232" priority="127">
      <formula>$R415=""</formula>
    </cfRule>
  </conditionalFormatting>
  <conditionalFormatting sqref="C430:J435">
    <cfRule type="expression" dxfId="231" priority="123">
      <formula>$R430=""</formula>
    </cfRule>
  </conditionalFormatting>
  <conditionalFormatting sqref="C445:J450">
    <cfRule type="expression" dxfId="230" priority="119">
      <formula>$R445=""</formula>
    </cfRule>
  </conditionalFormatting>
  <conditionalFormatting sqref="D7">
    <cfRule type="containsText" dxfId="229" priority="682" operator="containsText" text="選択してください">
      <formula>NOT(ISERROR(SEARCH("選択してください",D7)))</formula>
    </cfRule>
  </conditionalFormatting>
  <conditionalFormatting sqref="D22">
    <cfRule type="containsText" dxfId="228" priority="683" operator="containsText" text="選択してください">
      <formula>NOT(ISERROR(SEARCH("選択してください",D22)))</formula>
    </cfRule>
  </conditionalFormatting>
  <conditionalFormatting sqref="D37">
    <cfRule type="containsText" dxfId="227" priority="684" operator="containsText" text="選択してください">
      <formula>NOT(ISERROR(SEARCH("選択してください",D37)))</formula>
    </cfRule>
  </conditionalFormatting>
  <conditionalFormatting sqref="D52">
    <cfRule type="containsText" dxfId="226" priority="685" operator="containsText" text="選択してください">
      <formula>NOT(ISERROR(SEARCH("選択してください",D52)))</formula>
    </cfRule>
  </conditionalFormatting>
  <conditionalFormatting sqref="D67">
    <cfRule type="containsText" dxfId="225" priority="686" operator="containsText" text="選択してください">
      <formula>NOT(ISERROR(SEARCH("選択してください",D67)))</formula>
    </cfRule>
  </conditionalFormatting>
  <conditionalFormatting sqref="D82">
    <cfRule type="containsText" dxfId="224" priority="687" operator="containsText" text="選択してください">
      <formula>NOT(ISERROR(SEARCH("選択してください",D82)))</formula>
    </cfRule>
  </conditionalFormatting>
  <conditionalFormatting sqref="D97">
    <cfRule type="containsText" dxfId="223" priority="1248" operator="containsText" text="選択してください">
      <formula>NOT(ISERROR(SEARCH("選択してください",D97)))</formula>
    </cfRule>
  </conditionalFormatting>
  <conditionalFormatting sqref="D112">
    <cfRule type="containsText" dxfId="222" priority="1239" operator="containsText" text="選択してください">
      <formula>NOT(ISERROR(SEARCH("選択してください",D112)))</formula>
    </cfRule>
  </conditionalFormatting>
  <conditionalFormatting sqref="D127">
    <cfRule type="containsText" dxfId="221" priority="1230" operator="containsText" text="選択してください">
      <formula>NOT(ISERROR(SEARCH("選択してください",D127)))</formula>
    </cfRule>
  </conditionalFormatting>
  <conditionalFormatting sqref="D142">
    <cfRule type="containsText" dxfId="220" priority="1120" operator="containsText" text="選択してください">
      <formula>NOT(ISERROR(SEARCH("選択してください",D142)))</formula>
    </cfRule>
  </conditionalFormatting>
  <conditionalFormatting sqref="D157">
    <cfRule type="containsText" dxfId="219" priority="1212" operator="containsText" text="選択してください">
      <formula>NOT(ISERROR(SEARCH("選択してください",D157)))</formula>
    </cfRule>
  </conditionalFormatting>
  <conditionalFormatting sqref="D172">
    <cfRule type="containsText" dxfId="218" priority="1203" operator="containsText" text="選択してください">
      <formula>NOT(ISERROR(SEARCH("選択してください",D172)))</formula>
    </cfRule>
  </conditionalFormatting>
  <conditionalFormatting sqref="D187">
    <cfRule type="containsText" dxfId="217" priority="1194" operator="containsText" text="選択してください">
      <formula>NOT(ISERROR(SEARCH("選択してください",D187)))</formula>
    </cfRule>
  </conditionalFormatting>
  <conditionalFormatting sqref="D202">
    <cfRule type="containsText" dxfId="216" priority="1121" operator="containsText" text="選択してください">
      <formula>NOT(ISERROR(SEARCH("選択してください",D202)))</formula>
    </cfRule>
  </conditionalFormatting>
  <conditionalFormatting sqref="D217">
    <cfRule type="containsText" dxfId="215" priority="1176" operator="containsText" text="選択してください">
      <formula>NOT(ISERROR(SEARCH("選択してください",D217)))</formula>
    </cfRule>
  </conditionalFormatting>
  <conditionalFormatting sqref="D232">
    <cfRule type="containsText" dxfId="214" priority="1167" operator="containsText" text="選択してください">
      <formula>NOT(ISERROR(SEARCH("選択してください",D232)))</formula>
    </cfRule>
  </conditionalFormatting>
  <conditionalFormatting sqref="D247">
    <cfRule type="containsText" dxfId="213" priority="1158" operator="containsText" text="選択してください">
      <formula>NOT(ISERROR(SEARCH("選択してください",D247)))</formula>
    </cfRule>
  </conditionalFormatting>
  <conditionalFormatting sqref="D262">
    <cfRule type="containsText" dxfId="212" priority="1118" operator="containsText" text="選択してください">
      <formula>NOT(ISERROR(SEARCH("選択してください",D262)))</formula>
    </cfRule>
  </conditionalFormatting>
  <conditionalFormatting sqref="D277">
    <cfRule type="containsText" dxfId="211" priority="1140" operator="containsText" text="選択してください">
      <formula>NOT(ISERROR(SEARCH("選択してください",D277)))</formula>
    </cfRule>
  </conditionalFormatting>
  <conditionalFormatting sqref="D292">
    <cfRule type="containsText" dxfId="210" priority="1131" operator="containsText" text="選択してください">
      <formula>NOT(ISERROR(SEARCH("選択してください",D292)))</formula>
    </cfRule>
  </conditionalFormatting>
  <conditionalFormatting sqref="D307">
    <cfRule type="containsText" dxfId="209" priority="1122" operator="containsText" text="選択してください">
      <formula>NOT(ISERROR(SEARCH("選択してください",D307)))</formula>
    </cfRule>
  </conditionalFormatting>
  <conditionalFormatting sqref="D322">
    <cfRule type="containsText" dxfId="208" priority="1109" operator="containsText" text="選択してください">
      <formula>NOT(ISERROR(SEARCH("選択してください",D322)))</formula>
    </cfRule>
  </conditionalFormatting>
  <conditionalFormatting sqref="D337">
    <cfRule type="containsText" dxfId="207" priority="1100" operator="containsText" text="選択してください">
      <formula>NOT(ISERROR(SEARCH("選択してください",D337)))</formula>
    </cfRule>
  </conditionalFormatting>
  <conditionalFormatting sqref="D352">
    <cfRule type="containsText" dxfId="206" priority="1091" operator="containsText" text="選択してください">
      <formula>NOT(ISERROR(SEARCH("選択してください",D352)))</formula>
    </cfRule>
  </conditionalFormatting>
  <conditionalFormatting sqref="D367">
    <cfRule type="containsText" dxfId="205" priority="984" operator="containsText" text="選択してください">
      <formula>NOT(ISERROR(SEARCH("選択してください",D367)))</formula>
    </cfRule>
  </conditionalFormatting>
  <conditionalFormatting sqref="D382">
    <cfRule type="containsText" dxfId="204" priority="1074" operator="containsText" text="選択してください">
      <formula>NOT(ISERROR(SEARCH("選択してください",D382)))</formula>
    </cfRule>
  </conditionalFormatting>
  <conditionalFormatting sqref="D397">
    <cfRule type="containsText" dxfId="203" priority="1065" operator="containsText" text="選択してください">
      <formula>NOT(ISERROR(SEARCH("選択してください",D397)))</formula>
    </cfRule>
  </conditionalFormatting>
  <conditionalFormatting sqref="D412">
    <cfRule type="containsText" dxfId="202" priority="1056" operator="containsText" text="選択してください">
      <formula>NOT(ISERROR(SEARCH("選択してください",D412)))</formula>
    </cfRule>
  </conditionalFormatting>
  <conditionalFormatting sqref="D427">
    <cfRule type="containsText" dxfId="201" priority="985" operator="containsText" text="選択してください">
      <formula>NOT(ISERROR(SEARCH("選択してください",D427)))</formula>
    </cfRule>
  </conditionalFormatting>
  <conditionalFormatting sqref="D442">
    <cfRule type="containsText" dxfId="200" priority="1039" operator="containsText" text="選択してください">
      <formula>NOT(ISERROR(SEARCH("選択してください",D442)))</formula>
    </cfRule>
  </conditionalFormatting>
  <conditionalFormatting sqref="E11:E15">
    <cfRule type="containsText" dxfId="199" priority="413" operator="containsText" text="合意形成対象者">
      <formula>NOT(ISERROR(SEARCH("合意形成対象者",E11)))</formula>
    </cfRule>
  </conditionalFormatting>
  <conditionalFormatting sqref="E26:E30">
    <cfRule type="containsText" dxfId="198" priority="232" operator="containsText" text="合意形成対象者">
      <formula>NOT(ISERROR(SEARCH("合意形成対象者",E26)))</formula>
    </cfRule>
  </conditionalFormatting>
  <conditionalFormatting sqref="E41:E45">
    <cfRule type="containsText" dxfId="197" priority="228" operator="containsText" text="合意形成対象者">
      <formula>NOT(ISERROR(SEARCH("合意形成対象者",E41)))</formula>
    </cfRule>
  </conditionalFormatting>
  <conditionalFormatting sqref="E56:E60">
    <cfRule type="containsText" dxfId="196" priority="224" operator="containsText" text="合意形成対象者">
      <formula>NOT(ISERROR(SEARCH("合意形成対象者",E56)))</formula>
    </cfRule>
  </conditionalFormatting>
  <conditionalFormatting sqref="E71:E75">
    <cfRule type="containsText" dxfId="195" priority="220" operator="containsText" text="合意形成対象者">
      <formula>NOT(ISERROR(SEARCH("合意形成対象者",E71)))</formula>
    </cfRule>
  </conditionalFormatting>
  <conditionalFormatting sqref="E86:E90">
    <cfRule type="containsText" dxfId="194" priority="216" operator="containsText" text="合意形成対象者">
      <formula>NOT(ISERROR(SEARCH("合意形成対象者",E86)))</formula>
    </cfRule>
  </conditionalFormatting>
  <conditionalFormatting sqref="E101:E105">
    <cfRule type="containsText" dxfId="193" priority="212" operator="containsText" text="合意形成対象者">
      <formula>NOT(ISERROR(SEARCH("合意形成対象者",E101)))</formula>
    </cfRule>
  </conditionalFormatting>
  <conditionalFormatting sqref="E116:E120">
    <cfRule type="containsText" dxfId="192" priority="208" operator="containsText" text="合意形成対象者">
      <formula>NOT(ISERROR(SEARCH("合意形成対象者",E116)))</formula>
    </cfRule>
  </conditionalFormatting>
  <conditionalFormatting sqref="E131:E135">
    <cfRule type="containsText" dxfId="191" priority="204" operator="containsText" text="合意形成対象者">
      <formula>NOT(ISERROR(SEARCH("合意形成対象者",E131)))</formula>
    </cfRule>
  </conditionalFormatting>
  <conditionalFormatting sqref="E146:E150">
    <cfRule type="containsText" dxfId="190" priority="200" operator="containsText" text="合意形成対象者">
      <formula>NOT(ISERROR(SEARCH("合意形成対象者",E146)))</formula>
    </cfRule>
  </conditionalFormatting>
  <conditionalFormatting sqref="E161:E165">
    <cfRule type="containsText" dxfId="189" priority="196" operator="containsText" text="合意形成対象者">
      <formula>NOT(ISERROR(SEARCH("合意形成対象者",E161)))</formula>
    </cfRule>
  </conditionalFormatting>
  <conditionalFormatting sqref="E176:E180">
    <cfRule type="containsText" dxfId="188" priority="192" operator="containsText" text="合意形成対象者">
      <formula>NOT(ISERROR(SEARCH("合意形成対象者",E176)))</formula>
    </cfRule>
  </conditionalFormatting>
  <conditionalFormatting sqref="E191:E195">
    <cfRule type="containsText" dxfId="187" priority="188" operator="containsText" text="合意形成対象者">
      <formula>NOT(ISERROR(SEARCH("合意形成対象者",E191)))</formula>
    </cfRule>
  </conditionalFormatting>
  <conditionalFormatting sqref="E206:E210">
    <cfRule type="containsText" dxfId="186" priority="184" operator="containsText" text="合意形成対象者">
      <formula>NOT(ISERROR(SEARCH("合意形成対象者",E206)))</formula>
    </cfRule>
  </conditionalFormatting>
  <conditionalFormatting sqref="E221:E225">
    <cfRule type="containsText" dxfId="185" priority="180" operator="containsText" text="合意形成対象者">
      <formula>NOT(ISERROR(SEARCH("合意形成対象者",E221)))</formula>
    </cfRule>
  </conditionalFormatting>
  <conditionalFormatting sqref="E236:E240">
    <cfRule type="containsText" dxfId="184" priority="176" operator="containsText" text="合意形成対象者">
      <formula>NOT(ISERROR(SEARCH("合意形成対象者",E236)))</formula>
    </cfRule>
  </conditionalFormatting>
  <conditionalFormatting sqref="E251:E255">
    <cfRule type="containsText" dxfId="183" priority="172" operator="containsText" text="合意形成対象者">
      <formula>NOT(ISERROR(SEARCH("合意形成対象者",E251)))</formula>
    </cfRule>
  </conditionalFormatting>
  <conditionalFormatting sqref="E266:E270">
    <cfRule type="containsText" dxfId="182" priority="168" operator="containsText" text="合意形成対象者">
      <formula>NOT(ISERROR(SEARCH("合意形成対象者",E266)))</formula>
    </cfRule>
  </conditionalFormatting>
  <conditionalFormatting sqref="E281:E285">
    <cfRule type="containsText" dxfId="181" priority="164" operator="containsText" text="合意形成対象者">
      <formula>NOT(ISERROR(SEARCH("合意形成対象者",E281)))</formula>
    </cfRule>
  </conditionalFormatting>
  <conditionalFormatting sqref="E296:E300">
    <cfRule type="containsText" dxfId="180" priority="160" operator="containsText" text="合意形成対象者">
      <formula>NOT(ISERROR(SEARCH("合意形成対象者",E296)))</formula>
    </cfRule>
  </conditionalFormatting>
  <conditionalFormatting sqref="E311:E315">
    <cfRule type="containsText" dxfId="179" priority="156" operator="containsText" text="合意形成対象者">
      <formula>NOT(ISERROR(SEARCH("合意形成対象者",E311)))</formula>
    </cfRule>
  </conditionalFormatting>
  <conditionalFormatting sqref="E326:E330">
    <cfRule type="containsText" dxfId="178" priority="152" operator="containsText" text="合意形成対象者">
      <formula>NOT(ISERROR(SEARCH("合意形成対象者",E326)))</formula>
    </cfRule>
  </conditionalFormatting>
  <conditionalFormatting sqref="E341:E345">
    <cfRule type="containsText" dxfId="177" priority="148" operator="containsText" text="合意形成対象者">
      <formula>NOT(ISERROR(SEARCH("合意形成対象者",E341)))</formula>
    </cfRule>
  </conditionalFormatting>
  <conditionalFormatting sqref="E356:E360">
    <cfRule type="containsText" dxfId="176" priority="144" operator="containsText" text="合意形成対象者">
      <formula>NOT(ISERROR(SEARCH("合意形成対象者",E356)))</formula>
    </cfRule>
  </conditionalFormatting>
  <conditionalFormatting sqref="E371:E375">
    <cfRule type="containsText" dxfId="175" priority="140" operator="containsText" text="合意形成対象者">
      <formula>NOT(ISERROR(SEARCH("合意形成対象者",E371)))</formula>
    </cfRule>
  </conditionalFormatting>
  <conditionalFormatting sqref="E386:E390">
    <cfRule type="containsText" dxfId="174" priority="136" operator="containsText" text="合意形成対象者">
      <formula>NOT(ISERROR(SEARCH("合意形成対象者",E386)))</formula>
    </cfRule>
  </conditionalFormatting>
  <conditionalFormatting sqref="E401:E405">
    <cfRule type="containsText" dxfId="173" priority="132" operator="containsText" text="合意形成対象者">
      <formula>NOT(ISERROR(SEARCH("合意形成対象者",E401)))</formula>
    </cfRule>
  </conditionalFormatting>
  <conditionalFormatting sqref="E416:E420">
    <cfRule type="containsText" dxfId="172" priority="128" operator="containsText" text="合意形成対象者">
      <formula>NOT(ISERROR(SEARCH("合意形成対象者",E416)))</formula>
    </cfRule>
  </conditionalFormatting>
  <conditionalFormatting sqref="E431:E435">
    <cfRule type="containsText" dxfId="171" priority="124" operator="containsText" text="合意形成対象者">
      <formula>NOT(ISERROR(SEARCH("合意形成対象者",E431)))</formula>
    </cfRule>
  </conditionalFormatting>
  <conditionalFormatting sqref="E446:E450">
    <cfRule type="containsText" dxfId="170" priority="120" operator="containsText" text="合意形成対象者">
      <formula>NOT(ISERROR(SEARCH("合意形成対象者",E446)))</formula>
    </cfRule>
  </conditionalFormatting>
  <conditionalFormatting sqref="E11:J15">
    <cfRule type="notContainsBlanks" dxfId="169" priority="414">
      <formula>LEN(TRIM(E11))&gt;0</formula>
    </cfRule>
  </conditionalFormatting>
  <conditionalFormatting sqref="E26:J30">
    <cfRule type="notContainsBlanks" dxfId="168" priority="233">
      <formula>LEN(TRIM(E26))&gt;0</formula>
    </cfRule>
  </conditionalFormatting>
  <conditionalFormatting sqref="E41:J45">
    <cfRule type="notContainsBlanks" dxfId="167" priority="229">
      <formula>LEN(TRIM(E41))&gt;0</formula>
    </cfRule>
  </conditionalFormatting>
  <conditionalFormatting sqref="E56:J60">
    <cfRule type="notContainsBlanks" dxfId="166" priority="225">
      <formula>LEN(TRIM(E56))&gt;0</formula>
    </cfRule>
  </conditionalFormatting>
  <conditionalFormatting sqref="E71:J75">
    <cfRule type="notContainsBlanks" dxfId="165" priority="221">
      <formula>LEN(TRIM(E71))&gt;0</formula>
    </cfRule>
  </conditionalFormatting>
  <conditionalFormatting sqref="E86:J90">
    <cfRule type="notContainsBlanks" dxfId="164" priority="217">
      <formula>LEN(TRIM(E86))&gt;0</formula>
    </cfRule>
  </conditionalFormatting>
  <conditionalFormatting sqref="E101:J105">
    <cfRule type="notContainsBlanks" dxfId="163" priority="213">
      <formula>LEN(TRIM(E101))&gt;0</formula>
    </cfRule>
  </conditionalFormatting>
  <conditionalFormatting sqref="E116:J120">
    <cfRule type="notContainsBlanks" dxfId="162" priority="209">
      <formula>LEN(TRIM(E116))&gt;0</formula>
    </cfRule>
  </conditionalFormatting>
  <conditionalFormatting sqref="E131:J135">
    <cfRule type="notContainsBlanks" dxfId="161" priority="205">
      <formula>LEN(TRIM(E131))&gt;0</formula>
    </cfRule>
  </conditionalFormatting>
  <conditionalFormatting sqref="E146:J150">
    <cfRule type="notContainsBlanks" dxfId="160" priority="201">
      <formula>LEN(TRIM(E146))&gt;0</formula>
    </cfRule>
  </conditionalFormatting>
  <conditionalFormatting sqref="E161:J165">
    <cfRule type="notContainsBlanks" dxfId="159" priority="197">
      <formula>LEN(TRIM(E161))&gt;0</formula>
    </cfRule>
  </conditionalFormatting>
  <conditionalFormatting sqref="E176:J180">
    <cfRule type="notContainsBlanks" dxfId="158" priority="193">
      <formula>LEN(TRIM(E176))&gt;0</formula>
    </cfRule>
  </conditionalFormatting>
  <conditionalFormatting sqref="E191:J195">
    <cfRule type="notContainsBlanks" dxfId="157" priority="189">
      <formula>LEN(TRIM(E191))&gt;0</formula>
    </cfRule>
  </conditionalFormatting>
  <conditionalFormatting sqref="E206:J210">
    <cfRule type="notContainsBlanks" dxfId="156" priority="185">
      <formula>LEN(TRIM(E206))&gt;0</formula>
    </cfRule>
  </conditionalFormatting>
  <conditionalFormatting sqref="E221:J225">
    <cfRule type="notContainsBlanks" dxfId="155" priority="181">
      <formula>LEN(TRIM(E221))&gt;0</formula>
    </cfRule>
  </conditionalFormatting>
  <conditionalFormatting sqref="E236:J240">
    <cfRule type="notContainsBlanks" dxfId="154" priority="177">
      <formula>LEN(TRIM(E236))&gt;0</formula>
    </cfRule>
  </conditionalFormatting>
  <conditionalFormatting sqref="E251:J255">
    <cfRule type="notContainsBlanks" dxfId="153" priority="173">
      <formula>LEN(TRIM(E251))&gt;0</formula>
    </cfRule>
  </conditionalFormatting>
  <conditionalFormatting sqref="E266:J270">
    <cfRule type="notContainsBlanks" dxfId="152" priority="169">
      <formula>LEN(TRIM(E266))&gt;0</formula>
    </cfRule>
  </conditionalFormatting>
  <conditionalFormatting sqref="E281:J285">
    <cfRule type="notContainsBlanks" dxfId="151" priority="165">
      <formula>LEN(TRIM(E281))&gt;0</formula>
    </cfRule>
  </conditionalFormatting>
  <conditionalFormatting sqref="E296:J300">
    <cfRule type="notContainsBlanks" dxfId="150" priority="161">
      <formula>LEN(TRIM(E296))&gt;0</formula>
    </cfRule>
  </conditionalFormatting>
  <conditionalFormatting sqref="E311:J315">
    <cfRule type="notContainsBlanks" dxfId="149" priority="157">
      <formula>LEN(TRIM(E311))&gt;0</formula>
    </cfRule>
  </conditionalFormatting>
  <conditionalFormatting sqref="E326:J330">
    <cfRule type="notContainsBlanks" dxfId="148" priority="153">
      <formula>LEN(TRIM(E326))&gt;0</formula>
    </cfRule>
  </conditionalFormatting>
  <conditionalFormatting sqref="E341:J345">
    <cfRule type="notContainsBlanks" dxfId="147" priority="149">
      <formula>LEN(TRIM(E341))&gt;0</formula>
    </cfRule>
  </conditionalFormatting>
  <conditionalFormatting sqref="E356:J360">
    <cfRule type="notContainsBlanks" dxfId="146" priority="145">
      <formula>LEN(TRIM(E356))&gt;0</formula>
    </cfRule>
  </conditionalFormatting>
  <conditionalFormatting sqref="E371:J375">
    <cfRule type="notContainsBlanks" dxfId="145" priority="141">
      <formula>LEN(TRIM(E371))&gt;0</formula>
    </cfRule>
  </conditionalFormatting>
  <conditionalFormatting sqref="E386:J390">
    <cfRule type="notContainsBlanks" dxfId="144" priority="137">
      <formula>LEN(TRIM(E386))&gt;0</formula>
    </cfRule>
  </conditionalFormatting>
  <conditionalFormatting sqref="E401:J405">
    <cfRule type="notContainsBlanks" dxfId="143" priority="133">
      <formula>LEN(TRIM(E401))&gt;0</formula>
    </cfRule>
  </conditionalFormatting>
  <conditionalFormatting sqref="E416:J420">
    <cfRule type="notContainsBlanks" dxfId="142" priority="129">
      <formula>LEN(TRIM(E416))&gt;0</formula>
    </cfRule>
  </conditionalFormatting>
  <conditionalFormatting sqref="E431:J435">
    <cfRule type="notContainsBlanks" dxfId="141" priority="125">
      <formula>LEN(TRIM(E431))&gt;0</formula>
    </cfRule>
  </conditionalFormatting>
  <conditionalFormatting sqref="E446:J450">
    <cfRule type="notContainsBlanks" dxfId="140" priority="121">
      <formula>LEN(TRIM(E446))&gt;0</formula>
    </cfRule>
  </conditionalFormatting>
  <conditionalFormatting sqref="F7:J9 C7">
    <cfRule type="containsBlanks" dxfId="139" priority="1319">
      <formula>LEN(TRIM(C7))=0</formula>
    </cfRule>
  </conditionalFormatting>
  <conditionalFormatting sqref="F7:J9 F22:J24 F37:J39 F52:J54 F67:J69 F82:J84 F97:J99 F112:J114 F127:J129 F142:J144 F157:J159 F172:J174 F187:J189 F202:J204 F217:J219 F232:J234 F247:J249 F262:J264 F277:J279 F292:J294 F307:J309 F322:J324 F337:J339 F352:J354 F367:J369 F382:J384 F397:J399 F412:J414 F427:J429 F442:J444">
    <cfRule type="expression" dxfId="138" priority="953">
      <formula>$F7&lt;&gt;$R7</formula>
    </cfRule>
  </conditionalFormatting>
  <conditionalFormatting sqref="F17:J17">
    <cfRule type="expression" dxfId="137" priority="1320">
      <formula>$C7&lt;&gt;""</formula>
    </cfRule>
  </conditionalFormatting>
  <conditionalFormatting sqref="F17:J18">
    <cfRule type="notContainsBlanks" dxfId="136" priority="117">
      <formula>LEN(TRIM(F17))&gt;0</formula>
    </cfRule>
  </conditionalFormatting>
  <conditionalFormatting sqref="F18:J18">
    <cfRule type="expression" dxfId="135" priority="1313">
      <formula>$C7&lt;&gt;""</formula>
    </cfRule>
  </conditionalFormatting>
  <conditionalFormatting sqref="F22:J24">
    <cfRule type="containsBlanks" dxfId="134" priority="1300">
      <formula>LEN(TRIM(F22))=0</formula>
    </cfRule>
  </conditionalFormatting>
  <conditionalFormatting sqref="F32:J32">
    <cfRule type="expression" dxfId="133" priority="116">
      <formula>$C22&lt;&gt;""</formula>
    </cfRule>
  </conditionalFormatting>
  <conditionalFormatting sqref="F32:J33">
    <cfRule type="notContainsBlanks" dxfId="132" priority="113">
      <formula>LEN(TRIM(F32))&gt;0</formula>
    </cfRule>
  </conditionalFormatting>
  <conditionalFormatting sqref="F33:J33">
    <cfRule type="expression" dxfId="131" priority="114">
      <formula>$C22&lt;&gt;""</formula>
    </cfRule>
  </conditionalFormatting>
  <conditionalFormatting sqref="F37:J39">
    <cfRule type="containsBlanks" dxfId="130" priority="1290">
      <formula>LEN(TRIM(F37))=0</formula>
    </cfRule>
  </conditionalFormatting>
  <conditionalFormatting sqref="F47:J47">
    <cfRule type="expression" dxfId="129" priority="112">
      <formula>$C37&lt;&gt;""</formula>
    </cfRule>
  </conditionalFormatting>
  <conditionalFormatting sqref="F47:J48">
    <cfRule type="notContainsBlanks" dxfId="128" priority="109">
      <formula>LEN(TRIM(F47))&gt;0</formula>
    </cfRule>
  </conditionalFormatting>
  <conditionalFormatting sqref="F48:J48">
    <cfRule type="expression" dxfId="127" priority="110">
      <formula>$C37&lt;&gt;""</formula>
    </cfRule>
  </conditionalFormatting>
  <conditionalFormatting sqref="F52:J54">
    <cfRule type="containsBlanks" dxfId="126" priority="1281">
      <formula>LEN(TRIM(F52))=0</formula>
    </cfRule>
  </conditionalFormatting>
  <conditionalFormatting sqref="F62:J62">
    <cfRule type="expression" dxfId="125" priority="108">
      <formula>$C52&lt;&gt;""</formula>
    </cfRule>
  </conditionalFormatting>
  <conditionalFormatting sqref="F62:J63">
    <cfRule type="notContainsBlanks" dxfId="124" priority="105">
      <formula>LEN(TRIM(F62))&gt;0</formula>
    </cfRule>
  </conditionalFormatting>
  <conditionalFormatting sqref="F63:J63">
    <cfRule type="expression" dxfId="123" priority="106">
      <formula>$C52&lt;&gt;""</formula>
    </cfRule>
  </conditionalFormatting>
  <conditionalFormatting sqref="F67:J69">
    <cfRule type="containsBlanks" dxfId="122" priority="1272">
      <formula>LEN(TRIM(F67))=0</formula>
    </cfRule>
  </conditionalFormatting>
  <conditionalFormatting sqref="F77:J77">
    <cfRule type="expression" dxfId="121" priority="104">
      <formula>$C67&lt;&gt;""</formula>
    </cfRule>
  </conditionalFormatting>
  <conditionalFormatting sqref="F77:J78">
    <cfRule type="notContainsBlanks" dxfId="120" priority="101">
      <formula>LEN(TRIM(F77))&gt;0</formula>
    </cfRule>
  </conditionalFormatting>
  <conditionalFormatting sqref="F78:J78">
    <cfRule type="expression" dxfId="119" priority="102">
      <formula>$C67&lt;&gt;""</formula>
    </cfRule>
  </conditionalFormatting>
  <conditionalFormatting sqref="F82:J84">
    <cfRule type="containsBlanks" dxfId="118" priority="1263">
      <formula>LEN(TRIM(F82))=0</formula>
    </cfRule>
  </conditionalFormatting>
  <conditionalFormatting sqref="F92:J92">
    <cfRule type="expression" dxfId="117" priority="100">
      <formula>$C82&lt;&gt;""</formula>
    </cfRule>
  </conditionalFormatting>
  <conditionalFormatting sqref="F92:J93">
    <cfRule type="notContainsBlanks" dxfId="116" priority="97">
      <formula>LEN(TRIM(F92))&gt;0</formula>
    </cfRule>
  </conditionalFormatting>
  <conditionalFormatting sqref="F93:J93">
    <cfRule type="expression" dxfId="115" priority="98">
      <formula>$C82&lt;&gt;""</formula>
    </cfRule>
  </conditionalFormatting>
  <conditionalFormatting sqref="F97:J99">
    <cfRule type="containsBlanks" dxfId="114" priority="1254">
      <formula>LEN(TRIM(F97))=0</formula>
    </cfRule>
  </conditionalFormatting>
  <conditionalFormatting sqref="F107:J107">
    <cfRule type="expression" dxfId="113" priority="96">
      <formula>$C97&lt;&gt;""</formula>
    </cfRule>
  </conditionalFormatting>
  <conditionalFormatting sqref="F107:J108">
    <cfRule type="notContainsBlanks" dxfId="112" priority="93">
      <formula>LEN(TRIM(F107))&gt;0</formula>
    </cfRule>
  </conditionalFormatting>
  <conditionalFormatting sqref="F108:J108">
    <cfRule type="expression" dxfId="111" priority="94">
      <formula>$C97&lt;&gt;""</formula>
    </cfRule>
  </conditionalFormatting>
  <conditionalFormatting sqref="F112:J114">
    <cfRule type="containsBlanks" dxfId="110" priority="1245">
      <formula>LEN(TRIM(F112))=0</formula>
    </cfRule>
  </conditionalFormatting>
  <conditionalFormatting sqref="F122:J122">
    <cfRule type="expression" dxfId="109" priority="92">
      <formula>$C112&lt;&gt;""</formula>
    </cfRule>
  </conditionalFormatting>
  <conditionalFormatting sqref="F122:J123">
    <cfRule type="notContainsBlanks" dxfId="108" priority="89">
      <formula>LEN(TRIM(F122))&gt;0</formula>
    </cfRule>
  </conditionalFormatting>
  <conditionalFormatting sqref="F123:J123">
    <cfRule type="expression" dxfId="107" priority="90">
      <formula>$C112&lt;&gt;""</formula>
    </cfRule>
  </conditionalFormatting>
  <conditionalFormatting sqref="F127:J129">
    <cfRule type="containsBlanks" dxfId="106" priority="1236">
      <formula>LEN(TRIM(F127))=0</formula>
    </cfRule>
  </conditionalFormatting>
  <conditionalFormatting sqref="F137:J137">
    <cfRule type="expression" dxfId="105" priority="88">
      <formula>$C127&lt;&gt;""</formula>
    </cfRule>
  </conditionalFormatting>
  <conditionalFormatting sqref="F137:J138">
    <cfRule type="notContainsBlanks" dxfId="104" priority="85">
      <formula>LEN(TRIM(F137))&gt;0</formula>
    </cfRule>
  </conditionalFormatting>
  <conditionalFormatting sqref="F138:J138">
    <cfRule type="expression" dxfId="103" priority="86">
      <formula>$C127&lt;&gt;""</formula>
    </cfRule>
  </conditionalFormatting>
  <conditionalFormatting sqref="F142:J144">
    <cfRule type="containsBlanks" dxfId="102" priority="1227">
      <formula>LEN(TRIM(F142))=0</formula>
    </cfRule>
  </conditionalFormatting>
  <conditionalFormatting sqref="F152:J152">
    <cfRule type="expression" dxfId="101" priority="84">
      <formula>$C142&lt;&gt;""</formula>
    </cfRule>
  </conditionalFormatting>
  <conditionalFormatting sqref="F152:J153">
    <cfRule type="notContainsBlanks" dxfId="100" priority="81">
      <formula>LEN(TRIM(F152))&gt;0</formula>
    </cfRule>
  </conditionalFormatting>
  <conditionalFormatting sqref="F153:J153">
    <cfRule type="expression" dxfId="99" priority="82">
      <formula>$C142&lt;&gt;""</formula>
    </cfRule>
  </conditionalFormatting>
  <conditionalFormatting sqref="F157:J159">
    <cfRule type="containsBlanks" dxfId="98" priority="1218">
      <formula>LEN(TRIM(F157))=0</formula>
    </cfRule>
  </conditionalFormatting>
  <conditionalFormatting sqref="F167:J167">
    <cfRule type="expression" dxfId="97" priority="80">
      <formula>$C157&lt;&gt;""</formula>
    </cfRule>
  </conditionalFormatting>
  <conditionalFormatting sqref="F167:J168">
    <cfRule type="notContainsBlanks" dxfId="96" priority="77">
      <formula>LEN(TRIM(F167))&gt;0</formula>
    </cfRule>
  </conditionalFormatting>
  <conditionalFormatting sqref="F168:J168">
    <cfRule type="expression" dxfId="95" priority="78">
      <formula>$C157&lt;&gt;""</formula>
    </cfRule>
  </conditionalFormatting>
  <conditionalFormatting sqref="F172:J174">
    <cfRule type="containsBlanks" dxfId="94" priority="1209">
      <formula>LEN(TRIM(F172))=0</formula>
    </cfRule>
  </conditionalFormatting>
  <conditionalFormatting sqref="F182:J182">
    <cfRule type="expression" dxfId="93" priority="76">
      <formula>$C172&lt;&gt;""</formula>
    </cfRule>
  </conditionalFormatting>
  <conditionalFormatting sqref="F182:J183">
    <cfRule type="notContainsBlanks" dxfId="92" priority="73">
      <formula>LEN(TRIM(F182))&gt;0</formula>
    </cfRule>
  </conditionalFormatting>
  <conditionalFormatting sqref="F183:J183">
    <cfRule type="expression" dxfId="91" priority="74">
      <formula>$C172&lt;&gt;""</formula>
    </cfRule>
  </conditionalFormatting>
  <conditionalFormatting sqref="F187:J189">
    <cfRule type="containsBlanks" dxfId="90" priority="1200">
      <formula>LEN(TRIM(F187))=0</formula>
    </cfRule>
  </conditionalFormatting>
  <conditionalFormatting sqref="F197:J197">
    <cfRule type="expression" dxfId="89" priority="72">
      <formula>$C187&lt;&gt;""</formula>
    </cfRule>
  </conditionalFormatting>
  <conditionalFormatting sqref="F197:J198">
    <cfRule type="notContainsBlanks" dxfId="88" priority="69">
      <formula>LEN(TRIM(F197))&gt;0</formula>
    </cfRule>
  </conditionalFormatting>
  <conditionalFormatting sqref="F198:J198">
    <cfRule type="expression" dxfId="87" priority="70">
      <formula>$C187&lt;&gt;""</formula>
    </cfRule>
  </conditionalFormatting>
  <conditionalFormatting sqref="F202:J204">
    <cfRule type="containsBlanks" dxfId="86" priority="1191">
      <formula>LEN(TRIM(F202))=0</formula>
    </cfRule>
  </conditionalFormatting>
  <conditionalFormatting sqref="F212:J212">
    <cfRule type="expression" dxfId="85" priority="68">
      <formula>$C202&lt;&gt;""</formula>
    </cfRule>
  </conditionalFormatting>
  <conditionalFormatting sqref="F212:J213">
    <cfRule type="notContainsBlanks" dxfId="84" priority="65">
      <formula>LEN(TRIM(F212))&gt;0</formula>
    </cfRule>
  </conditionalFormatting>
  <conditionalFormatting sqref="F213:J213">
    <cfRule type="expression" dxfId="83" priority="66">
      <formula>$C202&lt;&gt;""</formula>
    </cfRule>
  </conditionalFormatting>
  <conditionalFormatting sqref="F217:J219">
    <cfRule type="containsBlanks" dxfId="82" priority="1182">
      <formula>LEN(TRIM(F217))=0</formula>
    </cfRule>
  </conditionalFormatting>
  <conditionalFormatting sqref="F227:J227">
    <cfRule type="expression" dxfId="81" priority="64">
      <formula>$C217&lt;&gt;""</formula>
    </cfRule>
  </conditionalFormatting>
  <conditionalFormatting sqref="F227:J228">
    <cfRule type="notContainsBlanks" dxfId="80" priority="61">
      <formula>LEN(TRIM(F227))&gt;0</formula>
    </cfRule>
  </conditionalFormatting>
  <conditionalFormatting sqref="F228:J228">
    <cfRule type="expression" dxfId="79" priority="62">
      <formula>$C217&lt;&gt;""</formula>
    </cfRule>
  </conditionalFormatting>
  <conditionalFormatting sqref="F232:J234">
    <cfRule type="containsBlanks" dxfId="78" priority="1173">
      <formula>LEN(TRIM(F232))=0</formula>
    </cfRule>
  </conditionalFormatting>
  <conditionalFormatting sqref="F242:J242">
    <cfRule type="expression" dxfId="77" priority="60">
      <formula>$C232&lt;&gt;""</formula>
    </cfRule>
  </conditionalFormatting>
  <conditionalFormatting sqref="F242:J243">
    <cfRule type="notContainsBlanks" dxfId="76" priority="57">
      <formula>LEN(TRIM(F242))&gt;0</formula>
    </cfRule>
  </conditionalFormatting>
  <conditionalFormatting sqref="F243:J243">
    <cfRule type="expression" dxfId="75" priority="58">
      <formula>$C232&lt;&gt;""</formula>
    </cfRule>
  </conditionalFormatting>
  <conditionalFormatting sqref="F247:J249">
    <cfRule type="containsBlanks" dxfId="74" priority="1164">
      <formula>LEN(TRIM(F247))=0</formula>
    </cfRule>
  </conditionalFormatting>
  <conditionalFormatting sqref="F257:J257">
    <cfRule type="expression" dxfId="73" priority="56">
      <formula>$C247&lt;&gt;""</formula>
    </cfRule>
  </conditionalFormatting>
  <conditionalFormatting sqref="F257:J258">
    <cfRule type="notContainsBlanks" dxfId="72" priority="53">
      <formula>LEN(TRIM(F257))&gt;0</formula>
    </cfRule>
  </conditionalFormatting>
  <conditionalFormatting sqref="F258:J258">
    <cfRule type="expression" dxfId="71" priority="54">
      <formula>$C247&lt;&gt;""</formula>
    </cfRule>
  </conditionalFormatting>
  <conditionalFormatting sqref="F262:J264">
    <cfRule type="containsBlanks" dxfId="70" priority="1155">
      <formula>LEN(TRIM(F262))=0</formula>
    </cfRule>
  </conditionalFormatting>
  <conditionalFormatting sqref="F272:J272">
    <cfRule type="expression" dxfId="69" priority="52">
      <formula>$C262&lt;&gt;""</formula>
    </cfRule>
  </conditionalFormatting>
  <conditionalFormatting sqref="F272:J273">
    <cfRule type="notContainsBlanks" dxfId="68" priority="49">
      <formula>LEN(TRIM(F272))&gt;0</formula>
    </cfRule>
  </conditionalFormatting>
  <conditionalFormatting sqref="F273:J273">
    <cfRule type="expression" dxfId="67" priority="50">
      <formula>$C262&lt;&gt;""</formula>
    </cfRule>
  </conditionalFormatting>
  <conditionalFormatting sqref="F277:J279">
    <cfRule type="containsBlanks" dxfId="66" priority="1146">
      <formula>LEN(TRIM(F277))=0</formula>
    </cfRule>
  </conditionalFormatting>
  <conditionalFormatting sqref="F287:J287">
    <cfRule type="expression" dxfId="65" priority="48">
      <formula>$C277&lt;&gt;""</formula>
    </cfRule>
  </conditionalFormatting>
  <conditionalFormatting sqref="F287:J288">
    <cfRule type="notContainsBlanks" dxfId="64" priority="45">
      <formula>LEN(TRIM(F287))&gt;0</formula>
    </cfRule>
  </conditionalFormatting>
  <conditionalFormatting sqref="F288:J288">
    <cfRule type="expression" dxfId="63" priority="46">
      <formula>$C277&lt;&gt;""</formula>
    </cfRule>
  </conditionalFormatting>
  <conditionalFormatting sqref="F292:J294">
    <cfRule type="containsBlanks" dxfId="62" priority="1137">
      <formula>LEN(TRIM(F292))=0</formula>
    </cfRule>
  </conditionalFormatting>
  <conditionalFormatting sqref="F302:J302">
    <cfRule type="expression" dxfId="61" priority="44">
      <formula>$C292&lt;&gt;""</formula>
    </cfRule>
  </conditionalFormatting>
  <conditionalFormatting sqref="F302:J303">
    <cfRule type="notContainsBlanks" dxfId="60" priority="41">
      <formula>LEN(TRIM(F302))&gt;0</formula>
    </cfRule>
  </conditionalFormatting>
  <conditionalFormatting sqref="F303:J303">
    <cfRule type="expression" dxfId="59" priority="42">
      <formula>$C292&lt;&gt;""</formula>
    </cfRule>
  </conditionalFormatting>
  <conditionalFormatting sqref="F307:J309">
    <cfRule type="containsBlanks" dxfId="58" priority="1128">
      <formula>LEN(TRIM(F307))=0</formula>
    </cfRule>
  </conditionalFormatting>
  <conditionalFormatting sqref="F317:J317">
    <cfRule type="expression" dxfId="57" priority="40">
      <formula>$C307&lt;&gt;""</formula>
    </cfRule>
  </conditionalFormatting>
  <conditionalFormatting sqref="F317:J318">
    <cfRule type="notContainsBlanks" dxfId="56" priority="37">
      <formula>LEN(TRIM(F317))&gt;0</formula>
    </cfRule>
  </conditionalFormatting>
  <conditionalFormatting sqref="F318:J318">
    <cfRule type="expression" dxfId="55" priority="38">
      <formula>$C307&lt;&gt;""</formula>
    </cfRule>
  </conditionalFormatting>
  <conditionalFormatting sqref="F322:J324">
    <cfRule type="containsBlanks" dxfId="54" priority="1115">
      <formula>LEN(TRIM(F322))=0</formula>
    </cfRule>
  </conditionalFormatting>
  <conditionalFormatting sqref="F332:J332">
    <cfRule type="expression" dxfId="53" priority="36">
      <formula>$C322&lt;&gt;""</formula>
    </cfRule>
  </conditionalFormatting>
  <conditionalFormatting sqref="F332:J333">
    <cfRule type="notContainsBlanks" dxfId="52" priority="33">
      <formula>LEN(TRIM(F332))&gt;0</formula>
    </cfRule>
  </conditionalFormatting>
  <conditionalFormatting sqref="F333:J333">
    <cfRule type="expression" dxfId="51" priority="34">
      <formula>$C322&lt;&gt;""</formula>
    </cfRule>
  </conditionalFormatting>
  <conditionalFormatting sqref="F337:J339">
    <cfRule type="containsBlanks" dxfId="50" priority="1106">
      <formula>LEN(TRIM(F337))=0</formula>
    </cfRule>
  </conditionalFormatting>
  <conditionalFormatting sqref="F347:J347">
    <cfRule type="expression" dxfId="49" priority="32">
      <formula>$C337&lt;&gt;""</formula>
    </cfRule>
  </conditionalFormatting>
  <conditionalFormatting sqref="F347:J348">
    <cfRule type="notContainsBlanks" dxfId="48" priority="29">
      <formula>LEN(TRIM(F347))&gt;0</formula>
    </cfRule>
  </conditionalFormatting>
  <conditionalFormatting sqref="F348:J348">
    <cfRule type="expression" dxfId="47" priority="30">
      <formula>$C337&lt;&gt;""</formula>
    </cfRule>
  </conditionalFormatting>
  <conditionalFormatting sqref="F352:J354">
    <cfRule type="containsBlanks" dxfId="46" priority="1097">
      <formula>LEN(TRIM(F352))=0</formula>
    </cfRule>
  </conditionalFormatting>
  <conditionalFormatting sqref="F362:J362">
    <cfRule type="expression" dxfId="45" priority="28">
      <formula>$C352&lt;&gt;""</formula>
    </cfRule>
  </conditionalFormatting>
  <conditionalFormatting sqref="F362:J363">
    <cfRule type="notContainsBlanks" dxfId="44" priority="25">
      <formula>LEN(TRIM(F362))&gt;0</formula>
    </cfRule>
  </conditionalFormatting>
  <conditionalFormatting sqref="F363:J363">
    <cfRule type="expression" dxfId="43" priority="26">
      <formula>$C352&lt;&gt;""</formula>
    </cfRule>
  </conditionalFormatting>
  <conditionalFormatting sqref="F367:J369">
    <cfRule type="containsBlanks" dxfId="42" priority="1088">
      <formula>LEN(TRIM(F367))=0</formula>
    </cfRule>
  </conditionalFormatting>
  <conditionalFormatting sqref="F377:J377">
    <cfRule type="expression" dxfId="41" priority="24">
      <formula>$C367&lt;&gt;""</formula>
    </cfRule>
  </conditionalFormatting>
  <conditionalFormatting sqref="F377:J378">
    <cfRule type="notContainsBlanks" dxfId="40" priority="21">
      <formula>LEN(TRIM(F377))&gt;0</formula>
    </cfRule>
  </conditionalFormatting>
  <conditionalFormatting sqref="F378:J378">
    <cfRule type="expression" dxfId="39" priority="22">
      <formula>$C367&lt;&gt;""</formula>
    </cfRule>
  </conditionalFormatting>
  <conditionalFormatting sqref="F382:J384">
    <cfRule type="containsBlanks" dxfId="38" priority="1080">
      <formula>LEN(TRIM(F382))=0</formula>
    </cfRule>
  </conditionalFormatting>
  <conditionalFormatting sqref="F392:J392">
    <cfRule type="expression" dxfId="37" priority="20">
      <formula>$C382&lt;&gt;""</formula>
    </cfRule>
  </conditionalFormatting>
  <conditionalFormatting sqref="F392:J393">
    <cfRule type="notContainsBlanks" dxfId="36" priority="17">
      <formula>LEN(TRIM(F392))&gt;0</formula>
    </cfRule>
  </conditionalFormatting>
  <conditionalFormatting sqref="F393:J393">
    <cfRule type="expression" dxfId="35" priority="18">
      <formula>$C382&lt;&gt;""</formula>
    </cfRule>
  </conditionalFormatting>
  <conditionalFormatting sqref="F397:J399">
    <cfRule type="containsBlanks" dxfId="34" priority="1071">
      <formula>LEN(TRIM(F397))=0</formula>
    </cfRule>
  </conditionalFormatting>
  <conditionalFormatting sqref="F407:J407">
    <cfRule type="expression" dxfId="33" priority="16">
      <formula>$C397&lt;&gt;""</formula>
    </cfRule>
  </conditionalFormatting>
  <conditionalFormatting sqref="F407:J408">
    <cfRule type="notContainsBlanks" dxfId="32" priority="13">
      <formula>LEN(TRIM(F407))&gt;0</formula>
    </cfRule>
  </conditionalFormatting>
  <conditionalFormatting sqref="F408:J408">
    <cfRule type="expression" dxfId="31" priority="14">
      <formula>$C397&lt;&gt;""</formula>
    </cfRule>
  </conditionalFormatting>
  <conditionalFormatting sqref="F412:J414">
    <cfRule type="containsBlanks" dxfId="30" priority="1062">
      <formula>LEN(TRIM(F412))=0</formula>
    </cfRule>
  </conditionalFormatting>
  <conditionalFormatting sqref="F422:J422">
    <cfRule type="expression" dxfId="29" priority="12">
      <formula>$C412&lt;&gt;""</formula>
    </cfRule>
  </conditionalFormatting>
  <conditionalFormatting sqref="F422:J423">
    <cfRule type="notContainsBlanks" dxfId="28" priority="9">
      <formula>LEN(TRIM(F422))&gt;0</formula>
    </cfRule>
  </conditionalFormatting>
  <conditionalFormatting sqref="F423:J423">
    <cfRule type="expression" dxfId="27" priority="10">
      <formula>$C412&lt;&gt;""</formula>
    </cfRule>
  </conditionalFormatting>
  <conditionalFormatting sqref="F427:J429">
    <cfRule type="containsBlanks" dxfId="26" priority="1053">
      <formula>LEN(TRIM(F427))=0</formula>
    </cfRule>
  </conditionalFormatting>
  <conditionalFormatting sqref="F437:J437">
    <cfRule type="expression" dxfId="25" priority="8">
      <formula>$C427&lt;&gt;""</formula>
    </cfRule>
  </conditionalFormatting>
  <conditionalFormatting sqref="F437:J438">
    <cfRule type="notContainsBlanks" dxfId="24" priority="5">
      <formula>LEN(TRIM(F437))&gt;0</formula>
    </cfRule>
  </conditionalFormatting>
  <conditionalFormatting sqref="F438:J438">
    <cfRule type="expression" dxfId="23" priority="6">
      <formula>$C427&lt;&gt;""</formula>
    </cfRule>
  </conditionalFormatting>
  <conditionalFormatting sqref="F442:J444">
    <cfRule type="containsBlanks" dxfId="22" priority="1045">
      <formula>LEN(TRIM(F442))=0</formula>
    </cfRule>
  </conditionalFormatting>
  <conditionalFormatting sqref="F452:J452">
    <cfRule type="expression" dxfId="21" priority="4">
      <formula>$C442&lt;&gt;""</formula>
    </cfRule>
  </conditionalFormatting>
  <conditionalFormatting sqref="F452:J453">
    <cfRule type="notContainsBlanks" dxfId="20" priority="1">
      <formula>LEN(TRIM(F452))&gt;0</formula>
    </cfRule>
  </conditionalFormatting>
  <conditionalFormatting sqref="F453:J453">
    <cfRule type="expression" dxfId="19" priority="2">
      <formula>$C442&lt;&gt;""</formula>
    </cfRule>
  </conditionalFormatting>
  <dataValidations disablePrompts="1" count="2">
    <dataValidation type="list" allowBlank="1" showInputMessage="1" showErrorMessage="1" sqref="F386:I389 F356:I359 F416:I419 F401:I404 F431:I434 F236:I239 F26:I29 F41:I44 F56:I59 F11:I14 F86:I89 F101:I104 F116:I119 F71:I74 F146:I149 F161:I164 F176:I179 F131:I134 F206:I209 F221:I224 F191:I194 F251:I254 F266:I269 F281:I284 F311:I314 F326:I329 F341:I344 F296:I299 F371:I374 F446:I449" xr:uid="{2472DFF8-C6F5-4928-BA04-C9BE42C53118}">
      <formula1>"未実施,実施中,実施済"</formula1>
    </dataValidation>
    <dataValidation type="list" allowBlank="1" showInputMessage="1" showErrorMessage="1" sqref="J386:J389 J356:J359 J416:J419 J401:J404 J431:J434 J236:J239 J26:J29 J41:J44 J56:J59 J11:J14 J86:J89 J101:J104 J116:J119 J71:J74 J146:J149 J161:J164 J176:J179 J131:J134 J206:J209 J221:J224 J191:J194 J251:J254 J266:J269 J281:J284 J311:J314 J326:J329 J341:J344 J296:J299 J371:J374 J446:J449" xr:uid="{553FEF1E-D8D8-4056-B88B-E6573B0CF897}">
      <formula1>"未完了,完了"</formula1>
    </dataValidation>
  </dataValidations>
  <pageMargins left="0.7" right="0.7" top="0.75" bottom="0.75" header="0.3" footer="0.3"/>
  <pageSetup paperSize="9" scale="54" fitToHeight="0" orientation="portrait" r:id="rId1"/>
  <colBreaks count="1" manualBreakCount="1">
    <brk id="19" max="1048575" man="1"/>
  </colBreaks>
  <customProperties>
    <customPr name="EpmWorksheetKeyString_GUID" r:id="rId2"/>
  </customProperties>
  <ignoredErrors>
    <ignoredError sqref="R6:R7 F7:F9 R9 R11" unlockedFormula="1"/>
  </ignoredErrors>
  <drawing r:id="rId3"/>
  <extLst>
    <ext xmlns:x14="http://schemas.microsoft.com/office/spreadsheetml/2009/9/main" uri="{CCE6A557-97BC-4b89-ADB6-D9C93CAAB3DF}">
      <x14:dataValidations xmlns:xm="http://schemas.microsoft.com/office/excel/2006/main" disablePrompts="1" count="1">
        <x14:dataValidation type="list" showInputMessage="1" xr:uid="{589A2673-5FE3-4290-97C7-D24C054055D6}">
          <x14:formula1>
            <xm:f>IF('4.3民生部門電力以外の排出削減取組'!$U$2=1,OFFSET('4.3民生部門電力以外の排出削減取組'!$U$5,1,0,'4.3民生部門電力以外の排出削減取組'!$U$3,1),OFFSET('4.3民生部門電力以外の排出削減取組'!$S$5,1,0,'4.3民生部門電力以外の排出削減取組'!$S$3,1))</xm:f>
          </x14:formula1>
          <xm:sqref>D37 D22 D52 D67 D82 D142 D97 D112 D127 D202 D157 D172 D187 D307 D217 D232 D247 D442 D277 D292 D262 D367 D322 D337 D352 D427 D382 D397 D412 D7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952CA-C8C6-4794-B379-D41E95ECBF6B}">
  <sheetPr codeName="Sheet24">
    <tabColor theme="7" tint="0.79998168889431442"/>
    <pageSetUpPr autoPageBreaks="0"/>
  </sheetPr>
  <dimension ref="A1:Z54"/>
  <sheetViews>
    <sheetView showGridLines="0" zoomScaleNormal="100" zoomScaleSheetLayoutView="93" workbookViewId="0"/>
  </sheetViews>
  <sheetFormatPr defaultColWidth="9" defaultRowHeight="18"/>
  <cols>
    <col min="1" max="1" width="3.75" customWidth="1"/>
    <col min="2" max="2" width="3.33203125" customWidth="1"/>
    <col min="3" max="3" width="7.83203125" customWidth="1"/>
    <col min="4" max="4" width="34.58203125" customWidth="1"/>
    <col min="5" max="5" width="11.75" customWidth="1"/>
    <col min="6" max="13" width="13.5" customWidth="1"/>
    <col min="14" max="14" width="45.83203125" customWidth="1"/>
    <col min="15" max="17" width="24.83203125" customWidth="1"/>
    <col min="18" max="18" width="2.33203125" customWidth="1"/>
    <col min="19" max="19" width="7.08203125" customWidth="1"/>
    <col min="20" max="20" width="7.08203125" hidden="1" customWidth="1"/>
    <col min="21" max="26" width="14.25" hidden="1" customWidth="1"/>
  </cols>
  <sheetData>
    <row r="1" spans="1:26">
      <c r="A1" s="698" t="s">
        <v>614</v>
      </c>
      <c r="B1" s="13"/>
      <c r="C1" s="13"/>
      <c r="D1" s="13"/>
      <c r="E1" s="13"/>
      <c r="F1" s="13"/>
      <c r="G1" s="13"/>
      <c r="H1" s="13"/>
      <c r="I1" s="13"/>
      <c r="J1" s="13"/>
      <c r="Q1" s="13"/>
    </row>
    <row r="2" spans="1:26">
      <c r="A2" s="13" t="s">
        <v>485</v>
      </c>
      <c r="B2" s="13"/>
      <c r="C2" s="13"/>
      <c r="D2" s="13"/>
      <c r="E2" s="13"/>
      <c r="F2" s="13"/>
      <c r="G2" s="13"/>
      <c r="H2" s="13"/>
      <c r="I2" s="13"/>
      <c r="J2" s="13"/>
      <c r="Q2" s="13"/>
    </row>
    <row r="3" spans="1:26">
      <c r="A3" s="13" t="s">
        <v>368</v>
      </c>
      <c r="B3" s="13"/>
      <c r="C3" s="13"/>
      <c r="D3" s="13"/>
      <c r="E3" s="13"/>
      <c r="F3" s="13"/>
      <c r="G3" s="13"/>
      <c r="H3" s="13"/>
      <c r="I3" s="13"/>
      <c r="J3" s="13"/>
      <c r="Q3" s="13"/>
    </row>
    <row r="5" spans="1:26" ht="15" customHeight="1">
      <c r="A5" s="13"/>
      <c r="B5" s="14"/>
      <c r="C5" s="15"/>
      <c r="D5" s="15"/>
      <c r="E5" s="15"/>
      <c r="F5" s="15"/>
      <c r="G5" s="15"/>
      <c r="H5" s="15"/>
      <c r="I5" s="15"/>
      <c r="J5" s="15"/>
      <c r="K5" s="15"/>
      <c r="L5" s="15"/>
      <c r="M5" s="15"/>
      <c r="N5" s="15"/>
      <c r="O5" s="15"/>
      <c r="P5" s="15"/>
      <c r="Q5" s="15"/>
      <c r="R5" s="30"/>
      <c r="S5" s="13"/>
      <c r="T5" s="13"/>
    </row>
    <row r="6" spans="1:26" ht="23.25" customHeight="1">
      <c r="A6" s="28"/>
      <c r="B6" s="16"/>
      <c r="C6" s="417" t="s">
        <v>615</v>
      </c>
      <c r="D6" s="418"/>
      <c r="E6" s="185"/>
      <c r="F6" s="186"/>
      <c r="G6" s="186"/>
      <c r="H6" s="186"/>
      <c r="I6" s="186"/>
      <c r="J6" s="186"/>
      <c r="K6" s="186"/>
      <c r="L6" s="186"/>
      <c r="M6" s="186"/>
      <c r="N6" s="185"/>
      <c r="O6" s="186"/>
      <c r="P6" s="186"/>
      <c r="Q6" s="185"/>
      <c r="R6" s="19"/>
      <c r="S6" s="13"/>
      <c r="T6" s="13"/>
    </row>
    <row r="7" spans="1:26" ht="23.25" customHeight="1">
      <c r="A7" s="28"/>
      <c r="B7" s="16"/>
      <c r="C7" s="255"/>
      <c r="D7" s="392"/>
      <c r="E7" s="393"/>
      <c r="F7" s="394" t="s">
        <v>28</v>
      </c>
      <c r="G7" s="395"/>
      <c r="H7" s="395"/>
      <c r="I7" s="395"/>
      <c r="J7" s="395"/>
      <c r="K7" s="395"/>
      <c r="L7" s="395"/>
      <c r="M7" s="395"/>
      <c r="N7" s="396"/>
      <c r="O7" s="397"/>
      <c r="P7" s="397"/>
      <c r="Q7" s="255"/>
      <c r="R7" s="19"/>
      <c r="S7" s="13"/>
      <c r="T7" t="s">
        <v>317</v>
      </c>
    </row>
    <row r="8" spans="1:26" ht="23.25" customHeight="1">
      <c r="A8" s="28"/>
      <c r="B8" s="16"/>
      <c r="C8" s="398"/>
      <c r="D8" s="399"/>
      <c r="E8" s="235"/>
      <c r="F8" s="1073" t="s">
        <v>32</v>
      </c>
      <c r="G8" s="1073"/>
      <c r="H8" s="1073" t="s">
        <v>33</v>
      </c>
      <c r="I8" s="1073"/>
      <c r="J8" s="1076" t="s">
        <v>86</v>
      </c>
      <c r="K8" s="1076"/>
      <c r="L8" s="1073" t="s">
        <v>35</v>
      </c>
      <c r="M8" s="1073"/>
      <c r="N8" s="400"/>
      <c r="O8" s="920" t="s">
        <v>607</v>
      </c>
      <c r="P8" s="919" t="s">
        <v>606</v>
      </c>
      <c r="Q8" s="398" t="s">
        <v>611</v>
      </c>
      <c r="R8" s="19"/>
      <c r="S8" s="13"/>
      <c r="T8" s="13"/>
    </row>
    <row r="9" spans="1:26" ht="53.25" customHeight="1">
      <c r="A9" s="28"/>
      <c r="B9" s="16"/>
      <c r="C9" s="402"/>
      <c r="D9" s="403" t="s">
        <v>30</v>
      </c>
      <c r="E9" s="404" t="s">
        <v>31</v>
      </c>
      <c r="F9" s="405" t="s">
        <v>143</v>
      </c>
      <c r="G9" s="405" t="s">
        <v>144</v>
      </c>
      <c r="H9" s="405" t="s">
        <v>143</v>
      </c>
      <c r="I9" s="405" t="s">
        <v>144</v>
      </c>
      <c r="J9" s="405" t="s">
        <v>143</v>
      </c>
      <c r="K9" s="405" t="s">
        <v>144</v>
      </c>
      <c r="L9" s="405" t="s">
        <v>143</v>
      </c>
      <c r="M9" s="405" t="s">
        <v>144</v>
      </c>
      <c r="N9" s="406" t="s">
        <v>232</v>
      </c>
      <c r="O9" s="402" t="s">
        <v>608</v>
      </c>
      <c r="P9" s="402" t="s">
        <v>609</v>
      </c>
      <c r="Q9" s="402" t="s">
        <v>610</v>
      </c>
      <c r="R9" s="19"/>
      <c r="S9" s="13"/>
      <c r="T9" s="409" t="s">
        <v>308</v>
      </c>
      <c r="U9" s="365" t="s">
        <v>32</v>
      </c>
      <c r="V9" s="365" t="s">
        <v>33</v>
      </c>
      <c r="W9" s="365" t="s">
        <v>86</v>
      </c>
      <c r="X9" s="365" t="s">
        <v>35</v>
      </c>
      <c r="Y9" s="366" t="s">
        <v>612</v>
      </c>
      <c r="Z9" s="366" t="s">
        <v>613</v>
      </c>
    </row>
    <row r="10" spans="1:26">
      <c r="A10" s="28"/>
      <c r="B10" s="16"/>
      <c r="C10" s="421" t="s">
        <v>486</v>
      </c>
      <c r="D10" s="176"/>
      <c r="E10" s="631"/>
      <c r="F10" s="632"/>
      <c r="G10" s="632"/>
      <c r="H10" s="632"/>
      <c r="I10" s="632"/>
      <c r="J10" s="632"/>
      <c r="K10" s="632"/>
      <c r="L10" s="632"/>
      <c r="M10" s="632"/>
      <c r="N10" s="675"/>
      <c r="O10" s="676" t="str">
        <f t="shared" ref="O10" si="0">IF(SUM(F10:M10)=0,"",SUM(F10:M10))</f>
        <v/>
      </c>
      <c r="P10" s="632"/>
      <c r="Q10" s="631"/>
      <c r="R10" s="19"/>
      <c r="S10" s="13"/>
      <c r="T10" s="409">
        <f>ROW()-9</f>
        <v>1</v>
      </c>
      <c r="U10" s="410">
        <f t="shared" ref="U10" si="1">SUM(F10:G10)</f>
        <v>0</v>
      </c>
      <c r="V10" s="410">
        <f t="shared" ref="V10" si="2">SUM(H10:I10)</f>
        <v>0</v>
      </c>
      <c r="W10" s="410">
        <f t="shared" ref="W10" si="3">SUM(J10:K10)</f>
        <v>0</v>
      </c>
      <c r="X10" s="410">
        <f t="shared" ref="X10" si="4">SUM(L10:M10)</f>
        <v>0</v>
      </c>
      <c r="Y10" s="257" t="str">
        <f t="shared" ref="Y10:Y45" si="5">IF(SUM(F10:M10)=0,"",SUM(F10:M10))</f>
        <v/>
      </c>
      <c r="Z10" s="257" t="str">
        <f>IF(Q10="","",IFERROR(Q10-O10,""))</f>
        <v/>
      </c>
    </row>
    <row r="11" spans="1:26" s="11" customFormat="1" hidden="1">
      <c r="A11" s="29"/>
      <c r="B11" s="22"/>
      <c r="C11" s="67"/>
      <c r="D11" s="677"/>
      <c r="E11" s="677"/>
      <c r="F11" s="678"/>
      <c r="G11" s="678"/>
      <c r="H11" s="678"/>
      <c r="I11" s="678"/>
      <c r="J11" s="678"/>
      <c r="K11" s="678"/>
      <c r="L11" s="678"/>
      <c r="M11" s="678"/>
      <c r="N11" s="679"/>
      <c r="O11" s="686" t="str">
        <f>IF(SUM(F11:M11)=0,"",SUM(F11:M11))</f>
        <v/>
      </c>
      <c r="P11" s="686" t="str">
        <f>IF(Q11="","",IFERROR(Q11-O11,""))</f>
        <v/>
      </c>
      <c r="Q11" s="677"/>
      <c r="R11" s="24"/>
      <c r="S11" s="21"/>
      <c r="T11" s="23">
        <f t="shared" ref="T11:T48" si="6">ROW()-9</f>
        <v>2</v>
      </c>
      <c r="U11" s="215">
        <f>SUM(F11:G11)</f>
        <v>0</v>
      </c>
      <c r="V11" s="215">
        <f>SUM(H11:I11)</f>
        <v>0</v>
      </c>
      <c r="W11" s="215">
        <f>SUM(J11:K11)</f>
        <v>0</v>
      </c>
      <c r="X11" s="215">
        <f>SUM(L11:M11)</f>
        <v>0</v>
      </c>
      <c r="Y11" s="257" t="str">
        <f t="shared" si="5"/>
        <v/>
      </c>
      <c r="Z11" s="257" t="str">
        <f>IF(Q11="","",IFERROR(Q11-O11,""))</f>
        <v/>
      </c>
    </row>
    <row r="12" spans="1:26" s="11" customFormat="1">
      <c r="A12" s="29"/>
      <c r="B12" s="22"/>
      <c r="C12" s="67"/>
      <c r="D12" s="680"/>
      <c r="E12" s="680"/>
      <c r="F12" s="681"/>
      <c r="G12" s="681"/>
      <c r="H12" s="681"/>
      <c r="I12" s="681"/>
      <c r="J12" s="681"/>
      <c r="K12" s="681"/>
      <c r="L12" s="681"/>
      <c r="M12" s="681"/>
      <c r="N12" s="682"/>
      <c r="O12" s="645" t="str">
        <f t="shared" ref="O12" si="7">IF(SUM(F12:M12)=0,"",SUM(F12:M12))</f>
        <v/>
      </c>
      <c r="P12" s="645" t="str">
        <f t="shared" ref="P12:P46" si="8">IF(Q12="","",IFERROR(Q12-O12,""))</f>
        <v/>
      </c>
      <c r="Q12" s="680"/>
      <c r="R12" s="24"/>
      <c r="S12" s="21"/>
      <c r="T12" s="23">
        <f t="shared" si="6"/>
        <v>3</v>
      </c>
      <c r="U12" s="215">
        <f t="shared" ref="U12" si="9">SUM(F12:G12)</f>
        <v>0</v>
      </c>
      <c r="V12" s="215">
        <f t="shared" ref="V12" si="10">SUM(H12:I12)</f>
        <v>0</v>
      </c>
      <c r="W12" s="215">
        <f t="shared" ref="W12" si="11">SUM(J12:K12)</f>
        <v>0</v>
      </c>
      <c r="X12" s="215">
        <f t="shared" ref="X12" si="12">SUM(L12:M12)</f>
        <v>0</v>
      </c>
      <c r="Y12" s="257" t="str">
        <f t="shared" ref="Y12" si="13">IF(SUM(F12:M12)=0,"",SUM(F12:M12))</f>
        <v/>
      </c>
      <c r="Z12" s="257" t="str">
        <f t="shared" ref="Z12:Z44" si="14">IF(Q12="","",IFERROR(Q12-O12,""))</f>
        <v/>
      </c>
    </row>
    <row r="13" spans="1:26" s="11" customFormat="1">
      <c r="A13" s="29"/>
      <c r="B13" s="22"/>
      <c r="C13" s="67"/>
      <c r="D13" s="683"/>
      <c r="E13" s="683"/>
      <c r="F13" s="684"/>
      <c r="G13" s="684"/>
      <c r="H13" s="684"/>
      <c r="I13" s="684"/>
      <c r="J13" s="684"/>
      <c r="K13" s="684"/>
      <c r="L13" s="684"/>
      <c r="M13" s="684"/>
      <c r="N13" s="685"/>
      <c r="O13" s="644" t="str">
        <f t="shared" ref="O13" si="15">IF(SUM(F13:M13)=0,"",SUM(F13:M13))</f>
        <v/>
      </c>
      <c r="P13" s="644" t="str">
        <f t="shared" si="8"/>
        <v/>
      </c>
      <c r="Q13" s="683"/>
      <c r="R13" s="24"/>
      <c r="S13" s="21"/>
      <c r="T13" s="23">
        <f t="shared" si="6"/>
        <v>4</v>
      </c>
      <c r="U13" s="215">
        <f t="shared" ref="U13" si="16">SUM(F13:G13)</f>
        <v>0</v>
      </c>
      <c r="V13" s="215">
        <f t="shared" ref="V13" si="17">SUM(H13:I13)</f>
        <v>0</v>
      </c>
      <c r="W13" s="215">
        <f t="shared" ref="W13" si="18">SUM(J13:K13)</f>
        <v>0</v>
      </c>
      <c r="X13" s="215">
        <f t="shared" ref="X13" si="19">SUM(L13:M13)</f>
        <v>0</v>
      </c>
      <c r="Y13" s="257" t="str">
        <f>IF(SUM(F13:M13)=0,"",SUM(F13:M13))</f>
        <v/>
      </c>
      <c r="Z13" s="257" t="str">
        <f t="shared" si="14"/>
        <v/>
      </c>
    </row>
    <row r="14" spans="1:26" s="11" customFormat="1">
      <c r="A14" s="29"/>
      <c r="B14" s="22"/>
      <c r="C14" s="67"/>
      <c r="D14" s="683"/>
      <c r="E14" s="683"/>
      <c r="F14" s="684"/>
      <c r="G14" s="684"/>
      <c r="H14" s="684"/>
      <c r="I14" s="684"/>
      <c r="J14" s="684"/>
      <c r="K14" s="684"/>
      <c r="L14" s="684"/>
      <c r="M14" s="684"/>
      <c r="N14" s="685"/>
      <c r="O14" s="644" t="str">
        <f t="shared" ref="O14:O45" si="20">IF(SUM(F14:M14)=0,"",SUM(F14:M14))</f>
        <v/>
      </c>
      <c r="P14" s="644" t="str">
        <f t="shared" si="8"/>
        <v/>
      </c>
      <c r="Q14" s="683"/>
      <c r="R14" s="24"/>
      <c r="S14" s="21"/>
      <c r="T14" s="23">
        <f t="shared" si="6"/>
        <v>5</v>
      </c>
      <c r="U14" s="215">
        <f t="shared" ref="U14:U15" si="21">SUM(F14:G14)</f>
        <v>0</v>
      </c>
      <c r="V14" s="215">
        <f t="shared" ref="V14:V15" si="22">SUM(H14:I14)</f>
        <v>0</v>
      </c>
      <c r="W14" s="215">
        <f t="shared" ref="W14:W15" si="23">SUM(J14:K14)</f>
        <v>0</v>
      </c>
      <c r="X14" s="215">
        <f t="shared" ref="X14:X15" si="24">SUM(L14:M14)</f>
        <v>0</v>
      </c>
      <c r="Y14" s="257" t="str">
        <f>IF(SUM(F14:M14)=0,"",SUM(F14:M14))</f>
        <v/>
      </c>
      <c r="Z14" s="257" t="str">
        <f t="shared" si="14"/>
        <v/>
      </c>
    </row>
    <row r="15" spans="1:26" s="11" customFormat="1">
      <c r="A15" s="29"/>
      <c r="B15" s="22"/>
      <c r="C15" s="67"/>
      <c r="D15" s="683"/>
      <c r="E15" s="683"/>
      <c r="F15" s="684"/>
      <c r="G15" s="684"/>
      <c r="H15" s="684"/>
      <c r="I15" s="684"/>
      <c r="J15" s="684"/>
      <c r="K15" s="684"/>
      <c r="L15" s="684"/>
      <c r="M15" s="684"/>
      <c r="N15" s="685"/>
      <c r="O15" s="644" t="str">
        <f t="shared" si="20"/>
        <v/>
      </c>
      <c r="P15" s="644" t="str">
        <f t="shared" si="8"/>
        <v/>
      </c>
      <c r="Q15" s="683"/>
      <c r="R15" s="24"/>
      <c r="S15" s="21"/>
      <c r="T15" s="23">
        <f t="shared" si="6"/>
        <v>6</v>
      </c>
      <c r="U15" s="215">
        <f t="shared" si="21"/>
        <v>0</v>
      </c>
      <c r="V15" s="215">
        <f t="shared" si="22"/>
        <v>0</v>
      </c>
      <c r="W15" s="215">
        <f t="shared" si="23"/>
        <v>0</v>
      </c>
      <c r="X15" s="215">
        <f t="shared" si="24"/>
        <v>0</v>
      </c>
      <c r="Y15" s="257" t="str">
        <f>IF(SUM(F15:M15)=0,"",SUM(F15:M15))</f>
        <v/>
      </c>
      <c r="Z15" s="257" t="str">
        <f t="shared" si="14"/>
        <v/>
      </c>
    </row>
    <row r="16" spans="1:26" s="11" customFormat="1">
      <c r="A16" s="29"/>
      <c r="B16" s="22"/>
      <c r="C16" s="67"/>
      <c r="D16" s="680"/>
      <c r="E16" s="680"/>
      <c r="F16" s="681"/>
      <c r="G16" s="681"/>
      <c r="H16" s="681"/>
      <c r="I16" s="681"/>
      <c r="J16" s="681"/>
      <c r="K16" s="681"/>
      <c r="L16" s="681"/>
      <c r="M16" s="681"/>
      <c r="N16" s="682"/>
      <c r="O16" s="645" t="str">
        <f t="shared" ref="O16:O23" si="25">IF(SUM(F16:M16)=0,"",SUM(F16:M16))</f>
        <v/>
      </c>
      <c r="P16" s="645" t="str">
        <f t="shared" si="8"/>
        <v/>
      </c>
      <c r="Q16" s="680"/>
      <c r="R16" s="24"/>
      <c r="S16" s="21"/>
      <c r="T16" s="23">
        <f t="shared" si="6"/>
        <v>7</v>
      </c>
      <c r="U16" s="215">
        <f t="shared" ref="U16:U23" si="26">SUM(F16:G16)</f>
        <v>0</v>
      </c>
      <c r="V16" s="215">
        <f t="shared" ref="V16:V23" si="27">SUM(H16:I16)</f>
        <v>0</v>
      </c>
      <c r="W16" s="215">
        <f t="shared" ref="W16:W23" si="28">SUM(J16:K16)</f>
        <v>0</v>
      </c>
      <c r="X16" s="215">
        <f t="shared" ref="X16:X23" si="29">SUM(L16:M16)</f>
        <v>0</v>
      </c>
      <c r="Y16" s="257" t="str">
        <f t="shared" ref="Y16:Y23" si="30">IF(SUM(F16:M16)=0,"",SUM(F16:M16))</f>
        <v/>
      </c>
      <c r="Z16" s="257" t="str">
        <f t="shared" si="14"/>
        <v/>
      </c>
    </row>
    <row r="17" spans="1:26" s="11" customFormat="1">
      <c r="A17" s="29"/>
      <c r="B17" s="22"/>
      <c r="C17" s="67"/>
      <c r="D17" s="683"/>
      <c r="E17" s="683"/>
      <c r="F17" s="684"/>
      <c r="G17" s="684"/>
      <c r="H17" s="684"/>
      <c r="I17" s="684"/>
      <c r="J17" s="684"/>
      <c r="K17" s="684"/>
      <c r="L17" s="684"/>
      <c r="M17" s="684"/>
      <c r="N17" s="685"/>
      <c r="O17" s="644" t="str">
        <f t="shared" si="25"/>
        <v/>
      </c>
      <c r="P17" s="644" t="str">
        <f t="shared" si="8"/>
        <v/>
      </c>
      <c r="Q17" s="683"/>
      <c r="R17" s="24"/>
      <c r="S17" s="21"/>
      <c r="T17" s="23">
        <f t="shared" si="6"/>
        <v>8</v>
      </c>
      <c r="U17" s="215">
        <f t="shared" si="26"/>
        <v>0</v>
      </c>
      <c r="V17" s="215">
        <f t="shared" si="27"/>
        <v>0</v>
      </c>
      <c r="W17" s="215">
        <f t="shared" si="28"/>
        <v>0</v>
      </c>
      <c r="X17" s="215">
        <f t="shared" si="29"/>
        <v>0</v>
      </c>
      <c r="Y17" s="257" t="str">
        <f>IF(SUM(F17:M17)=0,"",SUM(F17:M17))</f>
        <v/>
      </c>
      <c r="Z17" s="257" t="str">
        <f t="shared" si="14"/>
        <v/>
      </c>
    </row>
    <row r="18" spans="1:26" s="11" customFormat="1">
      <c r="A18" s="29"/>
      <c r="B18" s="22"/>
      <c r="C18" s="67"/>
      <c r="D18" s="683"/>
      <c r="E18" s="683"/>
      <c r="F18" s="684"/>
      <c r="G18" s="684"/>
      <c r="H18" s="684"/>
      <c r="I18" s="684"/>
      <c r="J18" s="684"/>
      <c r="K18" s="684"/>
      <c r="L18" s="684"/>
      <c r="M18" s="684"/>
      <c r="N18" s="685"/>
      <c r="O18" s="644" t="str">
        <f t="shared" si="25"/>
        <v/>
      </c>
      <c r="P18" s="644" t="str">
        <f t="shared" si="8"/>
        <v/>
      </c>
      <c r="Q18" s="683"/>
      <c r="R18" s="24"/>
      <c r="S18" s="21"/>
      <c r="T18" s="23">
        <f t="shared" si="6"/>
        <v>9</v>
      </c>
      <c r="U18" s="215">
        <f t="shared" si="26"/>
        <v>0</v>
      </c>
      <c r="V18" s="215">
        <f t="shared" si="27"/>
        <v>0</v>
      </c>
      <c r="W18" s="215">
        <f t="shared" si="28"/>
        <v>0</v>
      </c>
      <c r="X18" s="215">
        <f t="shared" si="29"/>
        <v>0</v>
      </c>
      <c r="Y18" s="257" t="str">
        <f>IF(SUM(F18:M18)=0,"",SUM(F18:M18))</f>
        <v/>
      </c>
      <c r="Z18" s="257" t="str">
        <f t="shared" si="14"/>
        <v/>
      </c>
    </row>
    <row r="19" spans="1:26" s="11" customFormat="1">
      <c r="A19" s="29"/>
      <c r="B19" s="22"/>
      <c r="C19" s="67"/>
      <c r="D19" s="680"/>
      <c r="E19" s="680"/>
      <c r="F19" s="681"/>
      <c r="G19" s="681"/>
      <c r="H19" s="681"/>
      <c r="I19" s="681"/>
      <c r="J19" s="681"/>
      <c r="K19" s="681"/>
      <c r="L19" s="681"/>
      <c r="M19" s="681"/>
      <c r="N19" s="682"/>
      <c r="O19" s="645" t="str">
        <f t="shared" si="25"/>
        <v/>
      </c>
      <c r="P19" s="645" t="str">
        <f t="shared" si="8"/>
        <v/>
      </c>
      <c r="Q19" s="680"/>
      <c r="R19" s="24"/>
      <c r="S19" s="21"/>
      <c r="T19" s="23">
        <f t="shared" si="6"/>
        <v>10</v>
      </c>
      <c r="U19" s="215">
        <f t="shared" si="26"/>
        <v>0</v>
      </c>
      <c r="V19" s="215">
        <f t="shared" si="27"/>
        <v>0</v>
      </c>
      <c r="W19" s="215">
        <f t="shared" si="28"/>
        <v>0</v>
      </c>
      <c r="X19" s="215">
        <f t="shared" si="29"/>
        <v>0</v>
      </c>
      <c r="Y19" s="257" t="str">
        <f>IF(SUM(F19:M19)=0,"",SUM(F19:M19))</f>
        <v/>
      </c>
      <c r="Z19" s="257" t="str">
        <f t="shared" si="14"/>
        <v/>
      </c>
    </row>
    <row r="20" spans="1:26" s="11" customFormat="1">
      <c r="A20" s="29"/>
      <c r="B20" s="22"/>
      <c r="C20" s="67"/>
      <c r="D20" s="683"/>
      <c r="E20" s="683"/>
      <c r="F20" s="684"/>
      <c r="G20" s="684"/>
      <c r="H20" s="684"/>
      <c r="I20" s="684"/>
      <c r="J20" s="684"/>
      <c r="K20" s="684"/>
      <c r="L20" s="684"/>
      <c r="M20" s="684"/>
      <c r="N20" s="685"/>
      <c r="O20" s="644" t="str">
        <f t="shared" si="25"/>
        <v/>
      </c>
      <c r="P20" s="644" t="str">
        <f t="shared" si="8"/>
        <v/>
      </c>
      <c r="Q20" s="683"/>
      <c r="R20" s="24"/>
      <c r="S20" s="21"/>
      <c r="T20" s="23">
        <f t="shared" si="6"/>
        <v>11</v>
      </c>
      <c r="U20" s="215">
        <f t="shared" si="26"/>
        <v>0</v>
      </c>
      <c r="V20" s="215">
        <f t="shared" si="27"/>
        <v>0</v>
      </c>
      <c r="W20" s="215">
        <f t="shared" si="28"/>
        <v>0</v>
      </c>
      <c r="X20" s="215">
        <f t="shared" si="29"/>
        <v>0</v>
      </c>
      <c r="Y20" s="257" t="str">
        <f>IF(SUM(F20:M20)=0,"",SUM(F20:M20))</f>
        <v/>
      </c>
      <c r="Z20" s="257" t="str">
        <f t="shared" si="14"/>
        <v/>
      </c>
    </row>
    <row r="21" spans="1:26" s="11" customFormat="1">
      <c r="A21" s="29"/>
      <c r="B21" s="22"/>
      <c r="C21" s="67"/>
      <c r="D21" s="683"/>
      <c r="E21" s="683"/>
      <c r="F21" s="684"/>
      <c r="G21" s="684"/>
      <c r="H21" s="684"/>
      <c r="I21" s="684"/>
      <c r="J21" s="684"/>
      <c r="K21" s="684"/>
      <c r="L21" s="684"/>
      <c r="M21" s="684"/>
      <c r="N21" s="685"/>
      <c r="O21" s="644" t="str">
        <f t="shared" si="25"/>
        <v/>
      </c>
      <c r="P21" s="644" t="str">
        <f t="shared" si="8"/>
        <v/>
      </c>
      <c r="Q21" s="683"/>
      <c r="R21" s="24"/>
      <c r="S21" s="21"/>
      <c r="T21" s="23">
        <f t="shared" si="6"/>
        <v>12</v>
      </c>
      <c r="U21" s="215">
        <f t="shared" si="26"/>
        <v>0</v>
      </c>
      <c r="V21" s="215">
        <f t="shared" si="27"/>
        <v>0</v>
      </c>
      <c r="W21" s="215">
        <f t="shared" si="28"/>
        <v>0</v>
      </c>
      <c r="X21" s="215">
        <f t="shared" si="29"/>
        <v>0</v>
      </c>
      <c r="Y21" s="257" t="str">
        <f>IF(SUM(F21:M21)=0,"",SUM(F21:M21))</f>
        <v/>
      </c>
      <c r="Z21" s="257" t="str">
        <f t="shared" si="14"/>
        <v/>
      </c>
    </row>
    <row r="22" spans="1:26" s="11" customFormat="1">
      <c r="A22" s="29"/>
      <c r="B22" s="22"/>
      <c r="C22" s="67"/>
      <c r="D22" s="680"/>
      <c r="E22" s="680"/>
      <c r="F22" s="681"/>
      <c r="G22" s="681"/>
      <c r="H22" s="681"/>
      <c r="I22" s="681"/>
      <c r="J22" s="681"/>
      <c r="K22" s="681"/>
      <c r="L22" s="681"/>
      <c r="M22" s="681"/>
      <c r="N22" s="682"/>
      <c r="O22" s="645" t="str">
        <f t="shared" si="25"/>
        <v/>
      </c>
      <c r="P22" s="645" t="str">
        <f t="shared" si="8"/>
        <v/>
      </c>
      <c r="Q22" s="680"/>
      <c r="R22" s="24"/>
      <c r="S22" s="21"/>
      <c r="T22" s="23">
        <f t="shared" si="6"/>
        <v>13</v>
      </c>
      <c r="U22" s="215">
        <f t="shared" si="26"/>
        <v>0</v>
      </c>
      <c r="V22" s="215">
        <f t="shared" si="27"/>
        <v>0</v>
      </c>
      <c r="W22" s="215">
        <f t="shared" si="28"/>
        <v>0</v>
      </c>
      <c r="X22" s="215">
        <f t="shared" si="29"/>
        <v>0</v>
      </c>
      <c r="Y22" s="257" t="str">
        <f t="shared" si="30"/>
        <v/>
      </c>
      <c r="Z22" s="257" t="str">
        <f t="shared" si="14"/>
        <v/>
      </c>
    </row>
    <row r="23" spans="1:26" s="11" customFormat="1">
      <c r="A23" s="29"/>
      <c r="B23" s="22"/>
      <c r="C23" s="67"/>
      <c r="D23" s="683"/>
      <c r="E23" s="683"/>
      <c r="F23" s="684"/>
      <c r="G23" s="684"/>
      <c r="H23" s="684"/>
      <c r="I23" s="684"/>
      <c r="J23" s="684"/>
      <c r="K23" s="684"/>
      <c r="L23" s="684"/>
      <c r="M23" s="684"/>
      <c r="N23" s="685"/>
      <c r="O23" s="644" t="str">
        <f t="shared" si="25"/>
        <v/>
      </c>
      <c r="P23" s="644" t="str">
        <f t="shared" si="8"/>
        <v/>
      </c>
      <c r="Q23" s="683"/>
      <c r="R23" s="24"/>
      <c r="S23" s="21"/>
      <c r="T23" s="23">
        <f t="shared" si="6"/>
        <v>14</v>
      </c>
      <c r="U23" s="215">
        <f t="shared" si="26"/>
        <v>0</v>
      </c>
      <c r="V23" s="215">
        <f t="shared" si="27"/>
        <v>0</v>
      </c>
      <c r="W23" s="215">
        <f t="shared" si="28"/>
        <v>0</v>
      </c>
      <c r="X23" s="215">
        <f t="shared" si="29"/>
        <v>0</v>
      </c>
      <c r="Y23" s="257" t="str">
        <f t="shared" si="30"/>
        <v/>
      </c>
      <c r="Z23" s="257" t="str">
        <f t="shared" si="14"/>
        <v/>
      </c>
    </row>
    <row r="24" spans="1:26" s="11" customFormat="1">
      <c r="A24" s="29"/>
      <c r="B24" s="22"/>
      <c r="C24" s="67"/>
      <c r="D24" s="683"/>
      <c r="E24" s="683"/>
      <c r="F24" s="684"/>
      <c r="G24" s="684"/>
      <c r="H24" s="684"/>
      <c r="I24" s="684"/>
      <c r="J24" s="684"/>
      <c r="K24" s="684"/>
      <c r="L24" s="684"/>
      <c r="M24" s="684"/>
      <c r="N24" s="685"/>
      <c r="O24" s="644" t="str">
        <f t="shared" ref="O24:O29" si="31">IF(SUM(F24:M24)=0,"",SUM(F24:M24))</f>
        <v/>
      </c>
      <c r="P24" s="644" t="str">
        <f t="shared" si="8"/>
        <v/>
      </c>
      <c r="Q24" s="683"/>
      <c r="R24" s="24"/>
      <c r="S24" s="21"/>
      <c r="T24" s="23">
        <f t="shared" si="6"/>
        <v>15</v>
      </c>
      <c r="U24" s="215">
        <f t="shared" ref="U24:U29" si="32">SUM(F24:G24)</f>
        <v>0</v>
      </c>
      <c r="V24" s="215">
        <f t="shared" ref="V24:V29" si="33">SUM(H24:I24)</f>
        <v>0</v>
      </c>
      <c r="W24" s="215">
        <f t="shared" ref="W24:W29" si="34">SUM(J24:K24)</f>
        <v>0</v>
      </c>
      <c r="X24" s="215">
        <f t="shared" ref="X24:X29" si="35">SUM(L24:M24)</f>
        <v>0</v>
      </c>
      <c r="Y24" s="257" t="str">
        <f t="shared" ref="Y24:Y29" si="36">IF(SUM(F24:M24)=0,"",SUM(F24:M24))</f>
        <v/>
      </c>
      <c r="Z24" s="257" t="str">
        <f t="shared" si="14"/>
        <v/>
      </c>
    </row>
    <row r="25" spans="1:26" s="11" customFormat="1">
      <c r="A25" s="29"/>
      <c r="B25" s="22"/>
      <c r="C25" s="67"/>
      <c r="D25" s="683"/>
      <c r="E25" s="683"/>
      <c r="F25" s="684"/>
      <c r="G25" s="684"/>
      <c r="H25" s="684"/>
      <c r="I25" s="684"/>
      <c r="J25" s="684"/>
      <c r="K25" s="684"/>
      <c r="L25" s="684"/>
      <c r="M25" s="684"/>
      <c r="N25" s="685"/>
      <c r="O25" s="644" t="str">
        <f t="shared" si="31"/>
        <v/>
      </c>
      <c r="P25" s="644" t="str">
        <f t="shared" si="8"/>
        <v/>
      </c>
      <c r="Q25" s="683"/>
      <c r="R25" s="24"/>
      <c r="S25" s="21"/>
      <c r="T25" s="23">
        <f t="shared" si="6"/>
        <v>16</v>
      </c>
      <c r="U25" s="215">
        <f t="shared" si="32"/>
        <v>0</v>
      </c>
      <c r="V25" s="215">
        <f t="shared" si="33"/>
        <v>0</v>
      </c>
      <c r="W25" s="215">
        <f t="shared" si="34"/>
        <v>0</v>
      </c>
      <c r="X25" s="215">
        <f t="shared" si="35"/>
        <v>0</v>
      </c>
      <c r="Y25" s="257" t="str">
        <f t="shared" si="36"/>
        <v/>
      </c>
      <c r="Z25" s="257" t="str">
        <f t="shared" si="14"/>
        <v/>
      </c>
    </row>
    <row r="26" spans="1:26" s="11" customFormat="1">
      <c r="A26" s="29"/>
      <c r="B26" s="22"/>
      <c r="C26" s="67"/>
      <c r="D26" s="683"/>
      <c r="E26" s="683"/>
      <c r="F26" s="684"/>
      <c r="G26" s="684"/>
      <c r="H26" s="684"/>
      <c r="I26" s="684"/>
      <c r="J26" s="684"/>
      <c r="K26" s="684"/>
      <c r="L26" s="684"/>
      <c r="M26" s="684"/>
      <c r="N26" s="685"/>
      <c r="O26" s="644" t="str">
        <f t="shared" si="31"/>
        <v/>
      </c>
      <c r="P26" s="644" t="str">
        <f t="shared" si="8"/>
        <v/>
      </c>
      <c r="Q26" s="683"/>
      <c r="R26" s="24"/>
      <c r="S26" s="21"/>
      <c r="T26" s="23">
        <f t="shared" si="6"/>
        <v>17</v>
      </c>
      <c r="U26" s="215">
        <f t="shared" si="32"/>
        <v>0</v>
      </c>
      <c r="V26" s="215">
        <f t="shared" si="33"/>
        <v>0</v>
      </c>
      <c r="W26" s="215">
        <f t="shared" si="34"/>
        <v>0</v>
      </c>
      <c r="X26" s="215">
        <f t="shared" si="35"/>
        <v>0</v>
      </c>
      <c r="Y26" s="257" t="str">
        <f t="shared" si="36"/>
        <v/>
      </c>
      <c r="Z26" s="257" t="str">
        <f t="shared" si="14"/>
        <v/>
      </c>
    </row>
    <row r="27" spans="1:26" s="11" customFormat="1">
      <c r="A27" s="29"/>
      <c r="B27" s="22"/>
      <c r="C27" s="67"/>
      <c r="D27" s="680"/>
      <c r="E27" s="680"/>
      <c r="F27" s="681"/>
      <c r="G27" s="681"/>
      <c r="H27" s="681"/>
      <c r="I27" s="681"/>
      <c r="J27" s="681"/>
      <c r="K27" s="681"/>
      <c r="L27" s="681"/>
      <c r="M27" s="681"/>
      <c r="N27" s="682"/>
      <c r="O27" s="645" t="str">
        <f t="shared" si="31"/>
        <v/>
      </c>
      <c r="P27" s="645" t="str">
        <f t="shared" si="8"/>
        <v/>
      </c>
      <c r="Q27" s="680"/>
      <c r="R27" s="24"/>
      <c r="S27" s="21"/>
      <c r="T27" s="23">
        <f t="shared" si="6"/>
        <v>18</v>
      </c>
      <c r="U27" s="215">
        <f t="shared" si="32"/>
        <v>0</v>
      </c>
      <c r="V27" s="215">
        <f t="shared" si="33"/>
        <v>0</v>
      </c>
      <c r="W27" s="215">
        <f t="shared" si="34"/>
        <v>0</v>
      </c>
      <c r="X27" s="215">
        <f t="shared" si="35"/>
        <v>0</v>
      </c>
      <c r="Y27" s="257" t="str">
        <f t="shared" si="36"/>
        <v/>
      </c>
      <c r="Z27" s="257" t="str">
        <f t="shared" si="14"/>
        <v/>
      </c>
    </row>
    <row r="28" spans="1:26" s="11" customFormat="1">
      <c r="A28" s="29"/>
      <c r="B28" s="22"/>
      <c r="C28" s="67"/>
      <c r="D28" s="683"/>
      <c r="E28" s="683"/>
      <c r="F28" s="684"/>
      <c r="G28" s="684"/>
      <c r="H28" s="684"/>
      <c r="I28" s="684"/>
      <c r="J28" s="684"/>
      <c r="K28" s="684"/>
      <c r="L28" s="684"/>
      <c r="M28" s="684"/>
      <c r="N28" s="685"/>
      <c r="O28" s="644" t="str">
        <f t="shared" si="31"/>
        <v/>
      </c>
      <c r="P28" s="644" t="str">
        <f t="shared" si="8"/>
        <v/>
      </c>
      <c r="Q28" s="683"/>
      <c r="R28" s="24"/>
      <c r="S28" s="21"/>
      <c r="T28" s="23">
        <f t="shared" si="6"/>
        <v>19</v>
      </c>
      <c r="U28" s="215">
        <f t="shared" si="32"/>
        <v>0</v>
      </c>
      <c r="V28" s="215">
        <f t="shared" si="33"/>
        <v>0</v>
      </c>
      <c r="W28" s="215">
        <f t="shared" si="34"/>
        <v>0</v>
      </c>
      <c r="X28" s="215">
        <f t="shared" si="35"/>
        <v>0</v>
      </c>
      <c r="Y28" s="257" t="str">
        <f t="shared" si="36"/>
        <v/>
      </c>
      <c r="Z28" s="257" t="str">
        <f t="shared" si="14"/>
        <v/>
      </c>
    </row>
    <row r="29" spans="1:26" s="11" customFormat="1">
      <c r="A29" s="29"/>
      <c r="B29" s="22"/>
      <c r="C29" s="67"/>
      <c r="D29" s="683"/>
      <c r="E29" s="683"/>
      <c r="F29" s="684"/>
      <c r="G29" s="684"/>
      <c r="H29" s="684"/>
      <c r="I29" s="684"/>
      <c r="J29" s="684"/>
      <c r="K29" s="684"/>
      <c r="L29" s="684"/>
      <c r="M29" s="684"/>
      <c r="N29" s="685"/>
      <c r="O29" s="644" t="str">
        <f t="shared" si="31"/>
        <v/>
      </c>
      <c r="P29" s="644" t="str">
        <f t="shared" si="8"/>
        <v/>
      </c>
      <c r="Q29" s="683"/>
      <c r="R29" s="24"/>
      <c r="S29" s="21"/>
      <c r="T29" s="23">
        <f t="shared" si="6"/>
        <v>20</v>
      </c>
      <c r="U29" s="215">
        <f t="shared" si="32"/>
        <v>0</v>
      </c>
      <c r="V29" s="215">
        <f t="shared" si="33"/>
        <v>0</v>
      </c>
      <c r="W29" s="215">
        <f t="shared" si="34"/>
        <v>0</v>
      </c>
      <c r="X29" s="215">
        <f t="shared" si="35"/>
        <v>0</v>
      </c>
      <c r="Y29" s="257" t="str">
        <f t="shared" si="36"/>
        <v/>
      </c>
      <c r="Z29" s="257" t="str">
        <f t="shared" si="14"/>
        <v/>
      </c>
    </row>
    <row r="30" spans="1:26" s="11" customFormat="1">
      <c r="A30" s="29"/>
      <c r="B30" s="22"/>
      <c r="C30" s="67"/>
      <c r="D30" s="683"/>
      <c r="E30" s="683"/>
      <c r="F30" s="684"/>
      <c r="G30" s="684"/>
      <c r="H30" s="684"/>
      <c r="I30" s="684"/>
      <c r="J30" s="684"/>
      <c r="K30" s="684"/>
      <c r="L30" s="684"/>
      <c r="M30" s="684"/>
      <c r="N30" s="685"/>
      <c r="O30" s="644" t="str">
        <f t="shared" si="20"/>
        <v/>
      </c>
      <c r="P30" s="644" t="str">
        <f t="shared" si="8"/>
        <v/>
      </c>
      <c r="Q30" s="683"/>
      <c r="R30" s="24"/>
      <c r="S30" s="21"/>
      <c r="T30" s="23">
        <f t="shared" si="6"/>
        <v>21</v>
      </c>
      <c r="U30" s="215">
        <f t="shared" ref="U30:U45" si="37">SUM(F30:G30)</f>
        <v>0</v>
      </c>
      <c r="V30" s="215">
        <f t="shared" ref="V30:V45" si="38">SUM(H30:I30)</f>
        <v>0</v>
      </c>
      <c r="W30" s="215">
        <f t="shared" ref="W30:W45" si="39">SUM(J30:K30)</f>
        <v>0</v>
      </c>
      <c r="X30" s="215">
        <f t="shared" ref="X30:X45" si="40">SUM(L30:M30)</f>
        <v>0</v>
      </c>
      <c r="Y30" s="257" t="str">
        <f t="shared" si="5"/>
        <v/>
      </c>
      <c r="Z30" s="257" t="str">
        <f t="shared" si="14"/>
        <v/>
      </c>
    </row>
    <row r="31" spans="1:26" s="11" customFormat="1">
      <c r="A31" s="29"/>
      <c r="B31" s="22"/>
      <c r="C31" s="67"/>
      <c r="D31" s="683"/>
      <c r="E31" s="683"/>
      <c r="F31" s="684"/>
      <c r="G31" s="684"/>
      <c r="H31" s="684"/>
      <c r="I31" s="684"/>
      <c r="J31" s="684"/>
      <c r="K31" s="684"/>
      <c r="L31" s="684"/>
      <c r="M31" s="684"/>
      <c r="N31" s="685"/>
      <c r="O31" s="644" t="str">
        <f t="shared" si="20"/>
        <v/>
      </c>
      <c r="P31" s="644" t="str">
        <f t="shared" si="8"/>
        <v/>
      </c>
      <c r="Q31" s="683"/>
      <c r="R31" s="24"/>
      <c r="S31" s="21"/>
      <c r="T31" s="23">
        <f t="shared" si="6"/>
        <v>22</v>
      </c>
      <c r="U31" s="215">
        <f t="shared" si="37"/>
        <v>0</v>
      </c>
      <c r="V31" s="215">
        <f t="shared" si="38"/>
        <v>0</v>
      </c>
      <c r="W31" s="215">
        <f t="shared" si="39"/>
        <v>0</v>
      </c>
      <c r="X31" s="215">
        <f t="shared" si="40"/>
        <v>0</v>
      </c>
      <c r="Y31" s="257" t="str">
        <f t="shared" si="5"/>
        <v/>
      </c>
      <c r="Z31" s="257" t="str">
        <f t="shared" si="14"/>
        <v/>
      </c>
    </row>
    <row r="32" spans="1:26" s="11" customFormat="1">
      <c r="A32" s="29"/>
      <c r="B32" s="22"/>
      <c r="C32" s="67"/>
      <c r="D32" s="683"/>
      <c r="E32" s="683"/>
      <c r="F32" s="684"/>
      <c r="G32" s="684"/>
      <c r="H32" s="684"/>
      <c r="I32" s="684"/>
      <c r="J32" s="684"/>
      <c r="K32" s="684"/>
      <c r="L32" s="684"/>
      <c r="M32" s="684"/>
      <c r="N32" s="685"/>
      <c r="O32" s="644" t="str">
        <f t="shared" si="20"/>
        <v/>
      </c>
      <c r="P32" s="644" t="str">
        <f t="shared" si="8"/>
        <v/>
      </c>
      <c r="Q32" s="683"/>
      <c r="R32" s="24"/>
      <c r="S32" s="21"/>
      <c r="T32" s="23">
        <f t="shared" si="6"/>
        <v>23</v>
      </c>
      <c r="U32" s="215">
        <f t="shared" si="37"/>
        <v>0</v>
      </c>
      <c r="V32" s="215">
        <f t="shared" si="38"/>
        <v>0</v>
      </c>
      <c r="W32" s="215">
        <f t="shared" si="39"/>
        <v>0</v>
      </c>
      <c r="X32" s="215">
        <f t="shared" si="40"/>
        <v>0</v>
      </c>
      <c r="Y32" s="257" t="str">
        <f t="shared" si="5"/>
        <v/>
      </c>
      <c r="Z32" s="257" t="str">
        <f t="shared" si="14"/>
        <v/>
      </c>
    </row>
    <row r="33" spans="1:26" s="11" customFormat="1">
      <c r="A33" s="29"/>
      <c r="B33" s="22"/>
      <c r="C33" s="67"/>
      <c r="D33" s="680"/>
      <c r="E33" s="680"/>
      <c r="F33" s="681"/>
      <c r="G33" s="681"/>
      <c r="H33" s="681"/>
      <c r="I33" s="681"/>
      <c r="J33" s="681"/>
      <c r="K33" s="681"/>
      <c r="L33" s="681"/>
      <c r="M33" s="681"/>
      <c r="N33" s="682"/>
      <c r="O33" s="645" t="str">
        <f t="shared" si="20"/>
        <v/>
      </c>
      <c r="P33" s="645" t="str">
        <f t="shared" si="8"/>
        <v/>
      </c>
      <c r="Q33" s="680"/>
      <c r="R33" s="24"/>
      <c r="S33" s="21"/>
      <c r="T33" s="23">
        <f t="shared" si="6"/>
        <v>24</v>
      </c>
      <c r="U33" s="215">
        <f t="shared" si="37"/>
        <v>0</v>
      </c>
      <c r="V33" s="215">
        <f t="shared" si="38"/>
        <v>0</v>
      </c>
      <c r="W33" s="215">
        <f t="shared" si="39"/>
        <v>0</v>
      </c>
      <c r="X33" s="215">
        <f t="shared" si="40"/>
        <v>0</v>
      </c>
      <c r="Y33" s="257" t="str">
        <f t="shared" si="5"/>
        <v/>
      </c>
      <c r="Z33" s="257" t="str">
        <f t="shared" si="14"/>
        <v/>
      </c>
    </row>
    <row r="34" spans="1:26" s="11" customFormat="1">
      <c r="A34" s="29"/>
      <c r="B34" s="22"/>
      <c r="C34" s="67"/>
      <c r="D34" s="683"/>
      <c r="E34" s="683"/>
      <c r="F34" s="684"/>
      <c r="G34" s="684"/>
      <c r="H34" s="684"/>
      <c r="I34" s="684"/>
      <c r="J34" s="684"/>
      <c r="K34" s="684"/>
      <c r="L34" s="684"/>
      <c r="M34" s="684"/>
      <c r="N34" s="685"/>
      <c r="O34" s="644" t="str">
        <f t="shared" si="20"/>
        <v/>
      </c>
      <c r="P34" s="644" t="str">
        <f t="shared" si="8"/>
        <v/>
      </c>
      <c r="Q34" s="683"/>
      <c r="R34" s="24"/>
      <c r="S34" s="21"/>
      <c r="T34" s="23">
        <f t="shared" si="6"/>
        <v>25</v>
      </c>
      <c r="U34" s="215">
        <f t="shared" ref="U34:U36" si="41">SUM(F34:G34)</f>
        <v>0</v>
      </c>
      <c r="V34" s="215">
        <f t="shared" ref="V34:V36" si="42">SUM(H34:I34)</f>
        <v>0</v>
      </c>
      <c r="W34" s="215">
        <f t="shared" ref="W34:W36" si="43">SUM(J34:K34)</f>
        <v>0</v>
      </c>
      <c r="X34" s="215">
        <f t="shared" ref="X34:X36" si="44">SUM(L34:M34)</f>
        <v>0</v>
      </c>
      <c r="Y34" s="257" t="str">
        <f t="shared" si="5"/>
        <v/>
      </c>
      <c r="Z34" s="257" t="str">
        <f t="shared" si="14"/>
        <v/>
      </c>
    </row>
    <row r="35" spans="1:26" s="11" customFormat="1">
      <c r="A35" s="29"/>
      <c r="B35" s="22"/>
      <c r="C35" s="67"/>
      <c r="D35" s="683"/>
      <c r="E35" s="683"/>
      <c r="F35" s="684"/>
      <c r="G35" s="684"/>
      <c r="H35" s="684"/>
      <c r="I35" s="684"/>
      <c r="J35" s="684"/>
      <c r="K35" s="684"/>
      <c r="L35" s="684"/>
      <c r="M35" s="684"/>
      <c r="N35" s="685"/>
      <c r="O35" s="644" t="str">
        <f t="shared" si="20"/>
        <v/>
      </c>
      <c r="P35" s="644" t="str">
        <f t="shared" si="8"/>
        <v/>
      </c>
      <c r="Q35" s="683"/>
      <c r="R35" s="24"/>
      <c r="S35" s="21"/>
      <c r="T35" s="23">
        <f t="shared" si="6"/>
        <v>26</v>
      </c>
      <c r="U35" s="215">
        <f t="shared" si="41"/>
        <v>0</v>
      </c>
      <c r="V35" s="215">
        <f t="shared" si="42"/>
        <v>0</v>
      </c>
      <c r="W35" s="215">
        <f t="shared" si="43"/>
        <v>0</v>
      </c>
      <c r="X35" s="215">
        <f t="shared" si="44"/>
        <v>0</v>
      </c>
      <c r="Y35" s="257" t="str">
        <f t="shared" si="5"/>
        <v/>
      </c>
      <c r="Z35" s="257" t="str">
        <f t="shared" si="14"/>
        <v/>
      </c>
    </row>
    <row r="36" spans="1:26" s="11" customFormat="1">
      <c r="A36" s="29"/>
      <c r="B36" s="22"/>
      <c r="C36" s="67"/>
      <c r="D36" s="680"/>
      <c r="E36" s="680"/>
      <c r="F36" s="681"/>
      <c r="G36" s="681"/>
      <c r="H36" s="681"/>
      <c r="I36" s="681"/>
      <c r="J36" s="681"/>
      <c r="K36" s="681"/>
      <c r="L36" s="681"/>
      <c r="M36" s="681"/>
      <c r="N36" s="682"/>
      <c r="O36" s="645" t="str">
        <f t="shared" si="20"/>
        <v/>
      </c>
      <c r="P36" s="645" t="str">
        <f t="shared" si="8"/>
        <v/>
      </c>
      <c r="Q36" s="680"/>
      <c r="R36" s="24"/>
      <c r="S36" s="21"/>
      <c r="T36" s="23">
        <f t="shared" si="6"/>
        <v>27</v>
      </c>
      <c r="U36" s="215">
        <f t="shared" si="41"/>
        <v>0</v>
      </c>
      <c r="V36" s="215">
        <f t="shared" si="42"/>
        <v>0</v>
      </c>
      <c r="W36" s="215">
        <f t="shared" si="43"/>
        <v>0</v>
      </c>
      <c r="X36" s="215">
        <f t="shared" si="44"/>
        <v>0</v>
      </c>
      <c r="Y36" s="257" t="str">
        <f t="shared" si="5"/>
        <v/>
      </c>
      <c r="Z36" s="257" t="str">
        <f t="shared" si="14"/>
        <v/>
      </c>
    </row>
    <row r="37" spans="1:26" s="11" customFormat="1">
      <c r="A37" s="29"/>
      <c r="B37" s="22"/>
      <c r="C37" s="67"/>
      <c r="D37" s="683"/>
      <c r="E37" s="683"/>
      <c r="F37" s="684"/>
      <c r="G37" s="684"/>
      <c r="H37" s="684"/>
      <c r="I37" s="684"/>
      <c r="J37" s="684"/>
      <c r="K37" s="684"/>
      <c r="L37" s="684"/>
      <c r="M37" s="684"/>
      <c r="N37" s="685"/>
      <c r="O37" s="644" t="str">
        <f t="shared" si="20"/>
        <v/>
      </c>
      <c r="P37" s="644" t="str">
        <f t="shared" si="8"/>
        <v/>
      </c>
      <c r="Q37" s="683"/>
      <c r="R37" s="24"/>
      <c r="S37" s="21"/>
      <c r="T37" s="23">
        <f t="shared" si="6"/>
        <v>28</v>
      </c>
      <c r="U37" s="215">
        <f t="shared" si="37"/>
        <v>0</v>
      </c>
      <c r="V37" s="215">
        <f t="shared" si="38"/>
        <v>0</v>
      </c>
      <c r="W37" s="215">
        <f t="shared" si="39"/>
        <v>0</v>
      </c>
      <c r="X37" s="215">
        <f t="shared" si="40"/>
        <v>0</v>
      </c>
      <c r="Y37" s="257" t="str">
        <f t="shared" si="5"/>
        <v/>
      </c>
      <c r="Z37" s="257" t="str">
        <f t="shared" si="14"/>
        <v/>
      </c>
    </row>
    <row r="38" spans="1:26" s="11" customFormat="1">
      <c r="A38" s="29"/>
      <c r="B38" s="22"/>
      <c r="C38" s="67"/>
      <c r="D38" s="683"/>
      <c r="E38" s="683"/>
      <c r="F38" s="684"/>
      <c r="G38" s="684"/>
      <c r="H38" s="684"/>
      <c r="I38" s="684"/>
      <c r="J38" s="684"/>
      <c r="K38" s="684"/>
      <c r="L38" s="684"/>
      <c r="M38" s="684"/>
      <c r="N38" s="685"/>
      <c r="O38" s="644" t="str">
        <f t="shared" si="20"/>
        <v/>
      </c>
      <c r="P38" s="644" t="str">
        <f t="shared" si="8"/>
        <v/>
      </c>
      <c r="Q38" s="683"/>
      <c r="R38" s="24"/>
      <c r="S38" s="21"/>
      <c r="T38" s="23">
        <f t="shared" si="6"/>
        <v>29</v>
      </c>
      <c r="U38" s="215">
        <f t="shared" si="37"/>
        <v>0</v>
      </c>
      <c r="V38" s="215">
        <f t="shared" si="38"/>
        <v>0</v>
      </c>
      <c r="W38" s="215">
        <f t="shared" si="39"/>
        <v>0</v>
      </c>
      <c r="X38" s="215">
        <f t="shared" si="40"/>
        <v>0</v>
      </c>
      <c r="Y38" s="257" t="str">
        <f t="shared" si="5"/>
        <v/>
      </c>
      <c r="Z38" s="257" t="str">
        <f t="shared" si="14"/>
        <v/>
      </c>
    </row>
    <row r="39" spans="1:26" s="11" customFormat="1">
      <c r="A39" s="29"/>
      <c r="B39" s="22"/>
      <c r="C39" s="67"/>
      <c r="D39" s="680"/>
      <c r="E39" s="680"/>
      <c r="F39" s="681"/>
      <c r="G39" s="681"/>
      <c r="H39" s="681"/>
      <c r="I39" s="681"/>
      <c r="J39" s="681"/>
      <c r="K39" s="681"/>
      <c r="L39" s="681"/>
      <c r="M39" s="681"/>
      <c r="N39" s="682"/>
      <c r="O39" s="645" t="str">
        <f t="shared" si="20"/>
        <v/>
      </c>
      <c r="P39" s="645" t="str">
        <f t="shared" si="8"/>
        <v/>
      </c>
      <c r="Q39" s="680"/>
      <c r="R39" s="24"/>
      <c r="S39" s="21"/>
      <c r="T39" s="23">
        <f t="shared" si="6"/>
        <v>30</v>
      </c>
      <c r="U39" s="215">
        <f t="shared" si="37"/>
        <v>0</v>
      </c>
      <c r="V39" s="215">
        <f t="shared" si="38"/>
        <v>0</v>
      </c>
      <c r="W39" s="215">
        <f t="shared" si="39"/>
        <v>0</v>
      </c>
      <c r="X39" s="215">
        <f t="shared" si="40"/>
        <v>0</v>
      </c>
      <c r="Y39" s="257" t="str">
        <f t="shared" si="5"/>
        <v/>
      </c>
      <c r="Z39" s="257" t="str">
        <f t="shared" si="14"/>
        <v/>
      </c>
    </row>
    <row r="40" spans="1:26" s="11" customFormat="1">
      <c r="A40" s="29"/>
      <c r="B40" s="22"/>
      <c r="C40" s="67"/>
      <c r="D40" s="683"/>
      <c r="E40" s="683"/>
      <c r="F40" s="684"/>
      <c r="G40" s="684"/>
      <c r="H40" s="684"/>
      <c r="I40" s="684"/>
      <c r="J40" s="684"/>
      <c r="K40" s="684"/>
      <c r="L40" s="684"/>
      <c r="M40" s="684"/>
      <c r="N40" s="685"/>
      <c r="O40" s="644" t="str">
        <f t="shared" si="20"/>
        <v/>
      </c>
      <c r="P40" s="644" t="str">
        <f t="shared" si="8"/>
        <v/>
      </c>
      <c r="Q40" s="683"/>
      <c r="R40" s="24"/>
      <c r="S40" s="21"/>
      <c r="T40" s="23">
        <f t="shared" si="6"/>
        <v>31</v>
      </c>
      <c r="U40" s="215">
        <f t="shared" ref="U40:U42" si="45">SUM(F40:G40)</f>
        <v>0</v>
      </c>
      <c r="V40" s="215">
        <f t="shared" ref="V40:V42" si="46">SUM(H40:I40)</f>
        <v>0</v>
      </c>
      <c r="W40" s="215">
        <f t="shared" ref="W40:W42" si="47">SUM(J40:K40)</f>
        <v>0</v>
      </c>
      <c r="X40" s="215">
        <f t="shared" ref="X40:X42" si="48">SUM(L40:M40)</f>
        <v>0</v>
      </c>
      <c r="Y40" s="257" t="str">
        <f t="shared" si="5"/>
        <v/>
      </c>
      <c r="Z40" s="257" t="str">
        <f t="shared" si="14"/>
        <v/>
      </c>
    </row>
    <row r="41" spans="1:26" s="11" customFormat="1">
      <c r="A41" s="29"/>
      <c r="B41" s="22"/>
      <c r="C41" s="67"/>
      <c r="D41" s="683"/>
      <c r="E41" s="683"/>
      <c r="F41" s="684"/>
      <c r="G41" s="684"/>
      <c r="H41" s="684"/>
      <c r="I41" s="684"/>
      <c r="J41" s="684"/>
      <c r="K41" s="684"/>
      <c r="L41" s="684"/>
      <c r="M41" s="684"/>
      <c r="N41" s="685"/>
      <c r="O41" s="644" t="str">
        <f t="shared" si="20"/>
        <v/>
      </c>
      <c r="P41" s="644" t="str">
        <f t="shared" si="8"/>
        <v/>
      </c>
      <c r="Q41" s="683"/>
      <c r="R41" s="24"/>
      <c r="S41" s="21"/>
      <c r="T41" s="23">
        <f t="shared" si="6"/>
        <v>32</v>
      </c>
      <c r="U41" s="215">
        <f t="shared" si="45"/>
        <v>0</v>
      </c>
      <c r="V41" s="215">
        <f t="shared" si="46"/>
        <v>0</v>
      </c>
      <c r="W41" s="215">
        <f t="shared" si="47"/>
        <v>0</v>
      </c>
      <c r="X41" s="215">
        <f t="shared" si="48"/>
        <v>0</v>
      </c>
      <c r="Y41" s="257" t="str">
        <f t="shared" si="5"/>
        <v/>
      </c>
      <c r="Z41" s="257" t="str">
        <f t="shared" si="14"/>
        <v/>
      </c>
    </row>
    <row r="42" spans="1:26" s="11" customFormat="1">
      <c r="A42" s="29"/>
      <c r="B42" s="22"/>
      <c r="C42" s="67"/>
      <c r="D42" s="680"/>
      <c r="E42" s="680"/>
      <c r="F42" s="681"/>
      <c r="G42" s="681"/>
      <c r="H42" s="681"/>
      <c r="I42" s="681"/>
      <c r="J42" s="681"/>
      <c r="K42" s="681"/>
      <c r="L42" s="681"/>
      <c r="M42" s="681"/>
      <c r="N42" s="682"/>
      <c r="O42" s="645" t="str">
        <f t="shared" si="20"/>
        <v/>
      </c>
      <c r="P42" s="645" t="str">
        <f t="shared" si="8"/>
        <v/>
      </c>
      <c r="Q42" s="680"/>
      <c r="R42" s="24"/>
      <c r="S42" s="21"/>
      <c r="T42" s="23">
        <f t="shared" si="6"/>
        <v>33</v>
      </c>
      <c r="U42" s="215">
        <f t="shared" si="45"/>
        <v>0</v>
      </c>
      <c r="V42" s="215">
        <f t="shared" si="46"/>
        <v>0</v>
      </c>
      <c r="W42" s="215">
        <f t="shared" si="47"/>
        <v>0</v>
      </c>
      <c r="X42" s="215">
        <f t="shared" si="48"/>
        <v>0</v>
      </c>
      <c r="Y42" s="257" t="str">
        <f t="shared" si="5"/>
        <v/>
      </c>
      <c r="Z42" s="257" t="str">
        <f t="shared" si="14"/>
        <v/>
      </c>
    </row>
    <row r="43" spans="1:26" s="11" customFormat="1">
      <c r="A43" s="29"/>
      <c r="B43" s="22"/>
      <c r="C43" s="67"/>
      <c r="D43" s="683"/>
      <c r="E43" s="683"/>
      <c r="F43" s="684"/>
      <c r="G43" s="684"/>
      <c r="H43" s="684"/>
      <c r="I43" s="684"/>
      <c r="J43" s="684"/>
      <c r="K43" s="684"/>
      <c r="L43" s="684"/>
      <c r="M43" s="684"/>
      <c r="N43" s="685"/>
      <c r="O43" s="644" t="str">
        <f t="shared" si="20"/>
        <v/>
      </c>
      <c r="P43" s="644" t="str">
        <f t="shared" si="8"/>
        <v/>
      </c>
      <c r="Q43" s="683"/>
      <c r="R43" s="24"/>
      <c r="S43" s="21"/>
      <c r="T43" s="23">
        <f t="shared" si="6"/>
        <v>34</v>
      </c>
      <c r="U43" s="215">
        <f t="shared" si="37"/>
        <v>0</v>
      </c>
      <c r="V43" s="215">
        <f t="shared" si="38"/>
        <v>0</v>
      </c>
      <c r="W43" s="215">
        <f t="shared" si="39"/>
        <v>0</v>
      </c>
      <c r="X43" s="215">
        <f t="shared" si="40"/>
        <v>0</v>
      </c>
      <c r="Y43" s="257" t="str">
        <f t="shared" si="5"/>
        <v/>
      </c>
      <c r="Z43" s="257" t="str">
        <f t="shared" si="14"/>
        <v/>
      </c>
    </row>
    <row r="44" spans="1:26" s="11" customFormat="1">
      <c r="A44" s="29"/>
      <c r="B44" s="22"/>
      <c r="C44" s="67"/>
      <c r="D44" s="683"/>
      <c r="E44" s="683"/>
      <c r="F44" s="684"/>
      <c r="G44" s="684"/>
      <c r="H44" s="684"/>
      <c r="I44" s="684"/>
      <c r="J44" s="684"/>
      <c r="K44" s="684"/>
      <c r="L44" s="684"/>
      <c r="M44" s="684"/>
      <c r="N44" s="685"/>
      <c r="O44" s="644" t="str">
        <f t="shared" si="20"/>
        <v/>
      </c>
      <c r="P44" s="644" t="str">
        <f t="shared" si="8"/>
        <v/>
      </c>
      <c r="Q44" s="683"/>
      <c r="R44" s="24"/>
      <c r="S44" s="21"/>
      <c r="T44" s="23">
        <f t="shared" si="6"/>
        <v>35</v>
      </c>
      <c r="U44" s="215">
        <f t="shared" si="37"/>
        <v>0</v>
      </c>
      <c r="V44" s="215">
        <f t="shared" si="38"/>
        <v>0</v>
      </c>
      <c r="W44" s="215">
        <f t="shared" si="39"/>
        <v>0</v>
      </c>
      <c r="X44" s="215">
        <f t="shared" si="40"/>
        <v>0</v>
      </c>
      <c r="Y44" s="257" t="str">
        <f t="shared" si="5"/>
        <v/>
      </c>
      <c r="Z44" s="257" t="str">
        <f t="shared" si="14"/>
        <v/>
      </c>
    </row>
    <row r="45" spans="1:26" s="11" customFormat="1">
      <c r="A45" s="29"/>
      <c r="B45" s="22"/>
      <c r="C45" s="67"/>
      <c r="D45" s="680"/>
      <c r="E45" s="680"/>
      <c r="F45" s="681"/>
      <c r="G45" s="681"/>
      <c r="H45" s="681"/>
      <c r="I45" s="681"/>
      <c r="J45" s="681"/>
      <c r="K45" s="681"/>
      <c r="L45" s="681"/>
      <c r="M45" s="681"/>
      <c r="N45" s="682"/>
      <c r="O45" s="645" t="str">
        <f t="shared" si="20"/>
        <v/>
      </c>
      <c r="P45" s="645" t="str">
        <f t="shared" si="8"/>
        <v/>
      </c>
      <c r="Q45" s="680"/>
      <c r="R45" s="24"/>
      <c r="S45" s="21"/>
      <c r="T45" s="23">
        <f t="shared" si="6"/>
        <v>36</v>
      </c>
      <c r="U45" s="215">
        <f t="shared" si="37"/>
        <v>0</v>
      </c>
      <c r="V45" s="215">
        <f t="shared" si="38"/>
        <v>0</v>
      </c>
      <c r="W45" s="215">
        <f t="shared" si="39"/>
        <v>0</v>
      </c>
      <c r="X45" s="215">
        <f t="shared" si="40"/>
        <v>0</v>
      </c>
      <c r="Y45" s="257" t="str">
        <f t="shared" si="5"/>
        <v/>
      </c>
      <c r="Z45" s="257" t="str">
        <f>IF(Q45="","",IFERROR(Q45-O45,""))</f>
        <v/>
      </c>
    </row>
    <row r="46" spans="1:26" s="11" customFormat="1">
      <c r="A46" s="29"/>
      <c r="B46" s="22"/>
      <c r="C46" s="67"/>
      <c r="D46" s="680"/>
      <c r="E46" s="680"/>
      <c r="F46" s="681"/>
      <c r="G46" s="681"/>
      <c r="H46" s="681"/>
      <c r="I46" s="681"/>
      <c r="J46" s="681"/>
      <c r="K46" s="681"/>
      <c r="L46" s="681"/>
      <c r="M46" s="681"/>
      <c r="N46" s="682"/>
      <c r="O46" s="645" t="str">
        <f t="shared" ref="O46" si="49">IF(SUM(F46:M46)=0,"",SUM(F46:M46))</f>
        <v/>
      </c>
      <c r="P46" s="645" t="str">
        <f t="shared" si="8"/>
        <v/>
      </c>
      <c r="Q46" s="680"/>
      <c r="R46" s="24"/>
      <c r="S46" s="21"/>
      <c r="T46" s="23">
        <f t="shared" si="6"/>
        <v>37</v>
      </c>
      <c r="U46" s="215">
        <f t="shared" ref="U46" si="50">SUM(F46:G46)</f>
        <v>0</v>
      </c>
      <c r="V46" s="215">
        <f t="shared" ref="V46" si="51">SUM(H46:I46)</f>
        <v>0</v>
      </c>
      <c r="W46" s="215">
        <f t="shared" ref="W46" si="52">SUM(J46:K46)</f>
        <v>0</v>
      </c>
      <c r="X46" s="215">
        <f t="shared" ref="X46" si="53">SUM(L46:M46)</f>
        <v>0</v>
      </c>
      <c r="Y46" s="257" t="str">
        <f t="shared" ref="Y46" si="54">IF(SUM(F46:M46)=0,"",SUM(F46:M46))</f>
        <v/>
      </c>
      <c r="Z46" s="257" t="str">
        <f>IF(Q46="","",IFERROR(Q46-O46,""))</f>
        <v/>
      </c>
    </row>
    <row r="47" spans="1:26">
      <c r="A47" s="28"/>
      <c r="B47" s="16"/>
      <c r="C47" s="1074" t="s">
        <v>616</v>
      </c>
      <c r="D47" s="1075"/>
      <c r="E47" s="407"/>
      <c r="F47" s="646">
        <f ca="1">SUM(OFFSET(F$10,0,0,ROW()-ROW(F$10),1))</f>
        <v>0</v>
      </c>
      <c r="G47" s="646">
        <f t="shared" ref="G47:M47" ca="1" si="55">SUM(OFFSET(G$10,0,0,ROW()-ROW(G$10),1))</f>
        <v>0</v>
      </c>
      <c r="H47" s="646">
        <f t="shared" ca="1" si="55"/>
        <v>0</v>
      </c>
      <c r="I47" s="646">
        <f t="shared" ca="1" si="55"/>
        <v>0</v>
      </c>
      <c r="J47" s="646">
        <f t="shared" ca="1" si="55"/>
        <v>0</v>
      </c>
      <c r="K47" s="646">
        <f t="shared" ca="1" si="55"/>
        <v>0</v>
      </c>
      <c r="L47" s="646">
        <f t="shared" ca="1" si="55"/>
        <v>0</v>
      </c>
      <c r="M47" s="646">
        <f t="shared" ca="1" si="55"/>
        <v>0</v>
      </c>
      <c r="N47" s="408"/>
      <c r="O47" s="646">
        <f ca="1">SUM(OFFSET(O$9,0,0,ROW()-ROW(O$9),1))</f>
        <v>0</v>
      </c>
      <c r="P47" s="646">
        <f ca="1">SUM(OFFSET(P$10,0,0,ROW()-ROW(P$10),1))</f>
        <v>0</v>
      </c>
      <c r="Q47" s="646">
        <f ca="1">SUM(OFFSET(Q$10,0,0,ROW()-ROW(Q$10),1))</f>
        <v>0</v>
      </c>
      <c r="R47" s="19"/>
      <c r="S47" s="13"/>
      <c r="T47" s="409">
        <f t="shared" si="6"/>
        <v>38</v>
      </c>
      <c r="U47" s="415"/>
      <c r="V47" s="415"/>
      <c r="W47" s="415"/>
      <c r="X47" s="415"/>
      <c r="Y47" s="177">
        <f ca="1">SUM(OFFSET(O$9,0,0,ROW()-ROW(O$9),1))</f>
        <v>0</v>
      </c>
      <c r="Z47" s="177">
        <f ca="1">SUM(OFFSET(P$10,0,0,ROW()-ROW(P$10),1))</f>
        <v>0</v>
      </c>
    </row>
    <row r="48" spans="1:26" ht="41.25" customHeight="1">
      <c r="A48" s="28"/>
      <c r="B48" s="16"/>
      <c r="C48" s="1074" t="s">
        <v>151</v>
      </c>
      <c r="D48" s="1075"/>
      <c r="E48" s="407"/>
      <c r="F48" s="647">
        <f t="shared" ref="F48:M48" ca="1" si="56">IFERROR(F47/$O$47,0)</f>
        <v>0</v>
      </c>
      <c r="G48" s="647">
        <f t="shared" ca="1" si="56"/>
        <v>0</v>
      </c>
      <c r="H48" s="647">
        <f t="shared" ca="1" si="56"/>
        <v>0</v>
      </c>
      <c r="I48" s="647">
        <f t="shared" ca="1" si="56"/>
        <v>0</v>
      </c>
      <c r="J48" s="647">
        <f t="shared" ca="1" si="56"/>
        <v>0</v>
      </c>
      <c r="K48" s="647">
        <f t="shared" ca="1" si="56"/>
        <v>0</v>
      </c>
      <c r="L48" s="647">
        <f t="shared" ca="1" si="56"/>
        <v>0</v>
      </c>
      <c r="M48" s="647">
        <f t="shared" ca="1" si="56"/>
        <v>0</v>
      </c>
      <c r="N48" s="408"/>
      <c r="O48" s="647">
        <f ca="1">IFERROR(O47/$O$47,0)</f>
        <v>0</v>
      </c>
      <c r="P48" s="407"/>
      <c r="Q48" s="407"/>
      <c r="R48" s="19"/>
      <c r="S48" s="13"/>
      <c r="T48" s="409">
        <f t="shared" si="6"/>
        <v>39</v>
      </c>
      <c r="U48" s="415"/>
      <c r="V48" s="415"/>
      <c r="W48" s="415"/>
      <c r="X48" s="415"/>
      <c r="Y48" s="416">
        <f ca="1">IFERROR(O47/$O$47,0)</f>
        <v>0</v>
      </c>
      <c r="Z48" s="416">
        <f ca="1">IFERROR(P47/$O$47,0)</f>
        <v>0</v>
      </c>
    </row>
    <row r="49" spans="1:21">
      <c r="A49" s="28"/>
      <c r="B49" s="46"/>
      <c r="C49" s="419"/>
      <c r="D49" s="419"/>
      <c r="E49" s="419"/>
      <c r="F49" s="184"/>
      <c r="G49" s="184"/>
      <c r="H49" s="184"/>
      <c r="I49" s="184"/>
      <c r="J49" s="184"/>
      <c r="K49" s="184"/>
      <c r="L49" s="184"/>
      <c r="M49" s="184"/>
      <c r="N49" s="420"/>
      <c r="O49" s="184"/>
      <c r="P49" s="184"/>
      <c r="Q49" s="419"/>
      <c r="R49" s="27"/>
      <c r="S49" s="13"/>
      <c r="T49" s="13"/>
    </row>
    <row r="50" spans="1:21">
      <c r="A50" s="13"/>
      <c r="B50" s="13"/>
      <c r="C50" s="13"/>
      <c r="D50" s="13"/>
      <c r="E50" s="13"/>
      <c r="F50" s="13"/>
      <c r="G50" s="13"/>
      <c r="H50" s="13"/>
      <c r="I50" s="13"/>
      <c r="J50" s="13"/>
      <c r="K50" s="13"/>
      <c r="L50" s="13"/>
      <c r="M50" s="13"/>
      <c r="N50" s="13"/>
      <c r="O50" s="13"/>
      <c r="P50" s="13"/>
      <c r="Q50" s="13"/>
      <c r="R50" s="13"/>
      <c r="S50" s="13"/>
      <c r="T50" s="13"/>
    </row>
    <row r="51" spans="1:21">
      <c r="A51" s="13"/>
      <c r="B51" s="13"/>
      <c r="C51" s="13"/>
      <c r="D51" s="13"/>
      <c r="E51" s="13"/>
      <c r="F51" s="13"/>
      <c r="G51" s="13"/>
      <c r="H51" s="13"/>
      <c r="I51" s="13"/>
      <c r="J51" s="13"/>
      <c r="K51" s="13"/>
      <c r="L51" s="13"/>
      <c r="M51" s="13"/>
      <c r="N51" s="13"/>
      <c r="O51" s="13"/>
      <c r="P51" s="13"/>
      <c r="Q51" s="13"/>
      <c r="R51" s="13"/>
      <c r="S51" s="13"/>
      <c r="T51" s="409" t="s">
        <v>458</v>
      </c>
      <c r="U51" s="177" cm="1">
        <f t="array" aca="1" ref="U51" ca="1">IF(SUMPRODUCT(N(O10:O48&lt;&gt;Y10:Y48))=0,1,0)</f>
        <v>1</v>
      </c>
    </row>
    <row r="52" spans="1:21">
      <c r="A52" s="13"/>
      <c r="B52" s="13"/>
      <c r="D52" s="13" t="s">
        <v>562</v>
      </c>
      <c r="E52" s="13"/>
      <c r="F52" s="50"/>
      <c r="G52" s="50"/>
      <c r="H52" s="47"/>
      <c r="I52" s="13"/>
      <c r="J52" s="13"/>
      <c r="K52" s="13"/>
      <c r="L52" s="13"/>
      <c r="M52" s="13"/>
      <c r="N52" s="13"/>
      <c r="O52" s="13"/>
      <c r="P52" s="13"/>
      <c r="Q52" s="13"/>
      <c r="R52" s="13"/>
      <c r="S52" s="13"/>
      <c r="T52" s="13"/>
    </row>
    <row r="53" spans="1:21" ht="19">
      <c r="A53" s="13"/>
      <c r="B53" s="13"/>
      <c r="D53" s="413">
        <f ca="1">G47+I47+K47+M47</f>
        <v>0</v>
      </c>
      <c r="E53" s="13"/>
      <c r="F53" s="50"/>
      <c r="G53" s="50"/>
      <c r="H53" s="47"/>
      <c r="I53" s="13"/>
      <c r="J53" s="13"/>
      <c r="K53" s="13"/>
      <c r="L53" s="13"/>
      <c r="M53" s="13"/>
      <c r="N53" s="13"/>
      <c r="O53" s="13"/>
      <c r="P53" s="13"/>
      <c r="Q53" s="13"/>
      <c r="R53" s="13"/>
      <c r="S53" s="13"/>
      <c r="T53" s="13"/>
    </row>
    <row r="54" spans="1:21">
      <c r="A54" s="13"/>
      <c r="B54" s="13"/>
      <c r="D54" s="51"/>
      <c r="E54" s="13"/>
      <c r="F54" s="50"/>
      <c r="G54" s="50"/>
      <c r="H54" s="47"/>
      <c r="I54" s="13"/>
      <c r="J54" s="13"/>
      <c r="K54" s="13"/>
      <c r="L54" s="13"/>
      <c r="M54" s="13"/>
      <c r="N54" s="13"/>
      <c r="O54" s="13"/>
      <c r="P54" s="13"/>
      <c r="Q54" s="13"/>
      <c r="R54" s="13"/>
      <c r="S54" s="13"/>
      <c r="T54" s="13"/>
    </row>
  </sheetData>
  <sheetProtection algorithmName="SHA-512" hashValue="QsR+K0glFeTOvbUqy0wZSpdcD2zjXlZROF986KyomH7Rm3hI9XlAJC7/y9cIs8A/HxPsk/f9XnsOF6LXG8RsmA==" saltValue="lVVHHTKCQbxu4eT4gHOkPQ==" spinCount="100000" sheet="1" formatCells="0" insertRows="0" deleteRows="0"/>
  <mergeCells count="6">
    <mergeCell ref="L8:M8"/>
    <mergeCell ref="C48:D48"/>
    <mergeCell ref="C47:D47"/>
    <mergeCell ref="F8:G8"/>
    <mergeCell ref="H8:I8"/>
    <mergeCell ref="J8:K8"/>
  </mergeCells>
  <phoneticPr fontId="1"/>
  <conditionalFormatting sqref="C9">
    <cfRule type="expression" dxfId="18" priority="253">
      <formula>$C$11=""</formula>
    </cfRule>
  </conditionalFormatting>
  <conditionalFormatting sqref="C49 E49:Q49">
    <cfRule type="expression" dxfId="17" priority="256">
      <formula>$C49="合計"</formula>
    </cfRule>
  </conditionalFormatting>
  <conditionalFormatting sqref="C49">
    <cfRule type="expression" dxfId="16" priority="288">
      <formula>COUNTIF($C$11:$C$98,$C49)&gt;1</formula>
    </cfRule>
  </conditionalFormatting>
  <conditionalFormatting sqref="C10:Q46">
    <cfRule type="expression" dxfId="15" priority="5">
      <formula>$T10=""</formula>
    </cfRule>
  </conditionalFormatting>
  <conditionalFormatting sqref="D6">
    <cfRule type="expression" dxfId="14" priority="281">
      <formula>$C6=""</formula>
    </cfRule>
    <cfRule type="expression" dxfId="13" priority="282">
      <formula>$C6="*"</formula>
    </cfRule>
  </conditionalFormatting>
  <conditionalFormatting sqref="D53">
    <cfRule type="expression" dxfId="12" priority="252">
      <formula>$O$47=0</formula>
    </cfRule>
  </conditionalFormatting>
  <conditionalFormatting sqref="D11:N46 Q11:Q46">
    <cfRule type="notContainsBlanks" dxfId="11" priority="9">
      <formula>LEN(TRIM(D11))&gt;0</formula>
    </cfRule>
  </conditionalFormatting>
  <conditionalFormatting sqref="F49:M49">
    <cfRule type="expression" dxfId="10" priority="4345">
      <formula>COUNTA(OFFSET(F$11,0,0,ROW(Q$98)-ROW(F$11),1))&gt;0</formula>
    </cfRule>
  </conditionalFormatting>
  <conditionalFormatting sqref="G49:I49">
    <cfRule type="expression" dxfId="9" priority="4346">
      <formula>COUNTA(OFFSET(G$11,0,0,ROW(Q$98)-ROW(G$11),1))&gt;0</formula>
    </cfRule>
  </conditionalFormatting>
  <conditionalFormatting sqref="J49:L49">
    <cfRule type="expression" dxfId="8" priority="290">
      <formula>COUNTA(OFFSET(J$11,0,0,ROW(G$98)-ROW(J$11),1))&gt;0</formula>
    </cfRule>
  </conditionalFormatting>
  <conditionalFormatting sqref="K49:L49">
    <cfRule type="expression" dxfId="7" priority="289">
      <formula>COUNTA(OFFSET(K$11,0,0,ROW(I$98)-ROW(K$11),1))&gt;0</formula>
    </cfRule>
  </conditionalFormatting>
  <conditionalFormatting sqref="O10:O46">
    <cfRule type="notContainsBlanks" dxfId="6" priority="8">
      <formula>LEN(TRIM(O10))&gt;0</formula>
    </cfRule>
  </conditionalFormatting>
  <conditionalFormatting sqref="O10:O48">
    <cfRule type="expression" dxfId="5" priority="6">
      <formula>$O10&lt;&gt;$Y10</formula>
    </cfRule>
  </conditionalFormatting>
  <conditionalFormatting sqref="O47:Q47 O48 F47:M48">
    <cfRule type="cellIs" dxfId="4" priority="7" operator="notEqual">
      <formula>0</formula>
    </cfRule>
  </conditionalFormatting>
  <conditionalFormatting sqref="P11:P47">
    <cfRule type="cellIs" dxfId="3" priority="1" operator="lessThan">
      <formula>0</formula>
    </cfRule>
    <cfRule type="expression" dxfId="2" priority="2">
      <formula>$P11&lt;&gt;$Z11</formula>
    </cfRule>
  </conditionalFormatting>
  <conditionalFormatting sqref="P11:Q46">
    <cfRule type="notContainsBlanks" dxfId="1" priority="3">
      <formula>LEN(TRIM(P11))&gt;0</formula>
    </cfRule>
  </conditionalFormatting>
  <conditionalFormatting sqref="Q47">
    <cfRule type="cellIs" dxfId="0" priority="4" operator="notEqual">
      <formula>0</formula>
    </cfRule>
  </conditionalFormatting>
  <dataValidations count="6">
    <dataValidation operator="lessThan" allowBlank="1" showInputMessage="1" showErrorMessage="1" sqref="C6" xr:uid="{856B4DDF-F12D-4DB2-95EF-3F8CB0D5548C}"/>
    <dataValidation type="textLength" operator="lessThan" allowBlank="1" showInputMessage="1" showErrorMessage="1" sqref="C31:C46 C11:C29" xr:uid="{093E2B4A-8B33-457F-A02F-3A6CB0765A70}">
      <formula1>1</formula1>
    </dataValidation>
    <dataValidation type="decimal" operator="greaterThanOrEqual" allowBlank="1" showInputMessage="1" showErrorMessage="1" error="数値で入力してください" sqref="F6:M6 F10:M46 Q10:Q46 P10" xr:uid="{F8F4AAC5-FF64-4EBC-9D31-F687E2F29985}">
      <formula1>0</formula1>
    </dataValidation>
    <dataValidation operator="greaterThanOrEqual" allowBlank="1" showInputMessage="1" showErrorMessage="1" error="数値で入力してください" sqref="F48:M48 O48" xr:uid="{716E11DF-A029-42D2-88E4-B55D834B6947}"/>
    <dataValidation type="textLength" operator="lessThan" allowBlank="1" showInputMessage="1" sqref="C30 C10" xr:uid="{6F54D403-AB51-433C-BE7B-710A6953F6B9}">
      <formula1>1</formula1>
    </dataValidation>
    <dataValidation type="decimal" operator="greaterThanOrEqual" allowBlank="1" showInputMessage="1" error="数値で入力してください" sqref="P11:P47" xr:uid="{41FC6BFB-A273-4481-925D-06891756BA3E}">
      <formula1>0</formula1>
    </dataValidation>
  </dataValidations>
  <pageMargins left="0.7" right="0.7" top="0.75" bottom="0.75" header="0.3" footer="0.3"/>
  <pageSetup scale="34" orientation="portrait" r:id="rId1"/>
  <customProperties>
    <customPr name="EpmWorksheetKeyString_GU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E4CE5-83CD-4717-89A3-293A2747C0F0}">
  <sheetPr codeName="Sheet38">
    <tabColor theme="7" tint="0.79998168889431442"/>
    <pageSetUpPr autoPageBreaks="0"/>
  </sheetPr>
  <dimension ref="A1:J26"/>
  <sheetViews>
    <sheetView showGridLines="0" zoomScaleNormal="100" zoomScaleSheetLayoutView="90" workbookViewId="0"/>
  </sheetViews>
  <sheetFormatPr defaultRowHeight="18"/>
  <cols>
    <col min="1" max="1" width="2.5" customWidth="1"/>
    <col min="5" max="10" width="10.58203125" style="3" customWidth="1"/>
  </cols>
  <sheetData>
    <row r="1" spans="1:10">
      <c r="A1" s="44" t="s">
        <v>371</v>
      </c>
      <c r="B1" s="13"/>
      <c r="C1" s="13"/>
      <c r="D1" s="13"/>
      <c r="E1" s="17"/>
      <c r="F1" s="17"/>
      <c r="G1" s="17"/>
      <c r="H1" s="17"/>
      <c r="I1" s="17"/>
      <c r="J1" s="17"/>
    </row>
    <row r="2" spans="1:10" ht="37" customHeight="1">
      <c r="A2" s="44"/>
      <c r="B2" s="955" t="s">
        <v>242</v>
      </c>
      <c r="C2" s="955"/>
      <c r="D2" s="955"/>
      <c r="E2" s="955"/>
      <c r="F2" s="955"/>
      <c r="G2" s="955"/>
      <c r="H2" s="955"/>
      <c r="I2" s="955"/>
      <c r="J2" s="955"/>
    </row>
    <row r="3" spans="1:10">
      <c r="A3" s="1"/>
    </row>
    <row r="4" spans="1:10">
      <c r="B4" s="11" t="s">
        <v>128</v>
      </c>
    </row>
    <row r="5" spans="1:10" ht="99.75" customHeight="1">
      <c r="B5" s="1082" t="s">
        <v>238</v>
      </c>
      <c r="C5" s="1083"/>
      <c r="D5" s="1083"/>
      <c r="E5" s="1084"/>
      <c r="F5" s="1084"/>
      <c r="G5" s="1084"/>
      <c r="H5" s="1084"/>
      <c r="I5" s="1084"/>
      <c r="J5" s="1084"/>
    </row>
    <row r="6" spans="1:10" ht="99.75" customHeight="1">
      <c r="B6" s="1082" t="s">
        <v>241</v>
      </c>
      <c r="C6" s="1083"/>
      <c r="D6" s="1083"/>
      <c r="E6" s="1084"/>
      <c r="F6" s="1084"/>
      <c r="G6" s="1084"/>
      <c r="H6" s="1084"/>
      <c r="I6" s="1084"/>
      <c r="J6" s="1084"/>
    </row>
    <row r="8" spans="1:10">
      <c r="B8" s="11" t="s">
        <v>127</v>
      </c>
    </row>
    <row r="9" spans="1:10" ht="99.75" customHeight="1">
      <c r="B9" s="1082" t="s">
        <v>238</v>
      </c>
      <c r="C9" s="1083"/>
      <c r="D9" s="1083"/>
      <c r="E9" s="1084"/>
      <c r="F9" s="1084"/>
      <c r="G9" s="1084"/>
      <c r="H9" s="1084"/>
      <c r="I9" s="1084"/>
      <c r="J9" s="1084"/>
    </row>
    <row r="10" spans="1:10" ht="99.75" customHeight="1">
      <c r="B10" s="1082" t="s">
        <v>241</v>
      </c>
      <c r="C10" s="1083"/>
      <c r="D10" s="1083"/>
      <c r="E10" s="1084"/>
      <c r="F10" s="1084"/>
      <c r="G10" s="1084"/>
      <c r="H10" s="1084"/>
      <c r="I10" s="1084"/>
      <c r="J10" s="1084"/>
    </row>
    <row r="12" spans="1:10">
      <c r="B12" s="11" t="s">
        <v>126</v>
      </c>
    </row>
    <row r="13" spans="1:10" ht="99.75" customHeight="1">
      <c r="B13" s="1082" t="s">
        <v>238</v>
      </c>
      <c r="C13" s="1083"/>
      <c r="D13" s="1083"/>
      <c r="E13" s="1084"/>
      <c r="F13" s="1084"/>
      <c r="G13" s="1084"/>
      <c r="H13" s="1084"/>
      <c r="I13" s="1084"/>
      <c r="J13" s="1084"/>
    </row>
    <row r="14" spans="1:10" ht="99.75" customHeight="1">
      <c r="B14" s="1082" t="s">
        <v>241</v>
      </c>
      <c r="C14" s="1083"/>
      <c r="D14" s="1083"/>
      <c r="E14" s="1084"/>
      <c r="F14" s="1084"/>
      <c r="G14" s="1084"/>
      <c r="H14" s="1084"/>
      <c r="I14" s="1084"/>
      <c r="J14" s="1084"/>
    </row>
    <row r="16" spans="1:10">
      <c r="B16" s="11" t="s">
        <v>125</v>
      </c>
    </row>
    <row r="17" spans="2:10" ht="99.75" customHeight="1">
      <c r="B17" s="1082" t="s">
        <v>238</v>
      </c>
      <c r="C17" s="1083"/>
      <c r="D17" s="1083"/>
      <c r="E17" s="1084"/>
      <c r="F17" s="1084"/>
      <c r="G17" s="1084"/>
      <c r="H17" s="1084"/>
      <c r="I17" s="1084"/>
      <c r="J17" s="1084"/>
    </row>
    <row r="18" spans="2:10" ht="99.75" customHeight="1">
      <c r="B18" s="1082" t="s">
        <v>241</v>
      </c>
      <c r="C18" s="1083"/>
      <c r="D18" s="1083"/>
      <c r="E18" s="1084"/>
      <c r="F18" s="1084"/>
      <c r="G18" s="1084"/>
      <c r="H18" s="1084"/>
      <c r="I18" s="1084"/>
      <c r="J18" s="1084"/>
    </row>
    <row r="20" spans="2:10">
      <c r="B20" s="11" t="s">
        <v>124</v>
      </c>
    </row>
    <row r="21" spans="2:10" ht="99.75" customHeight="1">
      <c r="B21" s="1082" t="s">
        <v>238</v>
      </c>
      <c r="C21" s="1083"/>
      <c r="D21" s="1083"/>
      <c r="E21" s="1084"/>
      <c r="F21" s="1084"/>
      <c r="G21" s="1084"/>
      <c r="H21" s="1084"/>
      <c r="I21" s="1084"/>
      <c r="J21" s="1084"/>
    </row>
    <row r="22" spans="2:10" ht="99.75" customHeight="1">
      <c r="B22" s="1082" t="s">
        <v>241</v>
      </c>
      <c r="C22" s="1083"/>
      <c r="D22" s="1083"/>
      <c r="E22" s="1084"/>
      <c r="F22" s="1084"/>
      <c r="G22" s="1084"/>
      <c r="H22" s="1084"/>
      <c r="I22" s="1084"/>
      <c r="J22" s="1084"/>
    </row>
    <row r="24" spans="2:10">
      <c r="B24" s="11" t="s">
        <v>123</v>
      </c>
    </row>
    <row r="25" spans="2:10" ht="99.75" customHeight="1">
      <c r="B25" s="1082" t="s">
        <v>238</v>
      </c>
      <c r="C25" s="1083"/>
      <c r="D25" s="1083"/>
      <c r="E25" s="1084"/>
      <c r="F25" s="1084"/>
      <c r="G25" s="1084"/>
      <c r="H25" s="1084"/>
      <c r="I25" s="1084"/>
      <c r="J25" s="1084"/>
    </row>
    <row r="26" spans="2:10" ht="99.75" customHeight="1">
      <c r="B26" s="1082" t="s">
        <v>241</v>
      </c>
      <c r="C26" s="1083"/>
      <c r="D26" s="1083"/>
      <c r="E26" s="1084"/>
      <c r="F26" s="1084"/>
      <c r="G26" s="1084"/>
      <c r="H26" s="1084"/>
      <c r="I26" s="1084"/>
      <c r="J26" s="1084"/>
    </row>
  </sheetData>
  <sheetProtection formatCells="0" formatRows="0" insertRows="0" deleteRows="0"/>
  <mergeCells count="25">
    <mergeCell ref="B26:D26"/>
    <mergeCell ref="E26:J26"/>
    <mergeCell ref="B21:D21"/>
    <mergeCell ref="E21:J21"/>
    <mergeCell ref="B22:D22"/>
    <mergeCell ref="E22:J22"/>
    <mergeCell ref="B25:D25"/>
    <mergeCell ref="E25:J25"/>
    <mergeCell ref="B14:D14"/>
    <mergeCell ref="E14:J14"/>
    <mergeCell ref="B17:D17"/>
    <mergeCell ref="E17:J17"/>
    <mergeCell ref="B18:D18"/>
    <mergeCell ref="E18:J18"/>
    <mergeCell ref="B9:D9"/>
    <mergeCell ref="E9:J9"/>
    <mergeCell ref="B10:D10"/>
    <mergeCell ref="E10:J10"/>
    <mergeCell ref="B13:D13"/>
    <mergeCell ref="E13:J13"/>
    <mergeCell ref="B2:J2"/>
    <mergeCell ref="B5:D5"/>
    <mergeCell ref="E5:J5"/>
    <mergeCell ref="B6:D6"/>
    <mergeCell ref="E6:J6"/>
  </mergeCells>
  <phoneticPr fontId="1"/>
  <pageMargins left="0.7" right="0.7" top="0.75" bottom="0.75" header="0.3" footer="0.3"/>
  <pageSetup scale="81" orientation="portrait" r:id="rId1"/>
  <customProperties>
    <customPr name="EpmWorksheetKeyString_GUID"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FF24A-EB1A-4CA2-B2CB-EFC0F2F52A13}">
  <sheetPr codeName="Sheet19"/>
  <dimension ref="A1:G10"/>
  <sheetViews>
    <sheetView showGridLines="0" topLeftCell="H1" zoomScaleNormal="100" zoomScaleSheetLayoutView="100" workbookViewId="0">
      <selection activeCell="H1" sqref="H1"/>
    </sheetView>
  </sheetViews>
  <sheetFormatPr defaultRowHeight="18"/>
  <cols>
    <col min="1" max="1" width="5" hidden="1" customWidth="1"/>
    <col min="2" max="2" width="22" hidden="1" customWidth="1"/>
    <col min="3" max="3" width="20.25" hidden="1" customWidth="1"/>
    <col min="4" max="4" width="21" hidden="1" customWidth="1"/>
    <col min="5" max="7" width="16.08203125" hidden="1" customWidth="1"/>
  </cols>
  <sheetData>
    <row r="1" spans="1:7">
      <c r="A1" s="178" t="s">
        <v>0</v>
      </c>
      <c r="B1" s="178" t="s">
        <v>29</v>
      </c>
      <c r="C1" s="178" t="s">
        <v>54</v>
      </c>
      <c r="D1" s="178" t="s">
        <v>244</v>
      </c>
      <c r="E1" s="178" t="s">
        <v>245</v>
      </c>
      <c r="F1" s="178" t="s">
        <v>246</v>
      </c>
      <c r="G1" s="178" t="s">
        <v>247</v>
      </c>
    </row>
    <row r="2" spans="1:7">
      <c r="A2" s="177">
        <v>1</v>
      </c>
      <c r="B2" s="177" t="s">
        <v>37</v>
      </c>
      <c r="C2" s="177" t="s">
        <v>59</v>
      </c>
      <c r="D2" s="177" t="s">
        <v>222</v>
      </c>
      <c r="E2" s="177" t="s">
        <v>248</v>
      </c>
      <c r="F2" s="177" t="s">
        <v>249</v>
      </c>
      <c r="G2" s="177"/>
    </row>
    <row r="3" spans="1:7">
      <c r="A3" s="177">
        <v>2</v>
      </c>
      <c r="B3" s="177" t="s">
        <v>38</v>
      </c>
      <c r="C3" s="177" t="s">
        <v>59</v>
      </c>
      <c r="D3" s="177" t="s">
        <v>222</v>
      </c>
      <c r="E3" s="177" t="s">
        <v>248</v>
      </c>
      <c r="F3" s="177" t="s">
        <v>249</v>
      </c>
      <c r="G3" s="177"/>
    </row>
    <row r="4" spans="1:7">
      <c r="A4" s="177">
        <v>3</v>
      </c>
      <c r="B4" s="177" t="s">
        <v>39</v>
      </c>
      <c r="C4" s="177" t="s">
        <v>61</v>
      </c>
      <c r="D4" s="177" t="s">
        <v>250</v>
      </c>
      <c r="E4" s="177" t="s">
        <v>251</v>
      </c>
      <c r="F4" s="177" t="s">
        <v>252</v>
      </c>
      <c r="G4" s="177" t="s">
        <v>253</v>
      </c>
    </row>
    <row r="5" spans="1:7">
      <c r="A5" s="177">
        <v>4</v>
      </c>
      <c r="B5" s="177" t="s">
        <v>40</v>
      </c>
      <c r="C5" s="177" t="s">
        <v>61</v>
      </c>
      <c r="D5" s="177" t="s">
        <v>250</v>
      </c>
      <c r="E5" s="177" t="s">
        <v>251</v>
      </c>
      <c r="F5" s="177" t="s">
        <v>252</v>
      </c>
      <c r="G5" s="177" t="s">
        <v>253</v>
      </c>
    </row>
    <row r="6" spans="1:7">
      <c r="A6" s="177">
        <v>5</v>
      </c>
      <c r="B6" s="177" t="s">
        <v>41</v>
      </c>
      <c r="C6" s="177" t="s">
        <v>61</v>
      </c>
      <c r="D6" s="177" t="s">
        <v>250</v>
      </c>
      <c r="E6" s="177" t="s">
        <v>251</v>
      </c>
      <c r="F6" s="177" t="s">
        <v>252</v>
      </c>
      <c r="G6" s="177" t="s">
        <v>253</v>
      </c>
    </row>
    <row r="7" spans="1:7">
      <c r="A7" s="177">
        <v>6</v>
      </c>
      <c r="B7" s="177" t="s">
        <v>42</v>
      </c>
      <c r="C7" s="177" t="s">
        <v>61</v>
      </c>
      <c r="D7" s="177" t="s">
        <v>250</v>
      </c>
      <c r="E7" s="177" t="s">
        <v>251</v>
      </c>
      <c r="F7" s="177" t="s">
        <v>252</v>
      </c>
      <c r="G7" s="177" t="s">
        <v>253</v>
      </c>
    </row>
    <row r="8" spans="1:7">
      <c r="A8" s="177">
        <v>7</v>
      </c>
      <c r="B8" s="177" t="s">
        <v>43</v>
      </c>
      <c r="C8" s="177" t="s">
        <v>63</v>
      </c>
      <c r="D8" s="177" t="s">
        <v>254</v>
      </c>
      <c r="E8" s="177" t="s">
        <v>251</v>
      </c>
      <c r="F8" s="177" t="s">
        <v>252</v>
      </c>
      <c r="G8" s="177" t="s">
        <v>253</v>
      </c>
    </row>
    <row r="9" spans="1:7">
      <c r="A9" s="177">
        <v>8</v>
      </c>
      <c r="B9" s="177" t="s">
        <v>21</v>
      </c>
      <c r="C9" s="177" t="s">
        <v>63</v>
      </c>
      <c r="D9" s="177" t="s">
        <v>254</v>
      </c>
      <c r="E9" s="177" t="s">
        <v>251</v>
      </c>
      <c r="F9" s="177" t="s">
        <v>252</v>
      </c>
      <c r="G9" s="177" t="s">
        <v>253</v>
      </c>
    </row>
    <row r="10" spans="1:7">
      <c r="A10" s="177"/>
      <c r="B10" s="177"/>
      <c r="C10" s="177"/>
      <c r="D10" s="177"/>
      <c r="E10" s="177"/>
      <c r="F10" s="177"/>
      <c r="G10" s="177"/>
    </row>
  </sheetData>
  <sheetProtection algorithmName="SHA-512" hashValue="zxjEWzsKFOkMeOdS4ZnmdNjlVg2DlynSVhkn/kGEx350v0wclgIHa7jYOQSWuGjV7htjoFJYgvZeXLTIIT24TQ==" saltValue="Pa+GWfZbV4jm7I00qmBKEw==" spinCount="100000" sheet="1" objects="1" scenarios="1"/>
  <phoneticPr fontId="1"/>
  <pageMargins left="0.7" right="0.7" top="0.75" bottom="0.75" header="0.3" footer="0.3"/>
  <pageSetup paperSize="9" scale="69" orientation="portrait" r:id="rId1"/>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F5FFE-9477-4B67-BFC5-02825A886C55}">
  <sheetPr codeName="Sheet10"/>
  <dimension ref="A2:O45"/>
  <sheetViews>
    <sheetView showGridLines="0" topLeftCell="P1" workbookViewId="0">
      <selection activeCell="P1" sqref="P1"/>
    </sheetView>
  </sheetViews>
  <sheetFormatPr defaultRowHeight="18"/>
  <cols>
    <col min="1" max="7" width="0" hidden="1" customWidth="1"/>
    <col min="8" max="8" width="47.58203125" hidden="1" customWidth="1"/>
    <col min="9" max="10" width="0" hidden="1" customWidth="1"/>
    <col min="11" max="11" width="58.75" hidden="1" customWidth="1"/>
    <col min="12" max="13" width="0" hidden="1" customWidth="1"/>
    <col min="14" max="14" width="13.25" hidden="1" customWidth="1"/>
    <col min="15" max="15" width="0" hidden="1" customWidth="1"/>
  </cols>
  <sheetData>
    <row r="2" spans="1:15">
      <c r="A2" s="1" t="s">
        <v>397</v>
      </c>
      <c r="C2" s="2"/>
    </row>
    <row r="3" spans="1:15">
      <c r="B3" s="1" t="s">
        <v>372</v>
      </c>
      <c r="C3" s="1"/>
      <c r="D3" s="1"/>
      <c r="E3" s="1" t="s">
        <v>373</v>
      </c>
      <c r="F3" s="1"/>
      <c r="G3" s="1"/>
      <c r="H3" s="1" t="s">
        <v>374</v>
      </c>
      <c r="J3" s="1"/>
      <c r="K3" s="1" t="s">
        <v>375</v>
      </c>
      <c r="N3" s="1" t="s">
        <v>376</v>
      </c>
    </row>
    <row r="4" spans="1:15">
      <c r="B4" s="178" t="s">
        <v>377</v>
      </c>
      <c r="C4" s="178" t="s">
        <v>378</v>
      </c>
      <c r="E4" s="178" t="s">
        <v>379</v>
      </c>
      <c r="F4" s="178" t="s">
        <v>378</v>
      </c>
      <c r="G4" s="1"/>
      <c r="H4" s="178" t="s">
        <v>555</v>
      </c>
      <c r="I4" s="178" t="s">
        <v>378</v>
      </c>
      <c r="K4" s="178" t="s">
        <v>380</v>
      </c>
      <c r="L4" s="178" t="s">
        <v>378</v>
      </c>
      <c r="N4" s="178" t="s">
        <v>381</v>
      </c>
      <c r="O4" s="178" t="s">
        <v>378</v>
      </c>
    </row>
    <row r="5" spans="1:15">
      <c r="B5" s="177" t="s">
        <v>382</v>
      </c>
      <c r="C5" s="177">
        <v>1</v>
      </c>
      <c r="E5" s="177" t="s">
        <v>382</v>
      </c>
      <c r="F5" s="474">
        <v>1</v>
      </c>
      <c r="G5" s="1"/>
      <c r="H5" s="222" t="s">
        <v>549</v>
      </c>
      <c r="I5" s="222">
        <v>4</v>
      </c>
      <c r="K5" s="177" t="s">
        <v>383</v>
      </c>
      <c r="L5" s="177">
        <v>1</v>
      </c>
      <c r="N5" s="177">
        <v>1</v>
      </c>
      <c r="O5" s="217" t="s">
        <v>279</v>
      </c>
    </row>
    <row r="6" spans="1:15">
      <c r="B6" s="177" t="s">
        <v>384</v>
      </c>
      <c r="C6" s="177">
        <v>2</v>
      </c>
      <c r="E6" s="177" t="s">
        <v>384</v>
      </c>
      <c r="F6" s="177">
        <v>2</v>
      </c>
      <c r="G6" s="1"/>
      <c r="H6" s="177" t="s">
        <v>551</v>
      </c>
      <c r="I6" s="177">
        <v>1</v>
      </c>
      <c r="K6" s="177" t="s">
        <v>385</v>
      </c>
      <c r="L6" s="177">
        <v>1</v>
      </c>
      <c r="N6" s="177">
        <v>2</v>
      </c>
      <c r="O6" s="217" t="s">
        <v>278</v>
      </c>
    </row>
    <row r="7" spans="1:15">
      <c r="B7" s="177" t="s">
        <v>386</v>
      </c>
      <c r="C7" s="177">
        <v>4</v>
      </c>
      <c r="E7" s="177" t="s">
        <v>387</v>
      </c>
      <c r="F7" s="177">
        <v>4</v>
      </c>
      <c r="G7" s="1"/>
      <c r="H7" s="177" t="s">
        <v>537</v>
      </c>
      <c r="I7" s="177">
        <v>3</v>
      </c>
      <c r="K7" s="177" t="s">
        <v>388</v>
      </c>
      <c r="L7" s="177">
        <v>2</v>
      </c>
      <c r="N7" s="177">
        <v>3</v>
      </c>
      <c r="O7" s="217" t="s">
        <v>269</v>
      </c>
    </row>
    <row r="8" spans="1:15">
      <c r="G8" s="1"/>
      <c r="H8" s="177" t="s">
        <v>536</v>
      </c>
      <c r="I8" s="177">
        <v>4</v>
      </c>
      <c r="K8" s="177" t="s">
        <v>389</v>
      </c>
      <c r="L8" s="177">
        <v>3</v>
      </c>
      <c r="N8" s="177">
        <v>4</v>
      </c>
      <c r="O8" s="217" t="s">
        <v>277</v>
      </c>
    </row>
    <row r="9" spans="1:15">
      <c r="H9" s="177" t="s">
        <v>412</v>
      </c>
      <c r="I9" s="177">
        <v>4</v>
      </c>
      <c r="K9" s="177" t="s">
        <v>391</v>
      </c>
      <c r="L9" s="177">
        <v>3</v>
      </c>
    </row>
    <row r="10" spans="1:15">
      <c r="K10" s="177" t="s">
        <v>392</v>
      </c>
      <c r="L10" s="177">
        <v>4</v>
      </c>
    </row>
    <row r="13" spans="1:15">
      <c r="H13" s="178" t="s">
        <v>556</v>
      </c>
      <c r="I13" s="178" t="s">
        <v>378</v>
      </c>
    </row>
    <row r="14" spans="1:15">
      <c r="H14" s="222" t="s">
        <v>549</v>
      </c>
      <c r="I14" s="222">
        <v>4</v>
      </c>
    </row>
    <row r="15" spans="1:15">
      <c r="H15" s="177" t="s">
        <v>551</v>
      </c>
      <c r="I15" s="177">
        <v>1</v>
      </c>
    </row>
    <row r="16" spans="1:15">
      <c r="H16" s="177" t="s">
        <v>550</v>
      </c>
      <c r="I16" s="177">
        <v>1</v>
      </c>
    </row>
    <row r="17" spans="3:9">
      <c r="H17" s="177" t="s">
        <v>538</v>
      </c>
      <c r="I17" s="177">
        <v>1</v>
      </c>
    </row>
    <row r="18" spans="3:9">
      <c r="H18" s="177" t="s">
        <v>390</v>
      </c>
      <c r="I18" s="177">
        <v>2</v>
      </c>
    </row>
    <row r="19" spans="3:9">
      <c r="H19" s="177" t="s">
        <v>539</v>
      </c>
      <c r="I19" s="177">
        <v>3</v>
      </c>
    </row>
    <row r="20" spans="3:9">
      <c r="H20" s="177" t="s">
        <v>288</v>
      </c>
      <c r="I20" s="177">
        <v>3</v>
      </c>
    </row>
    <row r="21" spans="3:9">
      <c r="H21" s="264" t="s">
        <v>393</v>
      </c>
      <c r="I21" s="177">
        <v>4</v>
      </c>
    </row>
    <row r="22" spans="3:9">
      <c r="H22" s="177" t="s">
        <v>540</v>
      </c>
      <c r="I22" s="177">
        <v>4</v>
      </c>
    </row>
    <row r="23" spans="3:9">
      <c r="H23" s="177" t="s">
        <v>394</v>
      </c>
      <c r="I23" s="177">
        <v>4</v>
      </c>
    </row>
    <row r="24" spans="3:9">
      <c r="H24" s="177" t="s">
        <v>290</v>
      </c>
      <c r="I24" s="177">
        <v>4</v>
      </c>
    </row>
    <row r="25" spans="3:9">
      <c r="H25" s="177" t="s">
        <v>395</v>
      </c>
      <c r="I25" s="177">
        <v>4</v>
      </c>
    </row>
    <row r="26" spans="3:9">
      <c r="H26" s="177" t="s">
        <v>396</v>
      </c>
      <c r="I26" s="177">
        <v>4</v>
      </c>
    </row>
    <row r="27" spans="3:9">
      <c r="H27" s="177" t="s">
        <v>545</v>
      </c>
      <c r="I27" s="177">
        <v>4</v>
      </c>
    </row>
    <row r="28" spans="3:9">
      <c r="H28" s="177" t="s">
        <v>546</v>
      </c>
      <c r="I28" s="177">
        <v>4</v>
      </c>
    </row>
    <row r="29" spans="3:9">
      <c r="C29" s="2"/>
      <c r="H29" s="177" t="s">
        <v>547</v>
      </c>
      <c r="I29" s="177">
        <v>4</v>
      </c>
    </row>
    <row r="30" spans="3:9">
      <c r="C30" s="2"/>
      <c r="H30" s="177" t="s">
        <v>541</v>
      </c>
      <c r="I30" s="177">
        <v>4</v>
      </c>
    </row>
    <row r="31" spans="3:9">
      <c r="C31" s="2"/>
      <c r="H31" s="177" t="s">
        <v>548</v>
      </c>
      <c r="I31" s="177">
        <v>4</v>
      </c>
    </row>
    <row r="32" spans="3:9">
      <c r="C32" s="2"/>
      <c r="H32" s="177" t="s">
        <v>542</v>
      </c>
      <c r="I32" s="177">
        <v>4</v>
      </c>
    </row>
    <row r="33" spans="1:15">
      <c r="C33" s="2"/>
      <c r="H33" s="177" t="s">
        <v>543</v>
      </c>
      <c r="I33" s="177">
        <v>4</v>
      </c>
    </row>
    <row r="34" spans="1:15">
      <c r="C34" s="2"/>
      <c r="H34" s="177" t="s">
        <v>544</v>
      </c>
      <c r="I34" s="177">
        <v>4</v>
      </c>
    </row>
    <row r="35" spans="1:15">
      <c r="C35" s="2"/>
    </row>
    <row r="36" spans="1:15">
      <c r="C36" s="2"/>
    </row>
    <row r="37" spans="1:15">
      <c r="A37" s="221" t="s">
        <v>400</v>
      </c>
      <c r="B37" s="5"/>
      <c r="C37" s="219"/>
      <c r="D37" s="5"/>
      <c r="E37" s="5"/>
      <c r="F37" s="5"/>
      <c r="G37" s="5"/>
      <c r="H37" s="5"/>
      <c r="I37" s="5"/>
      <c r="J37" s="5"/>
      <c r="K37" s="5"/>
      <c r="L37" s="5"/>
      <c r="M37" s="5"/>
      <c r="N37" s="5"/>
    </row>
    <row r="38" spans="1:15">
      <c r="B38" s="197" t="s">
        <v>372</v>
      </c>
      <c r="C38" s="197"/>
      <c r="D38" s="197"/>
      <c r="E38" s="197" t="s">
        <v>373</v>
      </c>
      <c r="F38" s="197"/>
      <c r="G38" s="1"/>
      <c r="K38" s="1" t="s">
        <v>398</v>
      </c>
      <c r="N38" s="1" t="s">
        <v>376</v>
      </c>
    </row>
    <row r="39" spans="1:15">
      <c r="B39" s="223" t="s">
        <v>377</v>
      </c>
      <c r="C39" s="223" t="s">
        <v>378</v>
      </c>
      <c r="D39" s="123"/>
      <c r="E39" s="223" t="s">
        <v>379</v>
      </c>
      <c r="F39" s="223" t="s">
        <v>378</v>
      </c>
      <c r="G39" s="1"/>
      <c r="K39" s="178" t="s">
        <v>380</v>
      </c>
      <c r="L39" s="178" t="s">
        <v>378</v>
      </c>
      <c r="N39" s="178" t="s">
        <v>399</v>
      </c>
      <c r="O39" s="178" t="s">
        <v>378</v>
      </c>
    </row>
    <row r="40" spans="1:15">
      <c r="B40" s="224" t="s">
        <v>382</v>
      </c>
      <c r="C40" s="224">
        <v>1</v>
      </c>
      <c r="D40" s="123"/>
      <c r="E40" s="224" t="s">
        <v>382</v>
      </c>
      <c r="F40" s="224">
        <v>1</v>
      </c>
      <c r="G40" s="1"/>
      <c r="K40" s="177" t="s">
        <v>383</v>
      </c>
      <c r="L40" s="177">
        <v>1</v>
      </c>
      <c r="N40" s="177">
        <v>1</v>
      </c>
      <c r="O40" s="217" t="s">
        <v>279</v>
      </c>
    </row>
    <row r="41" spans="1:15">
      <c r="B41" s="224" t="s">
        <v>384</v>
      </c>
      <c r="C41" s="224">
        <v>2</v>
      </c>
      <c r="D41" s="123"/>
      <c r="E41" s="224" t="s">
        <v>384</v>
      </c>
      <c r="F41" s="224">
        <v>2</v>
      </c>
      <c r="G41" s="1"/>
      <c r="K41" s="177" t="s">
        <v>385</v>
      </c>
      <c r="L41" s="177">
        <v>1</v>
      </c>
      <c r="N41" s="177">
        <v>2</v>
      </c>
      <c r="O41" s="217" t="s">
        <v>278</v>
      </c>
    </row>
    <row r="42" spans="1:15">
      <c r="B42" s="224" t="s">
        <v>386</v>
      </c>
      <c r="C42" s="224">
        <v>4</v>
      </c>
      <c r="D42" s="123"/>
      <c r="E42" s="224" t="s">
        <v>387</v>
      </c>
      <c r="F42" s="224">
        <v>4</v>
      </c>
      <c r="G42" s="1"/>
      <c r="K42" s="177" t="s">
        <v>388</v>
      </c>
      <c r="L42" s="177">
        <v>2</v>
      </c>
      <c r="N42" s="177">
        <v>3</v>
      </c>
      <c r="O42" s="217" t="s">
        <v>269</v>
      </c>
    </row>
    <row r="43" spans="1:15">
      <c r="B43" s="123"/>
      <c r="C43" s="123"/>
      <c r="D43" s="123"/>
      <c r="E43" s="123"/>
      <c r="F43" s="123"/>
      <c r="G43" s="1"/>
      <c r="K43" s="177" t="s">
        <v>389</v>
      </c>
      <c r="L43" s="177">
        <v>3</v>
      </c>
      <c r="N43" s="177">
        <v>4</v>
      </c>
      <c r="O43" s="217" t="s">
        <v>277</v>
      </c>
    </row>
    <row r="44" spans="1:15">
      <c r="K44" s="177" t="s">
        <v>391</v>
      </c>
      <c r="L44" s="177">
        <v>3</v>
      </c>
    </row>
    <row r="45" spans="1:15">
      <c r="K45" s="177" t="s">
        <v>392</v>
      </c>
      <c r="L45" s="177">
        <v>4</v>
      </c>
    </row>
  </sheetData>
  <sheetProtection algorithmName="SHA-512" hashValue="ka7igpKtDeD3ihoSe9jmWmZYIW8vlsEs28nvhMS6nJcFvfX1obGgYfQzDx0h+NGqZ88mGqufOxRNwQFRXXTQIA==" saltValue="ma/ScmeMJR79BZIkK9ZAiA==" spinCount="100000" sheet="1" objects="1" scenarios="1"/>
  <phoneticPr fontId="1"/>
  <pageMargins left="0.7" right="0.7" top="0.75" bottom="0.75" header="0.3" footer="0.3"/>
  <pageSetup orientation="portrait"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B7872-A305-4ACA-A5B3-0CBA52952B2E}">
  <sheetPr codeName="Sheet11">
    <tabColor theme="7" tint="0.79998168889431442"/>
    <pageSetUpPr autoPageBreaks="0"/>
  </sheetPr>
  <dimension ref="A1:G16"/>
  <sheetViews>
    <sheetView showGridLines="0" zoomScaleNormal="100" zoomScaleSheetLayoutView="104" workbookViewId="0"/>
  </sheetViews>
  <sheetFormatPr defaultColWidth="9" defaultRowHeight="18"/>
  <cols>
    <col min="2" max="2" width="35.08203125" customWidth="1"/>
    <col min="3" max="3" width="35.5" customWidth="1"/>
    <col min="7" max="7" width="9" hidden="1" customWidth="1"/>
  </cols>
  <sheetData>
    <row r="1" spans="1:7">
      <c r="A1" s="319" t="s">
        <v>345</v>
      </c>
      <c r="B1" s="320"/>
      <c r="C1" s="319"/>
    </row>
    <row r="2" spans="1:7">
      <c r="B2" s="47"/>
      <c r="C2" s="40" t="s">
        <v>1</v>
      </c>
      <c r="G2" t="s">
        <v>317</v>
      </c>
    </row>
    <row r="3" spans="1:7">
      <c r="B3" s="47"/>
      <c r="G3">
        <f>ROW()-2</f>
        <v>1</v>
      </c>
    </row>
    <row r="4" spans="1:7" s="11" customFormat="1">
      <c r="B4" s="91" t="s">
        <v>230</v>
      </c>
      <c r="C4" s="519"/>
      <c r="G4" s="11">
        <f t="shared" ref="G4:G13" si="0">ROW()-2</f>
        <v>2</v>
      </c>
    </row>
    <row r="5" spans="1:7" s="11" customFormat="1">
      <c r="B5" s="91" t="s">
        <v>229</v>
      </c>
      <c r="C5" s="519"/>
      <c r="G5" s="11">
        <f t="shared" si="0"/>
        <v>3</v>
      </c>
    </row>
    <row r="6" spans="1:7" s="11" customFormat="1">
      <c r="B6" s="91" t="s">
        <v>229</v>
      </c>
      <c r="C6" s="519"/>
      <c r="G6" s="11">
        <f t="shared" si="0"/>
        <v>4</v>
      </c>
    </row>
    <row r="7" spans="1:7" s="11" customFormat="1">
      <c r="B7" s="91" t="s">
        <v>229</v>
      </c>
      <c r="C7" s="519"/>
      <c r="G7" s="11">
        <f t="shared" si="0"/>
        <v>5</v>
      </c>
    </row>
    <row r="8" spans="1:7" s="11" customFormat="1">
      <c r="B8" s="91" t="s">
        <v>93</v>
      </c>
      <c r="C8" s="519"/>
      <c r="G8" s="11">
        <f t="shared" si="0"/>
        <v>6</v>
      </c>
    </row>
    <row r="9" spans="1:7" s="11" customFormat="1">
      <c r="B9" s="91" t="s">
        <v>93</v>
      </c>
      <c r="C9" s="519"/>
      <c r="G9" s="11">
        <f t="shared" si="0"/>
        <v>7</v>
      </c>
    </row>
    <row r="10" spans="1:7" s="11" customFormat="1">
      <c r="B10" s="91" t="s">
        <v>93</v>
      </c>
      <c r="C10" s="519"/>
      <c r="G10" s="11">
        <f t="shared" si="0"/>
        <v>8</v>
      </c>
    </row>
    <row r="11" spans="1:7" s="11" customFormat="1">
      <c r="B11" s="91" t="s">
        <v>93</v>
      </c>
      <c r="C11" s="519"/>
      <c r="G11" s="11">
        <f t="shared" si="0"/>
        <v>9</v>
      </c>
    </row>
    <row r="12" spans="1:7" s="11" customFormat="1">
      <c r="B12" s="91" t="s">
        <v>93</v>
      </c>
      <c r="C12" s="519"/>
      <c r="G12" s="11">
        <f t="shared" si="0"/>
        <v>10</v>
      </c>
    </row>
    <row r="13" spans="1:7" s="11" customFormat="1">
      <c r="B13" s="91" t="s">
        <v>93</v>
      </c>
      <c r="C13" s="519"/>
      <c r="G13" s="11">
        <f t="shared" si="0"/>
        <v>11</v>
      </c>
    </row>
    <row r="14" spans="1:7">
      <c r="G14" s="11"/>
    </row>
    <row r="15" spans="1:7">
      <c r="G15" t="s">
        <v>458</v>
      </c>
    </row>
    <row r="16" spans="1:7">
      <c r="G16">
        <f>IF(COUNTBLANK($G$3:$G$13)=0,1,0)</f>
        <v>1</v>
      </c>
    </row>
  </sheetData>
  <sheetProtection algorithmName="SHA-512" hashValue="f/TNuAOTLqD++Kmt+VGpN2+OyLa5x0n98IFNpRyHO09Zir8NzYXO7sHPJs1kdA1IZ2ubFWuS1dufNMGxn9QjZg==" saltValue="7qovdtNZ5juuWOL8ud/6/A==" spinCount="100000" sheet="1" formatCells="0" insertRows="0" deleteRows="0"/>
  <phoneticPr fontId="1"/>
  <conditionalFormatting sqref="B4:C13">
    <cfRule type="expression" dxfId="1819" priority="2">
      <formula>$G4=""</formula>
    </cfRule>
  </conditionalFormatting>
  <conditionalFormatting sqref="C4:C13">
    <cfRule type="notContainsBlanks" dxfId="1818" priority="1">
      <formula>LEN(TRIM(C4))&gt;0</formula>
    </cfRule>
  </conditionalFormatting>
  <pageMargins left="0.7" right="0.7" top="0.75" bottom="0.75" header="0.3" footer="0.3"/>
  <pageSetup scale="35" orientation="portrait"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75F30-0B4E-44B0-99A5-467770C64B24}">
  <sheetPr codeName="Sheet23">
    <tabColor theme="7" tint="0.79998168889431442"/>
  </sheetPr>
  <dimension ref="A1:N49"/>
  <sheetViews>
    <sheetView showGridLines="0" zoomScaleNormal="100" workbookViewId="0"/>
  </sheetViews>
  <sheetFormatPr defaultRowHeight="18"/>
  <cols>
    <col min="1" max="1" width="3.58203125" customWidth="1"/>
    <col min="2" max="2" width="1.83203125" customWidth="1"/>
    <col min="3" max="3" width="11.58203125" customWidth="1"/>
    <col min="5" max="5" width="20.25" customWidth="1"/>
    <col min="6" max="6" width="20.25" style="11" hidden="1" customWidth="1"/>
    <col min="7" max="8" width="19.08203125" style="11" customWidth="1"/>
    <col min="9" max="9" width="19.08203125" style="11" hidden="1" customWidth="1"/>
    <col min="10" max="10" width="19.08203125" customWidth="1"/>
    <col min="11" max="11" width="2.33203125" customWidth="1"/>
    <col min="14" max="14" width="9" hidden="1" customWidth="1"/>
  </cols>
  <sheetData>
    <row r="1" spans="1:14">
      <c r="A1" s="158" t="s">
        <v>310</v>
      </c>
    </row>
    <row r="2" spans="1:14">
      <c r="A2" t="s">
        <v>309</v>
      </c>
    </row>
    <row r="3" spans="1:14">
      <c r="B3" s="13"/>
      <c r="C3" s="13"/>
      <c r="D3" s="13"/>
      <c r="E3" s="13"/>
      <c r="F3" s="21"/>
      <c r="G3" s="21"/>
      <c r="H3" s="21"/>
      <c r="I3" s="21"/>
      <c r="J3" s="13"/>
    </row>
    <row r="7" spans="1:14">
      <c r="C7" s="183"/>
    </row>
    <row r="8" spans="1:14">
      <c r="B8" s="10"/>
      <c r="C8" s="5"/>
      <c r="D8" s="5"/>
      <c r="E8" s="5"/>
      <c r="F8" s="430"/>
      <c r="G8" s="430"/>
      <c r="H8" s="430"/>
      <c r="I8" s="430"/>
      <c r="J8" s="5"/>
      <c r="K8" s="6"/>
      <c r="N8" t="s">
        <v>317</v>
      </c>
    </row>
    <row r="9" spans="1:14">
      <c r="B9" s="7"/>
      <c r="C9" s="928" t="s">
        <v>255</v>
      </c>
      <c r="D9" s="929"/>
      <c r="E9" s="930"/>
      <c r="F9" s="699"/>
      <c r="G9" s="859" t="s">
        <v>527</v>
      </c>
      <c r="H9" s="859" t="s">
        <v>256</v>
      </c>
      <c r="I9" s="699"/>
      <c r="J9" s="179" t="s">
        <v>257</v>
      </c>
      <c r="K9" s="8"/>
    </row>
    <row r="10" spans="1:14">
      <c r="B10" s="7"/>
      <c r="C10" s="931" t="s">
        <v>258</v>
      </c>
      <c r="D10" s="932"/>
      <c r="E10" s="933"/>
      <c r="F10" s="700"/>
      <c r="G10" s="723"/>
      <c r="H10" s="723"/>
      <c r="I10" s="724"/>
      <c r="J10" s="725"/>
      <c r="K10" s="8"/>
      <c r="N10" s="177"/>
    </row>
    <row r="11" spans="1:14">
      <c r="B11" s="97"/>
      <c r="C11" s="934" t="s">
        <v>504</v>
      </c>
      <c r="D11" s="937" t="s">
        <v>259</v>
      </c>
      <c r="E11" s="938"/>
      <c r="F11" s="702"/>
      <c r="G11" s="726"/>
      <c r="H11" s="721"/>
      <c r="I11" s="722"/>
      <c r="J11" s="860">
        <f ca="1">SUM(OFFSET($F11,0,0,1,COLUMN()-COLUMN($F11)))</f>
        <v>0</v>
      </c>
      <c r="K11" s="8"/>
      <c r="N11" s="177">
        <f ca="1">SUM(OFFSET($F11,0,0,1,COLUMN(J1)-COLUMN($F11)))</f>
        <v>0</v>
      </c>
    </row>
    <row r="12" spans="1:14">
      <c r="B12" s="97"/>
      <c r="C12" s="935"/>
      <c r="D12" s="937" t="s">
        <v>260</v>
      </c>
      <c r="E12" s="938"/>
      <c r="F12" s="702"/>
      <c r="G12" s="726"/>
      <c r="H12" s="721"/>
      <c r="I12" s="722"/>
      <c r="J12" s="860">
        <f t="shared" ref="J12:J20" ca="1" si="0">SUM(OFFSET($F12,0,0,1,COLUMN()-COLUMN($F12)))</f>
        <v>0</v>
      </c>
      <c r="K12" s="8"/>
      <c r="N12" s="177">
        <f t="shared" ref="N12:N20" ca="1" si="1">SUM(OFFSET($F12,0,0,1,COLUMN(J2)-COLUMN($F12)))</f>
        <v>0</v>
      </c>
    </row>
    <row r="13" spans="1:14">
      <c r="B13" s="97"/>
      <c r="C13" s="936"/>
      <c r="D13" s="937" t="s">
        <v>261</v>
      </c>
      <c r="E13" s="938"/>
      <c r="F13" s="702"/>
      <c r="G13" s="726"/>
      <c r="H13" s="721"/>
      <c r="I13" s="722"/>
      <c r="J13" s="860">
        <f t="shared" ca="1" si="0"/>
        <v>0</v>
      </c>
      <c r="K13" s="8"/>
      <c r="N13" s="177">
        <f t="shared" ca="1" si="1"/>
        <v>0</v>
      </c>
    </row>
    <row r="14" spans="1:14">
      <c r="B14" s="97"/>
      <c r="C14" s="934" t="s">
        <v>292</v>
      </c>
      <c r="D14" s="940" t="s">
        <v>262</v>
      </c>
      <c r="E14" s="941"/>
      <c r="F14" s="701"/>
      <c r="G14" s="721"/>
      <c r="H14" s="721"/>
      <c r="I14" s="722"/>
      <c r="J14" s="860">
        <f t="shared" ca="1" si="0"/>
        <v>0</v>
      </c>
      <c r="K14" s="8"/>
      <c r="N14" s="177">
        <f t="shared" ca="1" si="1"/>
        <v>0</v>
      </c>
    </row>
    <row r="15" spans="1:14" ht="35">
      <c r="B15" s="7"/>
      <c r="C15" s="935"/>
      <c r="D15" s="934" t="s">
        <v>263</v>
      </c>
      <c r="E15" s="180" t="s">
        <v>264</v>
      </c>
      <c r="F15" s="701"/>
      <c r="G15" s="721"/>
      <c r="H15" s="721"/>
      <c r="I15" s="722"/>
      <c r="J15" s="860">
        <f t="shared" ca="1" si="0"/>
        <v>0</v>
      </c>
      <c r="K15" s="8"/>
      <c r="N15" s="177">
        <f t="shared" ca="1" si="1"/>
        <v>0</v>
      </c>
    </row>
    <row r="16" spans="1:14" ht="35">
      <c r="B16" s="7"/>
      <c r="C16" s="935"/>
      <c r="D16" s="935"/>
      <c r="E16" s="476" t="s">
        <v>265</v>
      </c>
      <c r="F16" s="703"/>
      <c r="G16" s="727"/>
      <c r="H16" s="727"/>
      <c r="I16" s="728"/>
      <c r="J16" s="860">
        <f t="shared" ca="1" si="0"/>
        <v>0</v>
      </c>
      <c r="K16" s="8"/>
      <c r="N16" s="177">
        <f t="shared" ca="1" si="1"/>
        <v>0</v>
      </c>
    </row>
    <row r="17" spans="2:14" ht="50.5">
      <c r="B17" s="7"/>
      <c r="C17" s="935"/>
      <c r="D17" s="935"/>
      <c r="E17" s="180" t="s">
        <v>291</v>
      </c>
      <c r="F17" s="701"/>
      <c r="G17" s="721"/>
      <c r="H17" s="721"/>
      <c r="I17" s="722"/>
      <c r="J17" s="860">
        <f t="shared" ca="1" si="0"/>
        <v>0</v>
      </c>
      <c r="K17" s="8"/>
      <c r="N17" s="177">
        <f t="shared" ca="1" si="1"/>
        <v>0</v>
      </c>
    </row>
    <row r="18" spans="2:14">
      <c r="B18" s="7"/>
      <c r="C18" s="935"/>
      <c r="D18" s="936"/>
      <c r="E18" s="180" t="s">
        <v>266</v>
      </c>
      <c r="F18" s="729">
        <f>SUM(F15:F17)</f>
        <v>0</v>
      </c>
      <c r="G18" s="729">
        <f>SUM(G15:G17)</f>
        <v>0</v>
      </c>
      <c r="H18" s="729">
        <f>SUM(H15:H17)</f>
        <v>0</v>
      </c>
      <c r="I18" s="729">
        <f>SUM(I15:I17)</f>
        <v>0</v>
      </c>
      <c r="J18" s="860">
        <f t="shared" ca="1" si="0"/>
        <v>0</v>
      </c>
      <c r="K18" s="8"/>
      <c r="N18" s="177">
        <f t="shared" ca="1" si="1"/>
        <v>0</v>
      </c>
    </row>
    <row r="19" spans="2:14">
      <c r="B19" s="7"/>
      <c r="C19" s="936"/>
      <c r="D19" s="931" t="s">
        <v>267</v>
      </c>
      <c r="E19" s="933"/>
      <c r="F19" s="700"/>
      <c r="G19" s="721"/>
      <c r="H19" s="721"/>
      <c r="I19" s="722"/>
      <c r="J19" s="860">
        <f t="shared" ca="1" si="0"/>
        <v>0</v>
      </c>
      <c r="K19" s="8"/>
      <c r="N19" s="177">
        <f t="shared" ca="1" si="1"/>
        <v>0</v>
      </c>
    </row>
    <row r="20" spans="2:14" ht="51.75" customHeight="1">
      <c r="B20" s="7"/>
      <c r="C20" s="937" t="s">
        <v>268</v>
      </c>
      <c r="D20" s="939"/>
      <c r="E20" s="938"/>
      <c r="F20" s="702"/>
      <c r="G20" s="721"/>
      <c r="H20" s="721"/>
      <c r="I20" s="722"/>
      <c r="J20" s="860">
        <f t="shared" ca="1" si="0"/>
        <v>0</v>
      </c>
      <c r="K20" s="8"/>
      <c r="N20" s="177">
        <f t="shared" ca="1" si="1"/>
        <v>0</v>
      </c>
    </row>
    <row r="21" spans="2:14">
      <c r="B21" s="65"/>
      <c r="C21" s="187"/>
      <c r="D21" s="187"/>
      <c r="E21" s="187"/>
      <c r="F21" s="704"/>
      <c r="G21" s="705"/>
      <c r="H21" s="705"/>
      <c r="I21" s="705"/>
      <c r="J21" s="188"/>
      <c r="K21" s="9"/>
      <c r="N21" cm="1">
        <f t="array" aca="1" ref="N21" ca="1">IF(SUMPRODUCT(N(J11:J20&lt;&gt;N11:N20))=0,1,0)</f>
        <v>1</v>
      </c>
    </row>
    <row r="22" spans="2:14">
      <c r="C22" s="181"/>
      <c r="D22" s="181"/>
      <c r="E22" s="181"/>
      <c r="F22" s="706"/>
      <c r="G22" s="707"/>
      <c r="H22" s="707"/>
      <c r="I22" s="707"/>
      <c r="J22" s="182"/>
    </row>
    <row r="30" spans="2:14" hidden="1">
      <c r="F30" s="11">
        <v>1</v>
      </c>
      <c r="G30" s="11">
        <v>1</v>
      </c>
      <c r="H30" s="11">
        <v>1</v>
      </c>
      <c r="I30" s="11">
        <v>1</v>
      </c>
    </row>
    <row r="31" spans="2:14" hidden="1">
      <c r="F31" s="11">
        <f>SUM(F15:F17)</f>
        <v>0</v>
      </c>
      <c r="G31" s="11">
        <f t="shared" ref="G31:I31" si="2">SUM(G15:G17)</f>
        <v>0</v>
      </c>
      <c r="H31" s="11">
        <f t="shared" si="2"/>
        <v>0</v>
      </c>
      <c r="I31" s="11">
        <f t="shared" si="2"/>
        <v>0</v>
      </c>
    </row>
    <row r="42" spans="2:10">
      <c r="B42" s="11"/>
      <c r="C42" s="11"/>
      <c r="D42" s="11"/>
      <c r="E42" s="11"/>
      <c r="J42" s="11"/>
    </row>
    <row r="43" spans="2:10">
      <c r="B43" s="11"/>
      <c r="C43" s="11"/>
      <c r="D43" s="11"/>
      <c r="E43" s="11"/>
      <c r="J43" s="11"/>
    </row>
    <row r="44" spans="2:10">
      <c r="B44" s="11"/>
      <c r="C44" s="11"/>
      <c r="D44" s="11"/>
      <c r="E44" s="11"/>
      <c r="J44" s="11"/>
    </row>
    <row r="45" spans="2:10">
      <c r="B45" s="11"/>
      <c r="C45" s="11"/>
      <c r="D45" s="11"/>
      <c r="E45" s="11"/>
      <c r="J45" s="11"/>
    </row>
    <row r="46" spans="2:10">
      <c r="B46" s="11"/>
      <c r="C46" s="11"/>
      <c r="D46" s="11"/>
      <c r="E46" s="11"/>
      <c r="J46" s="11"/>
    </row>
    <row r="47" spans="2:10">
      <c r="B47" s="11"/>
      <c r="C47" s="11"/>
      <c r="D47" s="11"/>
      <c r="E47" s="11"/>
      <c r="J47" s="11"/>
    </row>
    <row r="48" spans="2:10">
      <c r="B48" s="11"/>
      <c r="C48" s="11"/>
      <c r="D48" s="11"/>
      <c r="E48" s="11"/>
      <c r="J48" s="11"/>
    </row>
    <row r="49" spans="2:10">
      <c r="B49" s="11"/>
      <c r="C49" s="11"/>
      <c r="D49" s="11"/>
      <c r="E49" s="11"/>
      <c r="J49" s="11"/>
    </row>
  </sheetData>
  <sheetProtection algorithmName="SHA-512" hashValue="cjhXpsV1I636sWSUg7Zlfr+VVcoIOYIl3MB7RauP/B04/rV6/HDorD1x30gf648S1xrAHQOAtWW6J2h6rqwG+g==" saltValue="pcnpztrCi2NeU/VTdNn+Qg==" spinCount="100000" sheet="1" formatCells="0" insertColumns="0" deleteColumns="0"/>
  <mergeCells count="11">
    <mergeCell ref="D19:E19"/>
    <mergeCell ref="C20:E20"/>
    <mergeCell ref="C14:C19"/>
    <mergeCell ref="D14:E14"/>
    <mergeCell ref="D15:D18"/>
    <mergeCell ref="C9:E9"/>
    <mergeCell ref="C10:E10"/>
    <mergeCell ref="C11:C13"/>
    <mergeCell ref="D11:E11"/>
    <mergeCell ref="D12:E12"/>
    <mergeCell ref="D13:E13"/>
  </mergeCells>
  <phoneticPr fontId="1"/>
  <conditionalFormatting sqref="F19:H20">
    <cfRule type="notContainsBlanks" dxfId="1817" priority="10">
      <formula>LEN(TRIM(F19))&gt;0</formula>
    </cfRule>
  </conditionalFormatting>
  <conditionalFormatting sqref="F9:I20">
    <cfRule type="expression" dxfId="1816" priority="7">
      <formula>F$30=""</formula>
    </cfRule>
  </conditionalFormatting>
  <conditionalFormatting sqref="F10:I17">
    <cfRule type="notContainsBlanks" dxfId="1815" priority="3">
      <formula>LEN(TRIM(F10))&gt;0</formula>
    </cfRule>
  </conditionalFormatting>
  <conditionalFormatting sqref="F18:I18">
    <cfRule type="expression" dxfId="1814" priority="1">
      <formula>F$18&lt;&gt;F$31</formula>
    </cfRule>
    <cfRule type="cellIs" dxfId="1813" priority="6" operator="greaterThan">
      <formula>0</formula>
    </cfRule>
  </conditionalFormatting>
  <conditionalFormatting sqref="G9:H9">
    <cfRule type="cellIs" dxfId="1812" priority="8" operator="notEqual">
      <formula>"○○エリア"</formula>
    </cfRule>
  </conditionalFormatting>
  <conditionalFormatting sqref="J11:J20">
    <cfRule type="expression" dxfId="1811" priority="2">
      <formula>$J11&lt;&gt;$N11</formula>
    </cfRule>
    <cfRule type="cellIs" dxfId="1810" priority="9" operator="greaterThan">
      <formula>0</formula>
    </cfRule>
  </conditionalFormatting>
  <dataValidations disablePrompts="1" count="1">
    <dataValidation type="decimal" operator="greaterThanOrEqual" allowBlank="1" showInputMessage="1" showErrorMessage="1" error="数値で入力してください" sqref="F11:I20" xr:uid="{8B3842E6-229C-45BD-B76B-F85762098640}">
      <formula1>0</formula1>
    </dataValidation>
  </dataValidations>
  <pageMargins left="0.7" right="0.7" top="0.75" bottom="0.75" header="0.3" footer="0.3"/>
  <pageSetup orientation="portrait" r:id="rId1"/>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ACFA9-5C12-49E0-A23E-FE6A340F6B8A}">
  <sheetPr codeName="Sheet5">
    <tabColor theme="7" tint="0.79998168889431442"/>
  </sheetPr>
  <dimension ref="A1:Q30"/>
  <sheetViews>
    <sheetView showGridLines="0" zoomScaleNormal="100" workbookViewId="0"/>
  </sheetViews>
  <sheetFormatPr defaultRowHeight="18"/>
  <cols>
    <col min="1" max="1" width="3.25" customWidth="1"/>
    <col min="2" max="2" width="3.5" customWidth="1"/>
    <col min="3" max="3" width="12.08203125" style="2" customWidth="1"/>
    <col min="4" max="4" width="46.5" customWidth="1"/>
    <col min="5" max="5" width="13.5" style="2" bestFit="1" customWidth="1"/>
    <col min="6" max="6" width="17.5" style="90" customWidth="1"/>
    <col min="7" max="12" width="17" style="90" customWidth="1"/>
    <col min="13" max="13" width="4.08203125" customWidth="1"/>
    <col min="15" max="15" width="17.83203125" style="90" customWidth="1"/>
    <col min="16" max="16" width="9" customWidth="1"/>
    <col min="17" max="17" width="9" hidden="1" customWidth="1"/>
  </cols>
  <sheetData>
    <row r="1" spans="1:17">
      <c r="A1" s="158" t="s">
        <v>339</v>
      </c>
    </row>
    <row r="2" spans="1:17">
      <c r="A2" t="s">
        <v>340</v>
      </c>
    </row>
    <row r="3" spans="1:17">
      <c r="A3" t="s">
        <v>341</v>
      </c>
    </row>
    <row r="4" spans="1:17">
      <c r="Q4" t="s">
        <v>317</v>
      </c>
    </row>
    <row r="5" spans="1:17">
      <c r="B5" s="10"/>
      <c r="C5" s="219"/>
      <c r="D5" s="5"/>
      <c r="E5" s="219"/>
      <c r="F5" s="220"/>
      <c r="G5" s="220"/>
      <c r="H5" s="220"/>
      <c r="I5" s="220"/>
      <c r="J5" s="220"/>
      <c r="K5" s="220"/>
      <c r="L5" s="220"/>
      <c r="M5" s="6"/>
    </row>
    <row r="6" spans="1:17" ht="18.75" customHeight="1">
      <c r="B6" s="7"/>
      <c r="C6" s="948" t="s">
        <v>76</v>
      </c>
      <c r="D6" s="948" t="s">
        <v>329</v>
      </c>
      <c r="E6" s="950" t="s">
        <v>330</v>
      </c>
      <c r="F6" s="952" t="s">
        <v>331</v>
      </c>
      <c r="G6" s="947" t="s">
        <v>337</v>
      </c>
      <c r="H6" s="947"/>
      <c r="I6" s="947"/>
      <c r="J6" s="947"/>
      <c r="K6" s="947"/>
      <c r="L6" s="945" t="s">
        <v>338</v>
      </c>
      <c r="M6" s="8"/>
      <c r="O6" s="945" t="s">
        <v>358</v>
      </c>
    </row>
    <row r="7" spans="1:17" ht="54">
      <c r="B7" s="7"/>
      <c r="C7" s="949"/>
      <c r="D7" s="949"/>
      <c r="E7" s="951"/>
      <c r="F7" s="953"/>
      <c r="G7" s="328" t="s">
        <v>332</v>
      </c>
      <c r="H7" s="328" t="s">
        <v>333</v>
      </c>
      <c r="I7" s="921" t="s">
        <v>334</v>
      </c>
      <c r="J7" s="921" t="s">
        <v>335</v>
      </c>
      <c r="K7" s="921" t="s">
        <v>336</v>
      </c>
      <c r="L7" s="954"/>
      <c r="M7" s="8"/>
      <c r="O7" s="946"/>
    </row>
    <row r="8" spans="1:17" s="11" customFormat="1" hidden="1">
      <c r="B8" s="97"/>
      <c r="C8" s="194"/>
      <c r="D8" s="439"/>
      <c r="E8" s="195"/>
      <c r="F8" s="323"/>
      <c r="G8" s="323"/>
      <c r="H8" s="323"/>
      <c r="I8" s="323"/>
      <c r="J8" s="196"/>
      <c r="K8" s="196"/>
      <c r="L8" s="323"/>
      <c r="M8" s="100"/>
      <c r="O8" s="195"/>
      <c r="Q8" s="11">
        <f>ROW()-7</f>
        <v>1</v>
      </c>
    </row>
    <row r="9" spans="1:17" s="11" customFormat="1">
      <c r="B9" s="97"/>
      <c r="C9" s="131"/>
      <c r="D9" s="437"/>
      <c r="E9" s="129"/>
      <c r="F9" s="215"/>
      <c r="G9" s="215"/>
      <c r="H9" s="215"/>
      <c r="I9" s="215"/>
      <c r="J9" s="132"/>
      <c r="K9" s="132"/>
      <c r="L9" s="215"/>
      <c r="M9" s="100"/>
      <c r="O9" s="215"/>
      <c r="Q9" s="11">
        <f t="shared" ref="Q9:Q29" si="0">ROW()-7</f>
        <v>2</v>
      </c>
    </row>
    <row r="10" spans="1:17" s="11" customFormat="1">
      <c r="B10" s="97"/>
      <c r="C10" s="131"/>
      <c r="D10" s="437"/>
      <c r="E10" s="584"/>
      <c r="F10" s="215"/>
      <c r="G10" s="215"/>
      <c r="H10" s="215"/>
      <c r="I10" s="215"/>
      <c r="J10" s="132"/>
      <c r="K10" s="132"/>
      <c r="L10" s="215"/>
      <c r="M10" s="100"/>
      <c r="O10" s="215"/>
      <c r="Q10" s="11">
        <f t="shared" si="0"/>
        <v>3</v>
      </c>
    </row>
    <row r="11" spans="1:17" s="11" customFormat="1">
      <c r="B11" s="97"/>
      <c r="C11" s="131"/>
      <c r="D11" s="437"/>
      <c r="E11" s="584"/>
      <c r="F11" s="215"/>
      <c r="G11" s="215"/>
      <c r="H11" s="215"/>
      <c r="I11" s="215"/>
      <c r="J11" s="132"/>
      <c r="K11" s="132"/>
      <c r="L11" s="215"/>
      <c r="M11" s="100"/>
      <c r="O11" s="215"/>
      <c r="Q11" s="11">
        <f t="shared" si="0"/>
        <v>4</v>
      </c>
    </row>
    <row r="12" spans="1:17" s="11" customFormat="1">
      <c r="B12" s="97"/>
      <c r="C12" s="131"/>
      <c r="D12" s="437"/>
      <c r="E12" s="584"/>
      <c r="F12" s="215"/>
      <c r="G12" s="215"/>
      <c r="H12" s="215"/>
      <c r="I12" s="215"/>
      <c r="J12" s="132"/>
      <c r="K12" s="132"/>
      <c r="L12" s="215"/>
      <c r="M12" s="100"/>
      <c r="O12" s="215"/>
      <c r="Q12" s="11">
        <f t="shared" si="0"/>
        <v>5</v>
      </c>
    </row>
    <row r="13" spans="1:17" s="11" customFormat="1">
      <c r="B13" s="97"/>
      <c r="C13" s="131"/>
      <c r="D13" s="437"/>
      <c r="E13" s="584"/>
      <c r="F13" s="215"/>
      <c r="G13" s="215"/>
      <c r="H13" s="215"/>
      <c r="I13" s="215"/>
      <c r="J13" s="132"/>
      <c r="K13" s="132"/>
      <c r="L13" s="215"/>
      <c r="M13" s="100"/>
      <c r="O13" s="215"/>
      <c r="Q13" s="11">
        <f t="shared" si="0"/>
        <v>6</v>
      </c>
    </row>
    <row r="14" spans="1:17" s="11" customFormat="1">
      <c r="B14" s="97"/>
      <c r="C14" s="131"/>
      <c r="D14" s="437"/>
      <c r="E14" s="584"/>
      <c r="F14" s="215"/>
      <c r="G14" s="215"/>
      <c r="H14" s="215"/>
      <c r="I14" s="215"/>
      <c r="J14" s="132"/>
      <c r="K14" s="132"/>
      <c r="L14" s="215"/>
      <c r="M14" s="100"/>
      <c r="O14" s="215"/>
      <c r="Q14" s="11">
        <f t="shared" si="0"/>
        <v>7</v>
      </c>
    </row>
    <row r="15" spans="1:17" s="11" customFormat="1">
      <c r="B15" s="97"/>
      <c r="C15" s="131"/>
      <c r="D15" s="437"/>
      <c r="E15" s="584"/>
      <c r="F15" s="215"/>
      <c r="G15" s="215"/>
      <c r="H15" s="215"/>
      <c r="I15" s="215"/>
      <c r="J15" s="132"/>
      <c r="K15" s="132"/>
      <c r="L15" s="215"/>
      <c r="M15" s="100"/>
      <c r="O15" s="215"/>
      <c r="Q15" s="11">
        <f t="shared" si="0"/>
        <v>8</v>
      </c>
    </row>
    <row r="16" spans="1:17" s="11" customFormat="1">
      <c r="B16" s="97"/>
      <c r="C16" s="131"/>
      <c r="D16" s="437"/>
      <c r="E16" s="584"/>
      <c r="F16" s="215"/>
      <c r="G16" s="215"/>
      <c r="H16" s="215"/>
      <c r="I16" s="215"/>
      <c r="J16" s="132"/>
      <c r="K16" s="132"/>
      <c r="L16" s="215"/>
      <c r="M16" s="100"/>
      <c r="O16" s="215"/>
      <c r="Q16" s="11">
        <f t="shared" si="0"/>
        <v>9</v>
      </c>
    </row>
    <row r="17" spans="2:17" s="11" customFormat="1">
      <c r="B17" s="97"/>
      <c r="C17" s="131"/>
      <c r="D17" s="437"/>
      <c r="E17" s="584"/>
      <c r="F17" s="215"/>
      <c r="G17" s="215"/>
      <c r="H17" s="215"/>
      <c r="I17" s="215"/>
      <c r="J17" s="132"/>
      <c r="K17" s="132"/>
      <c r="L17" s="215"/>
      <c r="M17" s="100"/>
      <c r="O17" s="215"/>
      <c r="Q17" s="11">
        <f t="shared" si="0"/>
        <v>10</v>
      </c>
    </row>
    <row r="18" spans="2:17" s="11" customFormat="1">
      <c r="B18" s="97"/>
      <c r="C18" s="131"/>
      <c r="D18" s="437"/>
      <c r="E18" s="584"/>
      <c r="F18" s="215"/>
      <c r="G18" s="215"/>
      <c r="H18" s="215"/>
      <c r="I18" s="215"/>
      <c r="J18" s="132"/>
      <c r="K18" s="132"/>
      <c r="L18" s="215"/>
      <c r="M18" s="100"/>
      <c r="O18" s="215"/>
      <c r="Q18" s="11">
        <f t="shared" si="0"/>
        <v>11</v>
      </c>
    </row>
    <row r="19" spans="2:17" s="11" customFormat="1">
      <c r="B19" s="97"/>
      <c r="C19" s="131"/>
      <c r="D19" s="437"/>
      <c r="E19" s="584"/>
      <c r="F19" s="215"/>
      <c r="G19" s="215"/>
      <c r="H19" s="215"/>
      <c r="I19" s="215"/>
      <c r="J19" s="132"/>
      <c r="K19" s="132"/>
      <c r="L19" s="215"/>
      <c r="M19" s="100"/>
      <c r="O19" s="215"/>
      <c r="Q19" s="11">
        <f t="shared" si="0"/>
        <v>12</v>
      </c>
    </row>
    <row r="20" spans="2:17" s="11" customFormat="1">
      <c r="B20" s="97"/>
      <c r="C20" s="131"/>
      <c r="D20" s="437"/>
      <c r="E20" s="584"/>
      <c r="F20" s="215"/>
      <c r="G20" s="215"/>
      <c r="H20" s="215"/>
      <c r="I20" s="215"/>
      <c r="J20" s="132"/>
      <c r="K20" s="132"/>
      <c r="L20" s="215"/>
      <c r="M20" s="100"/>
      <c r="O20" s="215"/>
      <c r="Q20" s="11">
        <f t="shared" si="0"/>
        <v>13</v>
      </c>
    </row>
    <row r="21" spans="2:17" s="11" customFormat="1">
      <c r="B21" s="97"/>
      <c r="C21" s="131"/>
      <c r="D21" s="437"/>
      <c r="E21" s="584"/>
      <c r="F21" s="215"/>
      <c r="G21" s="215"/>
      <c r="H21" s="215"/>
      <c r="I21" s="215"/>
      <c r="J21" s="132"/>
      <c r="K21" s="132"/>
      <c r="L21" s="215"/>
      <c r="M21" s="100"/>
      <c r="O21" s="215"/>
      <c r="Q21" s="11">
        <f t="shared" si="0"/>
        <v>14</v>
      </c>
    </row>
    <row r="22" spans="2:17" s="11" customFormat="1">
      <c r="B22" s="97"/>
      <c r="C22" s="131"/>
      <c r="D22" s="437"/>
      <c r="E22" s="584"/>
      <c r="F22" s="215"/>
      <c r="G22" s="215"/>
      <c r="H22" s="215"/>
      <c r="I22" s="215"/>
      <c r="J22" s="132"/>
      <c r="K22" s="132"/>
      <c r="L22" s="215"/>
      <c r="M22" s="100"/>
      <c r="O22" s="215"/>
      <c r="Q22" s="11">
        <f t="shared" si="0"/>
        <v>15</v>
      </c>
    </row>
    <row r="23" spans="2:17" s="11" customFormat="1">
      <c r="B23" s="97"/>
      <c r="C23" s="131"/>
      <c r="D23" s="437"/>
      <c r="E23" s="584"/>
      <c r="F23" s="215"/>
      <c r="G23" s="215"/>
      <c r="H23" s="215"/>
      <c r="I23" s="215"/>
      <c r="J23" s="132"/>
      <c r="K23" s="132"/>
      <c r="L23" s="215"/>
      <c r="M23" s="100"/>
      <c r="O23" s="215"/>
      <c r="Q23" s="11">
        <f t="shared" si="0"/>
        <v>16</v>
      </c>
    </row>
    <row r="24" spans="2:17" s="11" customFormat="1">
      <c r="B24" s="97"/>
      <c r="C24" s="131"/>
      <c r="D24" s="437"/>
      <c r="E24" s="584"/>
      <c r="F24" s="215"/>
      <c r="G24" s="215"/>
      <c r="H24" s="215"/>
      <c r="I24" s="215"/>
      <c r="J24" s="132"/>
      <c r="K24" s="132"/>
      <c r="L24" s="215"/>
      <c r="M24" s="100"/>
      <c r="O24" s="215"/>
      <c r="Q24" s="11">
        <f t="shared" si="0"/>
        <v>17</v>
      </c>
    </row>
    <row r="25" spans="2:17" s="11" customFormat="1">
      <c r="B25" s="97"/>
      <c r="C25" s="131"/>
      <c r="D25" s="437"/>
      <c r="E25" s="584"/>
      <c r="F25" s="215"/>
      <c r="G25" s="215"/>
      <c r="H25" s="215"/>
      <c r="I25" s="215"/>
      <c r="J25" s="132"/>
      <c r="K25" s="132"/>
      <c r="L25" s="215"/>
      <c r="M25" s="100"/>
      <c r="O25" s="215"/>
      <c r="Q25" s="11">
        <f t="shared" si="0"/>
        <v>18</v>
      </c>
    </row>
    <row r="26" spans="2:17" s="11" customFormat="1">
      <c r="B26" s="97"/>
      <c r="C26" s="131"/>
      <c r="D26" s="437"/>
      <c r="E26" s="584"/>
      <c r="F26" s="215"/>
      <c r="G26" s="215"/>
      <c r="H26" s="215"/>
      <c r="I26" s="215"/>
      <c r="J26" s="132"/>
      <c r="K26" s="132"/>
      <c r="L26" s="215"/>
      <c r="M26" s="100"/>
      <c r="O26" s="215"/>
      <c r="Q26" s="11">
        <f t="shared" si="0"/>
        <v>19</v>
      </c>
    </row>
    <row r="27" spans="2:17" s="11" customFormat="1">
      <c r="B27" s="97"/>
      <c r="C27" s="131"/>
      <c r="D27" s="437"/>
      <c r="E27" s="584"/>
      <c r="F27" s="215"/>
      <c r="G27" s="215"/>
      <c r="H27" s="215"/>
      <c r="I27" s="215"/>
      <c r="J27" s="132"/>
      <c r="K27" s="132"/>
      <c r="L27" s="215"/>
      <c r="M27" s="100"/>
      <c r="O27" s="215"/>
      <c r="Q27" s="11">
        <f t="shared" si="0"/>
        <v>20</v>
      </c>
    </row>
    <row r="28" spans="2:17">
      <c r="B28" s="7"/>
      <c r="C28" s="942" t="s">
        <v>362</v>
      </c>
      <c r="D28" s="943"/>
      <c r="E28" s="944"/>
      <c r="F28" s="216">
        <f ca="1">SUM(OFFSET(F8,0,0,ROW()-ROW(F8),1))</f>
        <v>0</v>
      </c>
      <c r="G28" s="216">
        <f t="shared" ref="G28:J28" ca="1" si="1">SUM(OFFSET(G8,0,0,ROW()-ROW(G8),1))</f>
        <v>0</v>
      </c>
      <c r="H28" s="216">
        <f t="shared" ca="1" si="1"/>
        <v>0</v>
      </c>
      <c r="I28" s="216">
        <f t="shared" ca="1" si="1"/>
        <v>0</v>
      </c>
      <c r="J28" s="216">
        <f t="shared" ca="1" si="1"/>
        <v>0</v>
      </c>
      <c r="K28" s="216">
        <f ca="1">SUM(OFFSET(K8,0,0,ROW()-ROW(K8),1))</f>
        <v>0</v>
      </c>
      <c r="L28" s="518"/>
      <c r="M28" s="8"/>
      <c r="O28" s="853"/>
      <c r="Q28" s="11">
        <f t="shared" si="0"/>
        <v>21</v>
      </c>
    </row>
    <row r="29" spans="2:17">
      <c r="B29" s="7"/>
      <c r="C29" s="942" t="s">
        <v>361</v>
      </c>
      <c r="D29" s="943"/>
      <c r="E29" s="944"/>
      <c r="F29" s="218"/>
      <c r="G29" s="218"/>
      <c r="H29" s="218"/>
      <c r="I29" s="218"/>
      <c r="J29" s="218"/>
      <c r="K29" s="218"/>
      <c r="L29" s="227"/>
      <c r="M29" s="8"/>
      <c r="O29" s="852">
        <f ca="1">SUM(OFFSET(O8,0,0,ROW()-ROW(O8),1))</f>
        <v>0</v>
      </c>
      <c r="Q29" s="11">
        <f t="shared" si="0"/>
        <v>22</v>
      </c>
    </row>
    <row r="30" spans="2:17">
      <c r="B30" s="65"/>
      <c r="C30" s="125"/>
      <c r="D30" s="4"/>
      <c r="E30" s="125"/>
      <c r="F30" s="124"/>
      <c r="G30" s="124"/>
      <c r="H30" s="124"/>
      <c r="I30" s="124"/>
      <c r="J30" s="124"/>
      <c r="K30" s="124"/>
      <c r="L30" s="124"/>
      <c r="M30" s="9"/>
    </row>
  </sheetData>
  <sheetProtection algorithmName="SHA-512" hashValue="/fKIRjSZslqjUM9yxxA1jfmOasAcAWfodMTDPpqIdSY91bEde475AIn0j7pEgS+FRkbyfjCNHZm08TXRyZIPyQ==" saltValue="VT+eowPn6UEeyo8pAvVx/w==" spinCount="100000" sheet="1" formatCells="0" insertRows="0" deleteRows="0"/>
  <mergeCells count="9">
    <mergeCell ref="C29:E29"/>
    <mergeCell ref="C28:E28"/>
    <mergeCell ref="O6:O7"/>
    <mergeCell ref="G6:K6"/>
    <mergeCell ref="C6:C7"/>
    <mergeCell ref="D6:D7"/>
    <mergeCell ref="E6:E7"/>
    <mergeCell ref="F6:F7"/>
    <mergeCell ref="L6:L7"/>
  </mergeCells>
  <phoneticPr fontId="1"/>
  <conditionalFormatting sqref="C8:L8 L29">
    <cfRule type="containsBlanks" dxfId="1809" priority="5">
      <formula>LEN(TRIM(C8))=0</formula>
    </cfRule>
  </conditionalFormatting>
  <conditionalFormatting sqref="C8:L27">
    <cfRule type="expression" dxfId="1808" priority="4351">
      <formula>$Q8=""</formula>
    </cfRule>
    <cfRule type="containsBlanks" dxfId="1807" priority="4352">
      <formula>LEN(TRIM(C8))=0</formula>
    </cfRule>
  </conditionalFormatting>
  <conditionalFormatting sqref="F28:K28">
    <cfRule type="cellIs" dxfId="1806" priority="7" operator="equal">
      <formula>0</formula>
    </cfRule>
  </conditionalFormatting>
  <conditionalFormatting sqref="O29">
    <cfRule type="cellIs" dxfId="1805" priority="1" operator="greaterThan">
      <formula>0</formula>
    </cfRule>
  </conditionalFormatting>
  <dataValidations disablePrompts="1" count="1">
    <dataValidation type="decimal" operator="greaterThanOrEqual" allowBlank="1" showInputMessage="1" showErrorMessage="1" error="数値で入力してください" sqref="L29 F9:L27" xr:uid="{040C4F65-0146-4C2C-A7BA-251D0F6C69E5}">
      <formula1>0</formula1>
    </dataValidation>
  </dataValidations>
  <pageMargins left="0.7" right="0.7" top="0.75" bottom="0.75" header="0.3" footer="0.3"/>
  <pageSetup orientation="portrait" r:id="rId1"/>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5E0FD-6E1A-4BA4-BBA8-55675F63DB79}">
  <sheetPr codeName="Sheet37">
    <tabColor theme="7" tint="0.79998168889431442"/>
    <pageSetUpPr autoPageBreaks="0"/>
  </sheetPr>
  <dimension ref="A1:V99"/>
  <sheetViews>
    <sheetView showGridLines="0" zoomScaleNormal="100" zoomScaleSheetLayoutView="90" zoomScalePageLayoutView="115" workbookViewId="0"/>
  </sheetViews>
  <sheetFormatPr defaultColWidth="9" defaultRowHeight="18"/>
  <cols>
    <col min="1" max="2" width="3.75" style="325" customWidth="1"/>
    <col min="3" max="3" width="11.33203125" style="325" customWidth="1"/>
    <col min="4" max="4" width="15.33203125" style="325" customWidth="1"/>
    <col min="5" max="5" width="7.5" style="336" bestFit="1" customWidth="1"/>
    <col min="6" max="6" width="46.5" style="337" customWidth="1"/>
    <col min="7" max="7" width="13.5" style="338" bestFit="1" customWidth="1"/>
    <col min="8" max="8" width="16.75" style="338" customWidth="1"/>
    <col min="9" max="9" width="16.83203125" style="338" customWidth="1"/>
    <col min="10" max="10" width="27.08203125" style="337" bestFit="1" customWidth="1"/>
    <col min="11" max="11" width="11.5" style="337" bestFit="1" customWidth="1"/>
    <col min="12" max="12" width="17.08203125" style="338" customWidth="1"/>
    <col min="13" max="13" width="4" customWidth="1"/>
    <col min="14" max="14" width="9" style="325"/>
    <col min="15" max="17" width="12.33203125" style="325" hidden="1" customWidth="1"/>
    <col min="18" max="18" width="16.75" style="325" hidden="1" customWidth="1"/>
    <col min="19" max="19" width="16.83203125" style="325" hidden="1" customWidth="1"/>
    <col min="20" max="21" width="12.33203125" style="325" hidden="1" customWidth="1"/>
    <col min="22" max="22" width="9" style="325" hidden="1" customWidth="1"/>
    <col min="23" max="16384" width="9" style="325"/>
  </cols>
  <sheetData>
    <row r="1" spans="1:20" customFormat="1">
      <c r="A1" s="44" t="s">
        <v>342</v>
      </c>
      <c r="B1" s="13"/>
      <c r="C1" s="13"/>
      <c r="E1" s="17"/>
      <c r="F1" s="17"/>
      <c r="G1" s="230"/>
      <c r="H1" s="230"/>
      <c r="I1" s="230"/>
      <c r="J1" s="17"/>
      <c r="K1" s="17"/>
      <c r="L1" s="230"/>
    </row>
    <row r="2" spans="1:20" customFormat="1" ht="18.75" customHeight="1">
      <c r="A2" s="13"/>
      <c r="B2" s="13" t="s">
        <v>343</v>
      </c>
      <c r="C2" s="13"/>
      <c r="E2" s="17"/>
      <c r="F2" s="17"/>
      <c r="G2" s="230"/>
      <c r="H2" s="230"/>
      <c r="I2" s="230"/>
      <c r="J2" s="17"/>
      <c r="K2" s="17"/>
      <c r="L2" s="230"/>
    </row>
    <row r="3" spans="1:20" customFormat="1">
      <c r="A3" s="13"/>
      <c r="B3" s="13" t="s">
        <v>344</v>
      </c>
      <c r="C3" s="17"/>
      <c r="E3" s="17"/>
      <c r="F3" s="17"/>
      <c r="G3" s="324"/>
      <c r="H3" s="324"/>
      <c r="I3" s="324"/>
      <c r="J3" s="17"/>
      <c r="K3" s="17"/>
      <c r="L3" s="230"/>
    </row>
    <row r="4" spans="1:20" customFormat="1">
      <c r="A4" s="13"/>
      <c r="B4" s="13" t="s">
        <v>560</v>
      </c>
      <c r="C4" s="13"/>
      <c r="E4" s="17"/>
      <c r="F4" s="17"/>
      <c r="G4" s="230"/>
      <c r="H4" s="230"/>
      <c r="I4" s="230"/>
      <c r="J4" s="17"/>
      <c r="K4" s="17"/>
      <c r="L4" s="230"/>
    </row>
    <row r="5" spans="1:20">
      <c r="B5" s="13" t="s">
        <v>561</v>
      </c>
    </row>
    <row r="6" spans="1:20">
      <c r="B6" s="13"/>
    </row>
    <row r="7" spans="1:20">
      <c r="B7" s="462"/>
      <c r="C7" s="463"/>
      <c r="D7" s="463"/>
      <c r="E7" s="464"/>
      <c r="F7" s="465"/>
      <c r="G7" s="466"/>
      <c r="H7" s="466"/>
      <c r="I7" s="466"/>
      <c r="J7" s="465"/>
      <c r="K7" s="465"/>
      <c r="L7" s="466"/>
      <c r="M7" s="6"/>
      <c r="O7" s="325" t="s">
        <v>317</v>
      </c>
    </row>
    <row r="8" spans="1:20" ht="36">
      <c r="B8" s="467"/>
      <c r="C8" s="326" t="s">
        <v>75</v>
      </c>
      <c r="D8" s="326" t="s">
        <v>121</v>
      </c>
      <c r="E8" s="327" t="s">
        <v>76</v>
      </c>
      <c r="F8" s="327" t="s">
        <v>70</v>
      </c>
      <c r="G8" s="328" t="s">
        <v>533</v>
      </c>
      <c r="H8" s="328" t="s">
        <v>114</v>
      </c>
      <c r="I8" s="862" t="s">
        <v>534</v>
      </c>
      <c r="J8" s="327" t="s">
        <v>115</v>
      </c>
      <c r="K8" s="327" t="s">
        <v>85</v>
      </c>
      <c r="L8" s="328" t="s">
        <v>77</v>
      </c>
      <c r="M8" s="8"/>
      <c r="O8" s="438"/>
      <c r="P8" s="438"/>
      <c r="R8" s="328" t="s">
        <v>114</v>
      </c>
      <c r="S8" s="328" t="s">
        <v>113</v>
      </c>
      <c r="T8" s="326" t="s">
        <v>425</v>
      </c>
    </row>
    <row r="9" spans="1:20">
      <c r="B9" s="467"/>
      <c r="C9" s="329" t="s">
        <v>293</v>
      </c>
      <c r="D9" s="330" t="s">
        <v>120</v>
      </c>
      <c r="E9" s="165"/>
      <c r="F9" s="166"/>
      <c r="G9" s="167"/>
      <c r="H9" s="168"/>
      <c r="I9" s="523">
        <f>SUM($H$10:$H$20)</f>
        <v>0</v>
      </c>
      <c r="J9" s="172"/>
      <c r="K9" s="166"/>
      <c r="L9" s="168"/>
      <c r="M9" s="8"/>
      <c r="O9" s="333" t="s">
        <v>491</v>
      </c>
      <c r="P9" s="333" t="s">
        <v>460</v>
      </c>
      <c r="R9" s="331"/>
      <c r="S9" s="332">
        <f>SUM($H$10:$H$20)</f>
        <v>0</v>
      </c>
      <c r="T9" s="333">
        <f>IF(AND(H9=R9,I9=S9),1,0)</f>
        <v>1</v>
      </c>
    </row>
    <row r="10" spans="1:20" hidden="1">
      <c r="B10" s="467"/>
      <c r="C10" s="334"/>
      <c r="D10" s="520"/>
      <c r="E10" s="520"/>
      <c r="F10" s="521"/>
      <c r="G10" s="522"/>
      <c r="H10" s="522"/>
      <c r="I10" s="534"/>
      <c r="J10" s="521"/>
      <c r="K10" s="521"/>
      <c r="L10" s="522"/>
      <c r="M10" s="8"/>
      <c r="O10" s="422">
        <f>COUNTA($D$9:$D10)-COUNTIF($D$9:D10,"年度合計")</f>
        <v>0</v>
      </c>
      <c r="P10" s="422">
        <f t="shared" ref="P10" ca="1" si="0">OFFSET($C$1,MATCH($O10,$O:$O,0)-1,0)</f>
        <v>0</v>
      </c>
      <c r="R10" s="340"/>
      <c r="S10" s="340"/>
      <c r="T10" s="333">
        <f t="shared" ref="T10:T73" si="1">IF(AND(H10=R10,I10=S10),1,0)</f>
        <v>1</v>
      </c>
    </row>
    <row r="11" spans="1:20" s="116" customFormat="1">
      <c r="B11" s="468"/>
      <c r="C11" s="117"/>
      <c r="D11" s="120" t="s">
        <v>112</v>
      </c>
      <c r="E11" s="524"/>
      <c r="F11" s="525"/>
      <c r="G11" s="526"/>
      <c r="H11" s="532">
        <f>SUM($G$10:$G$15)</f>
        <v>0</v>
      </c>
      <c r="I11" s="119"/>
      <c r="J11" s="531"/>
      <c r="K11" s="531"/>
      <c r="L11" s="526"/>
      <c r="M11" s="100"/>
      <c r="O11" s="422">
        <f>COUNTA($D$9:$D11)-COUNTIF($D$9:D11,"年度合計")</f>
        <v>1</v>
      </c>
      <c r="P11" s="422" t="str">
        <f ca="1">OFFSET($D$1,MATCH($O11,$O:$O,0)-1,0)</f>
        <v>民生電力</v>
      </c>
      <c r="R11" s="119">
        <f>SUM($G$10:$G$15)</f>
        <v>0</v>
      </c>
      <c r="S11" s="119"/>
      <c r="T11" s="422">
        <f t="shared" si="1"/>
        <v>1</v>
      </c>
    </row>
    <row r="12" spans="1:20" s="116" customFormat="1">
      <c r="B12" s="468"/>
      <c r="C12" s="117"/>
      <c r="D12" s="118"/>
      <c r="E12" s="524"/>
      <c r="F12" s="525"/>
      <c r="G12" s="527"/>
      <c r="H12" s="119"/>
      <c r="I12" s="119"/>
      <c r="J12" s="525"/>
      <c r="K12" s="525"/>
      <c r="L12" s="527"/>
      <c r="M12" s="100"/>
      <c r="O12" s="422">
        <f>COUNTA($D$9:$D12)-COUNTIF($D$9:D12,"年度合計")</f>
        <v>1</v>
      </c>
      <c r="P12" s="422" t="str">
        <f t="shared" ref="P12:P75" ca="1" si="2">OFFSET($D$1,MATCH($O12,$O:$O,0)-1,0)</f>
        <v>民生電力</v>
      </c>
      <c r="R12" s="119"/>
      <c r="S12" s="119"/>
      <c r="T12" s="422">
        <f t="shared" si="1"/>
        <v>1</v>
      </c>
    </row>
    <row r="13" spans="1:20" s="116" customFormat="1">
      <c r="B13" s="468"/>
      <c r="C13" s="117"/>
      <c r="D13" s="118"/>
      <c r="E13" s="524"/>
      <c r="F13" s="525"/>
      <c r="G13" s="527"/>
      <c r="H13" s="119"/>
      <c r="I13" s="119"/>
      <c r="J13" s="525"/>
      <c r="K13" s="525"/>
      <c r="L13" s="527"/>
      <c r="M13" s="100"/>
      <c r="O13" s="422">
        <f>COUNTA($D$9:$D13)-COUNTIF($D$9:D13,"年度合計")</f>
        <v>1</v>
      </c>
      <c r="P13" s="422" t="str">
        <f t="shared" ca="1" si="2"/>
        <v>民生電力</v>
      </c>
      <c r="R13" s="119"/>
      <c r="S13" s="119"/>
      <c r="T13" s="422">
        <f t="shared" si="1"/>
        <v>1</v>
      </c>
    </row>
    <row r="14" spans="1:20" s="116" customFormat="1">
      <c r="B14" s="468"/>
      <c r="C14" s="117"/>
      <c r="D14" s="118"/>
      <c r="E14" s="524"/>
      <c r="F14" s="525"/>
      <c r="G14" s="527"/>
      <c r="H14" s="119"/>
      <c r="I14" s="119"/>
      <c r="J14" s="525"/>
      <c r="K14" s="525"/>
      <c r="L14" s="527"/>
      <c r="M14" s="100"/>
      <c r="O14" s="422">
        <f>COUNTA($D$9:$D14)-COUNTIF($D$9:D14,"年度合計")</f>
        <v>1</v>
      </c>
      <c r="P14" s="422" t="str">
        <f t="shared" ca="1" si="2"/>
        <v>民生電力</v>
      </c>
      <c r="R14" s="119"/>
      <c r="S14" s="119"/>
      <c r="T14" s="422">
        <f t="shared" si="1"/>
        <v>1</v>
      </c>
    </row>
    <row r="15" spans="1:20" hidden="1">
      <c r="B15" s="467"/>
      <c r="C15" s="334"/>
      <c r="D15" s="520"/>
      <c r="E15" s="520"/>
      <c r="F15" s="521"/>
      <c r="G15" s="522"/>
      <c r="H15" s="522"/>
      <c r="I15" s="533"/>
      <c r="J15" s="521"/>
      <c r="K15" s="521"/>
      <c r="L15" s="522"/>
      <c r="M15" s="8"/>
      <c r="O15" s="333">
        <f>COUNTA($D$9:$D15)-COUNTIF($D$9:D15,"年度合計")</f>
        <v>1</v>
      </c>
      <c r="P15" s="333" t="str">
        <f t="shared" ca="1" si="2"/>
        <v>民生電力</v>
      </c>
      <c r="R15" s="340"/>
      <c r="S15" s="340"/>
      <c r="T15" s="333">
        <f t="shared" si="1"/>
        <v>1</v>
      </c>
    </row>
    <row r="16" spans="1:20" s="116" customFormat="1">
      <c r="B16" s="468"/>
      <c r="C16" s="117"/>
      <c r="D16" s="122" t="s">
        <v>111</v>
      </c>
      <c r="E16" s="524"/>
      <c r="F16" s="525"/>
      <c r="G16" s="527"/>
      <c r="H16" s="523">
        <f>SUM($G$15:$G$20)</f>
        <v>0</v>
      </c>
      <c r="I16" s="119"/>
      <c r="J16" s="525"/>
      <c r="K16" s="525"/>
      <c r="L16" s="527"/>
      <c r="M16" s="100"/>
      <c r="O16" s="422">
        <f>COUNTA($D$9:$D16)-COUNTIF($D$9:D16,"年度合計")</f>
        <v>2</v>
      </c>
      <c r="P16" s="422" t="str">
        <f t="shared" ca="1" si="2"/>
        <v>民生電力以外</v>
      </c>
      <c r="R16" s="121">
        <f>SUM($G$15:$G$20)</f>
        <v>0</v>
      </c>
      <c r="S16" s="119"/>
      <c r="T16" s="422">
        <f t="shared" si="1"/>
        <v>1</v>
      </c>
    </row>
    <row r="17" spans="2:20" s="116" customFormat="1">
      <c r="B17" s="468"/>
      <c r="C17" s="117"/>
      <c r="D17" s="118"/>
      <c r="E17" s="524"/>
      <c r="F17" s="525"/>
      <c r="G17" s="527"/>
      <c r="H17" s="119"/>
      <c r="I17" s="119"/>
      <c r="J17" s="525"/>
      <c r="K17" s="525"/>
      <c r="L17" s="527"/>
      <c r="M17" s="100"/>
      <c r="O17" s="422">
        <f>COUNTA($D$9:$D17)-COUNTIF($D$9:D17,"年度合計")</f>
        <v>2</v>
      </c>
      <c r="P17" s="422" t="str">
        <f t="shared" ca="1" si="2"/>
        <v>民生電力以外</v>
      </c>
      <c r="R17" s="119"/>
      <c r="S17" s="119"/>
      <c r="T17" s="422">
        <f t="shared" si="1"/>
        <v>1</v>
      </c>
    </row>
    <row r="18" spans="2:20" s="116" customFormat="1" ht="18.75" customHeight="1">
      <c r="B18" s="468"/>
      <c r="C18" s="117"/>
      <c r="D18" s="118"/>
      <c r="E18" s="524"/>
      <c r="F18" s="525"/>
      <c r="G18" s="527"/>
      <c r="H18" s="119"/>
      <c r="I18" s="119"/>
      <c r="J18" s="525"/>
      <c r="K18" s="525"/>
      <c r="L18" s="527"/>
      <c r="M18" s="100"/>
      <c r="O18" s="422">
        <f>COUNTA($D$9:$D18)-COUNTIF($D$9:D18,"年度合計")</f>
        <v>2</v>
      </c>
      <c r="P18" s="422" t="str">
        <f t="shared" ca="1" si="2"/>
        <v>民生電力以外</v>
      </c>
      <c r="R18" s="119"/>
      <c r="S18" s="119"/>
      <c r="T18" s="422">
        <f t="shared" si="1"/>
        <v>1</v>
      </c>
    </row>
    <row r="19" spans="2:20" s="116" customFormat="1" ht="18.75" customHeight="1">
      <c r="B19" s="468"/>
      <c r="C19" s="117"/>
      <c r="D19" s="118"/>
      <c r="E19" s="528"/>
      <c r="F19" s="529"/>
      <c r="G19" s="530"/>
      <c r="H19" s="119"/>
      <c r="I19" s="119"/>
      <c r="J19" s="529"/>
      <c r="K19" s="529"/>
      <c r="L19" s="530"/>
      <c r="M19" s="100"/>
      <c r="O19" s="422">
        <f>COUNTA($D$9:$D19)-COUNTIF($D$9:D19,"年度合計")</f>
        <v>2</v>
      </c>
      <c r="P19" s="422" t="str">
        <f t="shared" ca="1" si="2"/>
        <v>民生電力以外</v>
      </c>
      <c r="R19" s="119"/>
      <c r="S19" s="119"/>
      <c r="T19" s="422">
        <f t="shared" si="1"/>
        <v>1</v>
      </c>
    </row>
    <row r="20" spans="2:20" hidden="1">
      <c r="B20" s="467"/>
      <c r="C20" s="334"/>
      <c r="D20" s="520"/>
      <c r="E20" s="520"/>
      <c r="F20" s="521"/>
      <c r="G20" s="522"/>
      <c r="H20" s="522"/>
      <c r="I20" s="522"/>
      <c r="J20" s="521"/>
      <c r="K20" s="521"/>
      <c r="L20" s="522"/>
      <c r="M20" s="8"/>
      <c r="O20" s="333">
        <f>COUNTA($D$9:$D20)-COUNTIF($D$9:D20,"年度合計")</f>
        <v>2</v>
      </c>
      <c r="P20" s="333" t="str">
        <f t="shared" ca="1" si="2"/>
        <v>民生電力以外</v>
      </c>
      <c r="R20" s="340"/>
      <c r="S20" s="340"/>
      <c r="T20" s="333">
        <f t="shared" si="1"/>
        <v>1</v>
      </c>
    </row>
    <row r="21" spans="2:20">
      <c r="B21" s="467"/>
      <c r="C21" s="329" t="s">
        <v>294</v>
      </c>
      <c r="D21" s="330" t="s">
        <v>120</v>
      </c>
      <c r="E21" s="165"/>
      <c r="F21" s="166"/>
      <c r="G21" s="167"/>
      <c r="H21" s="168"/>
      <c r="I21" s="523">
        <f>SUM($H$22:$H$32)</f>
        <v>0</v>
      </c>
      <c r="J21" s="172"/>
      <c r="K21" s="166"/>
      <c r="L21" s="168"/>
      <c r="M21" s="8"/>
      <c r="O21" s="333">
        <f>COUNTA($D$9:$D21)-COUNTIF($D$9:D21,"年度合計")</f>
        <v>2</v>
      </c>
      <c r="P21" s="333" t="str">
        <f t="shared" ca="1" si="2"/>
        <v>民生電力以外</v>
      </c>
      <c r="R21" s="331"/>
      <c r="S21" s="332">
        <f>SUM($H$22:$H$32)</f>
        <v>0</v>
      </c>
      <c r="T21" s="333">
        <f t="shared" si="1"/>
        <v>1</v>
      </c>
    </row>
    <row r="22" spans="2:20" hidden="1">
      <c r="B22" s="467"/>
      <c r="C22" s="334"/>
      <c r="D22" s="520"/>
      <c r="E22" s="520"/>
      <c r="F22" s="521"/>
      <c r="G22" s="522"/>
      <c r="H22" s="522"/>
      <c r="I22" s="534"/>
      <c r="J22" s="521"/>
      <c r="K22" s="521"/>
      <c r="L22" s="522"/>
      <c r="M22" s="8"/>
      <c r="O22" s="333">
        <f>COUNTA($D$9:$D22)-COUNTIF($D$9:D22,"年度合計")</f>
        <v>2</v>
      </c>
      <c r="P22" s="333" t="str">
        <f t="shared" ca="1" si="2"/>
        <v>民生電力以外</v>
      </c>
      <c r="R22" s="340"/>
      <c r="S22" s="340"/>
      <c r="T22" s="333">
        <f t="shared" si="1"/>
        <v>1</v>
      </c>
    </row>
    <row r="23" spans="2:20" s="116" customFormat="1">
      <c r="B23" s="468"/>
      <c r="C23" s="117"/>
      <c r="D23" s="120" t="s">
        <v>112</v>
      </c>
      <c r="E23" s="524"/>
      <c r="F23" s="525"/>
      <c r="G23" s="526"/>
      <c r="H23" s="532">
        <f>SUM($G$22:$G$27)</f>
        <v>0</v>
      </c>
      <c r="I23" s="119"/>
      <c r="J23" s="531"/>
      <c r="K23" s="531"/>
      <c r="L23" s="526"/>
      <c r="M23" s="100"/>
      <c r="O23" s="422">
        <f>COUNTA($D$9:$D23)-COUNTIF($D$9:D23,"年度合計")</f>
        <v>3</v>
      </c>
      <c r="P23" s="422" t="str">
        <f t="shared" ca="1" si="2"/>
        <v>民生電力</v>
      </c>
      <c r="R23" s="121">
        <f>SUM($G$22:$G$27)</f>
        <v>0</v>
      </c>
      <c r="S23" s="119"/>
      <c r="T23" s="422">
        <f t="shared" si="1"/>
        <v>1</v>
      </c>
    </row>
    <row r="24" spans="2:20" s="116" customFormat="1">
      <c r="B24" s="468"/>
      <c r="C24" s="117"/>
      <c r="D24" s="118"/>
      <c r="E24" s="524"/>
      <c r="F24" s="525"/>
      <c r="G24" s="527"/>
      <c r="H24" s="119"/>
      <c r="I24" s="119"/>
      <c r="J24" s="525"/>
      <c r="K24" s="525"/>
      <c r="L24" s="527"/>
      <c r="M24" s="100"/>
      <c r="O24" s="422">
        <f>COUNTA($D$9:$D24)-COUNTIF($D$9:D24,"年度合計")</f>
        <v>3</v>
      </c>
      <c r="P24" s="422" t="str">
        <f t="shared" ca="1" si="2"/>
        <v>民生電力</v>
      </c>
      <c r="R24" s="119"/>
      <c r="S24" s="119"/>
      <c r="T24" s="422">
        <f t="shared" si="1"/>
        <v>1</v>
      </c>
    </row>
    <row r="25" spans="2:20" s="116" customFormat="1">
      <c r="B25" s="468"/>
      <c r="C25" s="117"/>
      <c r="D25" s="118"/>
      <c r="E25" s="524"/>
      <c r="F25" s="525"/>
      <c r="G25" s="527"/>
      <c r="H25" s="119"/>
      <c r="I25" s="119"/>
      <c r="J25" s="525"/>
      <c r="K25" s="525"/>
      <c r="L25" s="527"/>
      <c r="M25" s="100"/>
      <c r="O25" s="422">
        <f>COUNTA($D$9:$D25)-COUNTIF($D$9:D25,"年度合計")</f>
        <v>3</v>
      </c>
      <c r="P25" s="422" t="str">
        <f t="shared" ca="1" si="2"/>
        <v>民生電力</v>
      </c>
      <c r="R25" s="119"/>
      <c r="S25" s="119"/>
      <c r="T25" s="422">
        <f t="shared" si="1"/>
        <v>1</v>
      </c>
    </row>
    <row r="26" spans="2:20" s="116" customFormat="1">
      <c r="B26" s="468"/>
      <c r="C26" s="117"/>
      <c r="D26" s="118"/>
      <c r="E26" s="524"/>
      <c r="F26" s="525"/>
      <c r="G26" s="527"/>
      <c r="H26" s="119"/>
      <c r="I26" s="119"/>
      <c r="J26" s="525"/>
      <c r="K26" s="525"/>
      <c r="L26" s="527"/>
      <c r="M26" s="100"/>
      <c r="O26" s="422">
        <f>COUNTA($D$9:$D26)-COUNTIF($D$9:D26,"年度合計")</f>
        <v>3</v>
      </c>
      <c r="P26" s="422" t="str">
        <f t="shared" ca="1" si="2"/>
        <v>民生電力</v>
      </c>
      <c r="R26" s="119"/>
      <c r="S26" s="119"/>
      <c r="T26" s="422">
        <f t="shared" si="1"/>
        <v>1</v>
      </c>
    </row>
    <row r="27" spans="2:20" hidden="1">
      <c r="B27" s="467"/>
      <c r="C27" s="334"/>
      <c r="D27" s="520"/>
      <c r="E27" s="520"/>
      <c r="F27" s="521"/>
      <c r="G27" s="522"/>
      <c r="H27" s="522"/>
      <c r="I27" s="533"/>
      <c r="J27" s="521"/>
      <c r="K27" s="521"/>
      <c r="L27" s="522"/>
      <c r="M27" s="8"/>
      <c r="O27" s="333">
        <f>COUNTA($D$9:$D27)-COUNTIF($D$9:D27,"年度合計")</f>
        <v>3</v>
      </c>
      <c r="P27" s="333" t="str">
        <f t="shared" ca="1" si="2"/>
        <v>民生電力</v>
      </c>
      <c r="R27" s="340"/>
      <c r="S27" s="340"/>
      <c r="T27" s="333">
        <f t="shared" si="1"/>
        <v>1</v>
      </c>
    </row>
    <row r="28" spans="2:20" s="116" customFormat="1">
      <c r="B28" s="468"/>
      <c r="C28" s="117"/>
      <c r="D28" s="122" t="s">
        <v>111</v>
      </c>
      <c r="E28" s="524"/>
      <c r="F28" s="525"/>
      <c r="G28" s="527"/>
      <c r="H28" s="523">
        <f>SUM($G$27:$G$32)</f>
        <v>0</v>
      </c>
      <c r="I28" s="119"/>
      <c r="J28" s="525"/>
      <c r="K28" s="525"/>
      <c r="L28" s="527"/>
      <c r="M28" s="100"/>
      <c r="O28" s="422">
        <f>COUNTA($D$9:$D28)-COUNTIF($D$9:D28,"年度合計")</f>
        <v>4</v>
      </c>
      <c r="P28" s="422" t="str">
        <f t="shared" ca="1" si="2"/>
        <v>民生電力以外</v>
      </c>
      <c r="R28" s="121">
        <f>SUM($G$27:$G$32)</f>
        <v>0</v>
      </c>
      <c r="S28" s="119"/>
      <c r="T28" s="422">
        <f t="shared" si="1"/>
        <v>1</v>
      </c>
    </row>
    <row r="29" spans="2:20" s="116" customFormat="1" ht="18.75" customHeight="1">
      <c r="B29" s="468"/>
      <c r="C29" s="117"/>
      <c r="D29" s="118"/>
      <c r="E29" s="524"/>
      <c r="F29" s="525"/>
      <c r="G29" s="527"/>
      <c r="H29" s="119"/>
      <c r="I29" s="119"/>
      <c r="J29" s="525"/>
      <c r="K29" s="525"/>
      <c r="L29" s="527"/>
      <c r="M29" s="100"/>
      <c r="O29" s="422">
        <f>COUNTA($D$9:$D29)-COUNTIF($D$9:D29,"年度合計")</f>
        <v>4</v>
      </c>
      <c r="P29" s="422" t="str">
        <f t="shared" ca="1" si="2"/>
        <v>民生電力以外</v>
      </c>
      <c r="R29" s="119"/>
      <c r="S29" s="119"/>
      <c r="T29" s="422">
        <f t="shared" si="1"/>
        <v>1</v>
      </c>
    </row>
    <row r="30" spans="2:20" s="116" customFormat="1" ht="18.75" customHeight="1">
      <c r="B30" s="468"/>
      <c r="C30" s="117"/>
      <c r="D30" s="118"/>
      <c r="E30" s="524"/>
      <c r="F30" s="525"/>
      <c r="G30" s="527"/>
      <c r="H30" s="119"/>
      <c r="I30" s="119"/>
      <c r="J30" s="525"/>
      <c r="K30" s="525"/>
      <c r="L30" s="527"/>
      <c r="M30" s="100"/>
      <c r="O30" s="422">
        <f>COUNTA($D$9:$D30)-COUNTIF($D$9:D30,"年度合計")</f>
        <v>4</v>
      </c>
      <c r="P30" s="422" t="str">
        <f t="shared" ca="1" si="2"/>
        <v>民生電力以外</v>
      </c>
      <c r="R30" s="119"/>
      <c r="S30" s="119"/>
      <c r="T30" s="422">
        <f t="shared" si="1"/>
        <v>1</v>
      </c>
    </row>
    <row r="31" spans="2:20" s="116" customFormat="1" ht="18.75" customHeight="1">
      <c r="B31" s="468"/>
      <c r="C31" s="117"/>
      <c r="D31" s="118"/>
      <c r="E31" s="528"/>
      <c r="F31" s="529"/>
      <c r="G31" s="530"/>
      <c r="H31" s="119"/>
      <c r="I31" s="119"/>
      <c r="J31" s="529"/>
      <c r="K31" s="529"/>
      <c r="L31" s="530"/>
      <c r="M31" s="100"/>
      <c r="O31" s="422">
        <f>COUNTA($D$9:$D31)-COUNTIF($D$9:D31,"年度合計")</f>
        <v>4</v>
      </c>
      <c r="P31" s="422" t="str">
        <f t="shared" ca="1" si="2"/>
        <v>民生電力以外</v>
      </c>
      <c r="R31" s="119"/>
      <c r="S31" s="119"/>
      <c r="T31" s="422">
        <f t="shared" si="1"/>
        <v>1</v>
      </c>
    </row>
    <row r="32" spans="2:20" hidden="1">
      <c r="B32" s="467"/>
      <c r="C32" s="334"/>
      <c r="D32" s="520"/>
      <c r="E32" s="520"/>
      <c r="F32" s="521"/>
      <c r="G32" s="522"/>
      <c r="H32" s="522"/>
      <c r="I32" s="522"/>
      <c r="J32" s="521"/>
      <c r="K32" s="521"/>
      <c r="L32" s="522"/>
      <c r="M32" s="8"/>
      <c r="O32" s="333">
        <f>COUNTA($D$9:$D32)-COUNTIF($D$9:D32,"年度合計")</f>
        <v>4</v>
      </c>
      <c r="P32" s="333" t="str">
        <f t="shared" ca="1" si="2"/>
        <v>民生電力以外</v>
      </c>
      <c r="R32" s="340"/>
      <c r="S32" s="340"/>
      <c r="T32" s="333">
        <f t="shared" si="1"/>
        <v>1</v>
      </c>
    </row>
    <row r="33" spans="2:20">
      <c r="B33" s="467"/>
      <c r="C33" s="329" t="s">
        <v>295</v>
      </c>
      <c r="D33" s="330" t="s">
        <v>120</v>
      </c>
      <c r="E33" s="165"/>
      <c r="F33" s="166"/>
      <c r="G33" s="167"/>
      <c r="H33" s="168"/>
      <c r="I33" s="523">
        <f>SUM($H$34:$H$44)</f>
        <v>0</v>
      </c>
      <c r="J33" s="172"/>
      <c r="K33" s="166"/>
      <c r="L33" s="168"/>
      <c r="M33" s="8"/>
      <c r="O33" s="333">
        <f>COUNTA($D$9:$D33)-COUNTIF($D$9:D33,"年度合計")</f>
        <v>4</v>
      </c>
      <c r="P33" s="333" t="str">
        <f t="shared" ca="1" si="2"/>
        <v>民生電力以外</v>
      </c>
      <c r="R33" s="331"/>
      <c r="S33" s="332">
        <f>SUM($H$34:$H$44)</f>
        <v>0</v>
      </c>
      <c r="T33" s="333">
        <f t="shared" si="1"/>
        <v>1</v>
      </c>
    </row>
    <row r="34" spans="2:20" hidden="1">
      <c r="B34" s="467"/>
      <c r="C34" s="334"/>
      <c r="D34" s="520"/>
      <c r="E34" s="520"/>
      <c r="F34" s="521"/>
      <c r="G34" s="522"/>
      <c r="H34" s="522"/>
      <c r="I34" s="534"/>
      <c r="J34" s="521"/>
      <c r="K34" s="521"/>
      <c r="L34" s="522"/>
      <c r="M34" s="8"/>
      <c r="O34" s="333">
        <f>COUNTA($D$9:$D34)-COUNTIF($D$9:D34,"年度合計")</f>
        <v>4</v>
      </c>
      <c r="P34" s="333" t="str">
        <f t="shared" ca="1" si="2"/>
        <v>民生電力以外</v>
      </c>
      <c r="R34" s="340"/>
      <c r="S34" s="340"/>
      <c r="T34" s="333">
        <f t="shared" si="1"/>
        <v>1</v>
      </c>
    </row>
    <row r="35" spans="2:20" s="116" customFormat="1">
      <c r="B35" s="468"/>
      <c r="C35" s="117"/>
      <c r="D35" s="120" t="s">
        <v>112</v>
      </c>
      <c r="E35" s="524"/>
      <c r="F35" s="525"/>
      <c r="G35" s="526"/>
      <c r="H35" s="532">
        <f>SUM($G$34:$G$39)</f>
        <v>0</v>
      </c>
      <c r="I35" s="119"/>
      <c r="J35" s="531"/>
      <c r="K35" s="531"/>
      <c r="L35" s="526"/>
      <c r="M35" s="100"/>
      <c r="O35" s="422">
        <f>COUNTA($D$9:$D35)-COUNTIF($D$9:D35,"年度合計")</f>
        <v>5</v>
      </c>
      <c r="P35" s="422" t="str">
        <f t="shared" ca="1" si="2"/>
        <v>民生電力</v>
      </c>
      <c r="R35" s="121">
        <f>SUM($G$34:$G$39)</f>
        <v>0</v>
      </c>
      <c r="S35" s="119"/>
      <c r="T35" s="422">
        <f t="shared" si="1"/>
        <v>1</v>
      </c>
    </row>
    <row r="36" spans="2:20" s="116" customFormat="1">
      <c r="B36" s="468"/>
      <c r="C36" s="117"/>
      <c r="D36" s="118"/>
      <c r="E36" s="524"/>
      <c r="F36" s="525"/>
      <c r="G36" s="527"/>
      <c r="H36" s="119"/>
      <c r="I36" s="119"/>
      <c r="J36" s="525"/>
      <c r="K36" s="525"/>
      <c r="L36" s="527"/>
      <c r="M36" s="100"/>
      <c r="O36" s="422">
        <f>COUNTA($D$9:$D36)-COUNTIF($D$9:D36,"年度合計")</f>
        <v>5</v>
      </c>
      <c r="P36" s="422" t="str">
        <f t="shared" ca="1" si="2"/>
        <v>民生電力</v>
      </c>
      <c r="R36" s="119"/>
      <c r="S36" s="119"/>
      <c r="T36" s="422">
        <f t="shared" si="1"/>
        <v>1</v>
      </c>
    </row>
    <row r="37" spans="2:20" s="116" customFormat="1">
      <c r="B37" s="468"/>
      <c r="C37" s="117"/>
      <c r="D37" s="118"/>
      <c r="E37" s="524"/>
      <c r="F37" s="525"/>
      <c r="G37" s="527"/>
      <c r="H37" s="119"/>
      <c r="I37" s="119"/>
      <c r="J37" s="525"/>
      <c r="K37" s="525"/>
      <c r="L37" s="527"/>
      <c r="M37" s="100"/>
      <c r="O37" s="422">
        <f>COUNTA($D$9:$D37)-COUNTIF($D$9:D37,"年度合計")</f>
        <v>5</v>
      </c>
      <c r="P37" s="422" t="str">
        <f t="shared" ca="1" si="2"/>
        <v>民生電力</v>
      </c>
      <c r="R37" s="119"/>
      <c r="S37" s="119"/>
      <c r="T37" s="422">
        <f t="shared" si="1"/>
        <v>1</v>
      </c>
    </row>
    <row r="38" spans="2:20" s="116" customFormat="1">
      <c r="B38" s="468"/>
      <c r="C38" s="117"/>
      <c r="D38" s="118"/>
      <c r="E38" s="524"/>
      <c r="F38" s="525"/>
      <c r="G38" s="527"/>
      <c r="H38" s="119"/>
      <c r="I38" s="119"/>
      <c r="J38" s="525"/>
      <c r="K38" s="525"/>
      <c r="L38" s="527"/>
      <c r="M38" s="100"/>
      <c r="O38" s="422">
        <f>COUNTA($D$9:$D38)-COUNTIF($D$9:D38,"年度合計")</f>
        <v>5</v>
      </c>
      <c r="P38" s="422" t="str">
        <f t="shared" ca="1" si="2"/>
        <v>民生電力</v>
      </c>
      <c r="R38" s="119"/>
      <c r="S38" s="119"/>
      <c r="T38" s="422">
        <f t="shared" si="1"/>
        <v>1</v>
      </c>
    </row>
    <row r="39" spans="2:20" hidden="1">
      <c r="B39" s="467"/>
      <c r="C39" s="334"/>
      <c r="D39" s="520"/>
      <c r="E39" s="520"/>
      <c r="F39" s="521"/>
      <c r="G39" s="522"/>
      <c r="H39" s="522"/>
      <c r="I39" s="533"/>
      <c r="J39" s="521"/>
      <c r="K39" s="521"/>
      <c r="L39" s="522"/>
      <c r="M39" s="8"/>
      <c r="O39" s="333">
        <f>COUNTA($D$9:$D39)-COUNTIF($D$9:D39,"年度合計")</f>
        <v>5</v>
      </c>
      <c r="P39" s="333" t="str">
        <f t="shared" ca="1" si="2"/>
        <v>民生電力</v>
      </c>
      <c r="R39" s="340"/>
      <c r="S39" s="340"/>
      <c r="T39" s="333">
        <f t="shared" si="1"/>
        <v>1</v>
      </c>
    </row>
    <row r="40" spans="2:20" s="116" customFormat="1">
      <c r="B40" s="468"/>
      <c r="C40" s="117"/>
      <c r="D40" s="122" t="s">
        <v>111</v>
      </c>
      <c r="E40" s="524"/>
      <c r="F40" s="525"/>
      <c r="G40" s="527"/>
      <c r="H40" s="523">
        <f>SUM($G$39:$G$44)</f>
        <v>0</v>
      </c>
      <c r="I40" s="119"/>
      <c r="J40" s="525"/>
      <c r="K40" s="525"/>
      <c r="L40" s="527"/>
      <c r="M40" s="100"/>
      <c r="O40" s="422">
        <f>COUNTA($D$9:$D40)-COUNTIF($D$9:D40,"年度合計")</f>
        <v>6</v>
      </c>
      <c r="P40" s="422" t="str">
        <f t="shared" ca="1" si="2"/>
        <v>民生電力以外</v>
      </c>
      <c r="R40" s="121">
        <f>SUM($G$39:$G$44)</f>
        <v>0</v>
      </c>
      <c r="S40" s="119"/>
      <c r="T40" s="422">
        <f t="shared" si="1"/>
        <v>1</v>
      </c>
    </row>
    <row r="41" spans="2:20" s="116" customFormat="1" ht="18.75" customHeight="1">
      <c r="B41" s="468"/>
      <c r="C41" s="117"/>
      <c r="D41" s="118"/>
      <c r="E41" s="524"/>
      <c r="F41" s="525"/>
      <c r="G41" s="527"/>
      <c r="H41" s="119"/>
      <c r="I41" s="119"/>
      <c r="J41" s="525"/>
      <c r="K41" s="525"/>
      <c r="L41" s="527"/>
      <c r="M41" s="100"/>
      <c r="O41" s="422">
        <f>COUNTA($D$9:$D41)-COUNTIF($D$9:D41,"年度合計")</f>
        <v>6</v>
      </c>
      <c r="P41" s="422" t="str">
        <f t="shared" ca="1" si="2"/>
        <v>民生電力以外</v>
      </c>
      <c r="R41" s="119"/>
      <c r="S41" s="119"/>
      <c r="T41" s="422">
        <f t="shared" si="1"/>
        <v>1</v>
      </c>
    </row>
    <row r="42" spans="2:20" s="116" customFormat="1" ht="18.75" customHeight="1">
      <c r="B42" s="468"/>
      <c r="C42" s="117"/>
      <c r="D42" s="118"/>
      <c r="E42" s="524"/>
      <c r="F42" s="525"/>
      <c r="G42" s="527"/>
      <c r="H42" s="119"/>
      <c r="I42" s="119"/>
      <c r="J42" s="525"/>
      <c r="K42" s="525"/>
      <c r="L42" s="527"/>
      <c r="M42" s="100"/>
      <c r="O42" s="422">
        <f>COUNTA($D$9:$D42)-COUNTIF($D$9:D42,"年度合計")</f>
        <v>6</v>
      </c>
      <c r="P42" s="422" t="str">
        <f t="shared" ca="1" si="2"/>
        <v>民生電力以外</v>
      </c>
      <c r="R42" s="119"/>
      <c r="S42" s="119"/>
      <c r="T42" s="422">
        <f t="shared" si="1"/>
        <v>1</v>
      </c>
    </row>
    <row r="43" spans="2:20" s="116" customFormat="1" ht="18.75" customHeight="1">
      <c r="B43" s="468"/>
      <c r="C43" s="117"/>
      <c r="D43" s="118"/>
      <c r="E43" s="528"/>
      <c r="F43" s="529"/>
      <c r="G43" s="530"/>
      <c r="H43" s="119"/>
      <c r="I43" s="119"/>
      <c r="J43" s="529"/>
      <c r="K43" s="529"/>
      <c r="L43" s="530"/>
      <c r="M43" s="100"/>
      <c r="O43" s="422">
        <f>COUNTA($D$9:$D43)-COUNTIF($D$9:D43,"年度合計")</f>
        <v>6</v>
      </c>
      <c r="P43" s="422" t="str">
        <f t="shared" ca="1" si="2"/>
        <v>民生電力以外</v>
      </c>
      <c r="R43" s="119"/>
      <c r="S43" s="119"/>
      <c r="T43" s="422">
        <f t="shared" si="1"/>
        <v>1</v>
      </c>
    </row>
    <row r="44" spans="2:20" hidden="1">
      <c r="B44" s="467"/>
      <c r="C44" s="334"/>
      <c r="D44" s="520"/>
      <c r="E44" s="520"/>
      <c r="F44" s="521"/>
      <c r="G44" s="522"/>
      <c r="H44" s="522"/>
      <c r="I44" s="522"/>
      <c r="J44" s="521"/>
      <c r="K44" s="521"/>
      <c r="L44" s="522"/>
      <c r="M44" s="8"/>
      <c r="O44" s="333">
        <f>COUNTA($D$9:$D44)-COUNTIF($D$9:D44,"年度合計")</f>
        <v>6</v>
      </c>
      <c r="P44" s="333" t="str">
        <f t="shared" ca="1" si="2"/>
        <v>民生電力以外</v>
      </c>
      <c r="R44" s="340"/>
      <c r="S44" s="340"/>
      <c r="T44" s="333">
        <f t="shared" si="1"/>
        <v>1</v>
      </c>
    </row>
    <row r="45" spans="2:20">
      <c r="B45" s="467"/>
      <c r="C45" s="329" t="s">
        <v>296</v>
      </c>
      <c r="D45" s="330" t="s">
        <v>120</v>
      </c>
      <c r="E45" s="165"/>
      <c r="F45" s="166"/>
      <c r="G45" s="167"/>
      <c r="H45" s="168"/>
      <c r="I45" s="523">
        <f>SUM($H$46:$H$56)</f>
        <v>0</v>
      </c>
      <c r="J45" s="172"/>
      <c r="K45" s="166"/>
      <c r="L45" s="168"/>
      <c r="M45" s="8"/>
      <c r="O45" s="333">
        <f>COUNTA($D$9:$D45)-COUNTIF($D$9:D45,"年度合計")</f>
        <v>6</v>
      </c>
      <c r="P45" s="333" t="str">
        <f t="shared" ca="1" si="2"/>
        <v>民生電力以外</v>
      </c>
      <c r="R45" s="331"/>
      <c r="S45" s="332">
        <f>SUM($H$46:$H$56)</f>
        <v>0</v>
      </c>
      <c r="T45" s="333">
        <f t="shared" si="1"/>
        <v>1</v>
      </c>
    </row>
    <row r="46" spans="2:20" hidden="1">
      <c r="B46" s="467"/>
      <c r="C46" s="334"/>
      <c r="D46" s="520"/>
      <c r="E46" s="520"/>
      <c r="F46" s="521"/>
      <c r="G46" s="522"/>
      <c r="H46" s="522"/>
      <c r="I46" s="534"/>
      <c r="J46" s="521"/>
      <c r="K46" s="521"/>
      <c r="L46" s="522"/>
      <c r="M46" s="8"/>
      <c r="O46" s="333">
        <f>COUNTA($D$9:$D46)-COUNTIF($D$9:D46,"年度合計")</f>
        <v>6</v>
      </c>
      <c r="P46" s="333" t="str">
        <f t="shared" ca="1" si="2"/>
        <v>民生電力以外</v>
      </c>
      <c r="R46" s="340"/>
      <c r="S46" s="340"/>
      <c r="T46" s="333">
        <f t="shared" si="1"/>
        <v>1</v>
      </c>
    </row>
    <row r="47" spans="2:20" s="116" customFormat="1">
      <c r="B47" s="468"/>
      <c r="C47" s="117"/>
      <c r="D47" s="120" t="s">
        <v>112</v>
      </c>
      <c r="E47" s="524"/>
      <c r="F47" s="525"/>
      <c r="G47" s="526"/>
      <c r="H47" s="532">
        <f>SUM($G$46:$G$51)</f>
        <v>0</v>
      </c>
      <c r="I47" s="119"/>
      <c r="J47" s="531"/>
      <c r="K47" s="531"/>
      <c r="L47" s="526"/>
      <c r="M47" s="100"/>
      <c r="O47" s="422">
        <f>COUNTA($D$9:$D47)-COUNTIF($D$9:D47,"年度合計")</f>
        <v>7</v>
      </c>
      <c r="P47" s="422" t="str">
        <f t="shared" ca="1" si="2"/>
        <v>民生電力</v>
      </c>
      <c r="R47" s="121">
        <f>SUM($G$46:$G$51)</f>
        <v>0</v>
      </c>
      <c r="S47" s="119"/>
      <c r="T47" s="422">
        <f t="shared" si="1"/>
        <v>1</v>
      </c>
    </row>
    <row r="48" spans="2:20" s="116" customFormat="1">
      <c r="B48" s="468"/>
      <c r="C48" s="117"/>
      <c r="D48" s="118"/>
      <c r="E48" s="524"/>
      <c r="F48" s="525"/>
      <c r="G48" s="527"/>
      <c r="H48" s="119"/>
      <c r="I48" s="119"/>
      <c r="J48" s="525"/>
      <c r="K48" s="525"/>
      <c r="L48" s="527"/>
      <c r="M48" s="100"/>
      <c r="O48" s="422">
        <f>COUNTA($D$9:$D48)-COUNTIF($D$9:D48,"年度合計")</f>
        <v>7</v>
      </c>
      <c r="P48" s="422" t="str">
        <f t="shared" ca="1" si="2"/>
        <v>民生電力</v>
      </c>
      <c r="R48" s="119"/>
      <c r="S48" s="119"/>
      <c r="T48" s="422">
        <f t="shared" si="1"/>
        <v>1</v>
      </c>
    </row>
    <row r="49" spans="2:20" s="116" customFormat="1">
      <c r="B49" s="468"/>
      <c r="C49" s="117"/>
      <c r="D49" s="118"/>
      <c r="E49" s="524"/>
      <c r="F49" s="525"/>
      <c r="G49" s="527"/>
      <c r="H49" s="119"/>
      <c r="I49" s="119"/>
      <c r="J49" s="525"/>
      <c r="K49" s="525"/>
      <c r="L49" s="527"/>
      <c r="M49" s="100"/>
      <c r="O49" s="422">
        <f>COUNTA($D$9:$D49)-COUNTIF($D$9:D49,"年度合計")</f>
        <v>7</v>
      </c>
      <c r="P49" s="422" t="str">
        <f t="shared" ca="1" si="2"/>
        <v>民生電力</v>
      </c>
      <c r="R49" s="119"/>
      <c r="S49" s="119"/>
      <c r="T49" s="422">
        <f t="shared" si="1"/>
        <v>1</v>
      </c>
    </row>
    <row r="50" spans="2:20" s="116" customFormat="1">
      <c r="B50" s="468"/>
      <c r="C50" s="117"/>
      <c r="D50" s="118"/>
      <c r="E50" s="524"/>
      <c r="F50" s="525"/>
      <c r="G50" s="527"/>
      <c r="H50" s="119"/>
      <c r="I50" s="119"/>
      <c r="J50" s="525"/>
      <c r="K50" s="525"/>
      <c r="L50" s="527"/>
      <c r="M50" s="100"/>
      <c r="O50" s="422">
        <f>COUNTA($D$9:$D50)-COUNTIF($D$9:D50,"年度合計")</f>
        <v>7</v>
      </c>
      <c r="P50" s="422" t="str">
        <f t="shared" ca="1" si="2"/>
        <v>民生電力</v>
      </c>
      <c r="R50" s="119"/>
      <c r="S50" s="119"/>
      <c r="T50" s="422">
        <f t="shared" si="1"/>
        <v>1</v>
      </c>
    </row>
    <row r="51" spans="2:20" hidden="1">
      <c r="B51" s="467"/>
      <c r="C51" s="334"/>
      <c r="D51" s="520"/>
      <c r="E51" s="520"/>
      <c r="F51" s="521"/>
      <c r="G51" s="522"/>
      <c r="H51" s="522"/>
      <c r="I51" s="533"/>
      <c r="J51" s="521"/>
      <c r="K51" s="521"/>
      <c r="L51" s="522"/>
      <c r="M51" s="8"/>
      <c r="O51" s="333">
        <f>COUNTA($D$9:$D51)-COUNTIF($D$9:D51,"年度合計")</f>
        <v>7</v>
      </c>
      <c r="P51" s="333" t="str">
        <f t="shared" ca="1" si="2"/>
        <v>民生電力</v>
      </c>
      <c r="R51" s="340"/>
      <c r="S51" s="340"/>
      <c r="T51" s="333">
        <f t="shared" si="1"/>
        <v>1</v>
      </c>
    </row>
    <row r="52" spans="2:20" s="116" customFormat="1">
      <c r="B52" s="468"/>
      <c r="C52" s="117"/>
      <c r="D52" s="122" t="s">
        <v>111</v>
      </c>
      <c r="E52" s="524"/>
      <c r="F52" s="525"/>
      <c r="G52" s="527"/>
      <c r="H52" s="523">
        <f>SUM($G$51:$G$56)</f>
        <v>0</v>
      </c>
      <c r="I52" s="119"/>
      <c r="J52" s="525"/>
      <c r="K52" s="525"/>
      <c r="L52" s="527"/>
      <c r="M52" s="100"/>
      <c r="O52" s="422">
        <f>COUNTA($D$9:$D52)-COUNTIF($D$9:D52,"年度合計")</f>
        <v>8</v>
      </c>
      <c r="P52" s="422" t="str">
        <f t="shared" ca="1" si="2"/>
        <v>民生電力以外</v>
      </c>
      <c r="R52" s="121">
        <f>SUM($G$51:$G$56)</f>
        <v>0</v>
      </c>
      <c r="S52" s="119"/>
      <c r="T52" s="422">
        <f t="shared" si="1"/>
        <v>1</v>
      </c>
    </row>
    <row r="53" spans="2:20" s="116" customFormat="1" ht="18.75" customHeight="1">
      <c r="B53" s="468"/>
      <c r="C53" s="117"/>
      <c r="D53" s="118"/>
      <c r="E53" s="524"/>
      <c r="F53" s="525"/>
      <c r="G53" s="527"/>
      <c r="H53" s="119"/>
      <c r="I53" s="119"/>
      <c r="J53" s="525"/>
      <c r="K53" s="525"/>
      <c r="L53" s="527"/>
      <c r="M53" s="100"/>
      <c r="O53" s="422">
        <f>COUNTA($D$9:$D53)-COUNTIF($D$9:D53,"年度合計")</f>
        <v>8</v>
      </c>
      <c r="P53" s="422" t="str">
        <f t="shared" ca="1" si="2"/>
        <v>民生電力以外</v>
      </c>
      <c r="R53" s="119"/>
      <c r="S53" s="119"/>
      <c r="T53" s="422">
        <f t="shared" si="1"/>
        <v>1</v>
      </c>
    </row>
    <row r="54" spans="2:20" s="116" customFormat="1" ht="18.75" customHeight="1">
      <c r="B54" s="468"/>
      <c r="C54" s="117"/>
      <c r="D54" s="118"/>
      <c r="E54" s="524"/>
      <c r="F54" s="525"/>
      <c r="G54" s="527"/>
      <c r="H54" s="119"/>
      <c r="I54" s="119"/>
      <c r="J54" s="525"/>
      <c r="K54" s="525"/>
      <c r="L54" s="527"/>
      <c r="M54" s="100"/>
      <c r="O54" s="422">
        <f>COUNTA($D$9:$D54)-COUNTIF($D$9:D54,"年度合計")</f>
        <v>8</v>
      </c>
      <c r="P54" s="422" t="str">
        <f t="shared" ca="1" si="2"/>
        <v>民生電力以外</v>
      </c>
      <c r="R54" s="119"/>
      <c r="S54" s="119"/>
      <c r="T54" s="422">
        <f t="shared" si="1"/>
        <v>1</v>
      </c>
    </row>
    <row r="55" spans="2:20" s="116" customFormat="1" ht="18.75" customHeight="1">
      <c r="B55" s="468"/>
      <c r="C55" s="117"/>
      <c r="D55" s="118"/>
      <c r="E55" s="528"/>
      <c r="F55" s="529"/>
      <c r="G55" s="530"/>
      <c r="H55" s="119"/>
      <c r="I55" s="119"/>
      <c r="J55" s="529"/>
      <c r="K55" s="529"/>
      <c r="L55" s="530"/>
      <c r="M55" s="100"/>
      <c r="O55" s="422">
        <f>COUNTA($D$9:$D55)-COUNTIF($D$9:D55,"年度合計")</f>
        <v>8</v>
      </c>
      <c r="P55" s="422" t="str">
        <f t="shared" ca="1" si="2"/>
        <v>民生電力以外</v>
      </c>
      <c r="R55" s="119"/>
      <c r="S55" s="119"/>
      <c r="T55" s="422">
        <f t="shared" si="1"/>
        <v>1</v>
      </c>
    </row>
    <row r="56" spans="2:20" hidden="1">
      <c r="B56" s="467"/>
      <c r="C56" s="334"/>
      <c r="D56" s="520"/>
      <c r="E56" s="520"/>
      <c r="F56" s="521"/>
      <c r="G56" s="522"/>
      <c r="H56" s="522"/>
      <c r="I56" s="522"/>
      <c r="J56" s="521"/>
      <c r="K56" s="521"/>
      <c r="L56" s="522"/>
      <c r="M56" s="8"/>
      <c r="O56" s="333">
        <f>COUNTA($D$9:$D56)-COUNTIF($D$9:D56,"年度合計")</f>
        <v>8</v>
      </c>
      <c r="P56" s="333" t="str">
        <f t="shared" ca="1" si="2"/>
        <v>民生電力以外</v>
      </c>
      <c r="R56" s="340"/>
      <c r="S56" s="340"/>
      <c r="T56" s="333">
        <f t="shared" si="1"/>
        <v>1</v>
      </c>
    </row>
    <row r="57" spans="2:20">
      <c r="B57" s="467"/>
      <c r="C57" s="329" t="s">
        <v>297</v>
      </c>
      <c r="D57" s="330" t="s">
        <v>120</v>
      </c>
      <c r="E57" s="165"/>
      <c r="F57" s="166"/>
      <c r="G57" s="167"/>
      <c r="H57" s="168"/>
      <c r="I57" s="523">
        <f>SUM($H$58:$H$68)</f>
        <v>0</v>
      </c>
      <c r="J57" s="172"/>
      <c r="K57" s="166"/>
      <c r="L57" s="168"/>
      <c r="M57" s="8"/>
      <c r="O57" s="333">
        <f>COUNTA($D$9:$D57)-COUNTIF($D$9:D57,"年度合計")</f>
        <v>8</v>
      </c>
      <c r="P57" s="333" t="str">
        <f t="shared" ca="1" si="2"/>
        <v>民生電力以外</v>
      </c>
      <c r="R57" s="331"/>
      <c r="S57" s="332">
        <f>SUM($H$58:$H$68)</f>
        <v>0</v>
      </c>
      <c r="T57" s="333">
        <f t="shared" si="1"/>
        <v>1</v>
      </c>
    </row>
    <row r="58" spans="2:20" hidden="1">
      <c r="B58" s="467"/>
      <c r="C58" s="334"/>
      <c r="D58" s="520"/>
      <c r="E58" s="520"/>
      <c r="F58" s="521"/>
      <c r="G58" s="522"/>
      <c r="H58" s="522"/>
      <c r="I58" s="534"/>
      <c r="J58" s="521"/>
      <c r="K58" s="521"/>
      <c r="L58" s="522"/>
      <c r="M58" s="8"/>
      <c r="O58" s="333">
        <f>COUNTA($D$9:$D58)-COUNTIF($D$9:D58,"年度合計")</f>
        <v>8</v>
      </c>
      <c r="P58" s="333" t="str">
        <f t="shared" ca="1" si="2"/>
        <v>民生電力以外</v>
      </c>
      <c r="R58" s="340"/>
      <c r="S58" s="340"/>
      <c r="T58" s="333">
        <f t="shared" si="1"/>
        <v>1</v>
      </c>
    </row>
    <row r="59" spans="2:20" s="116" customFormat="1">
      <c r="B59" s="468"/>
      <c r="C59" s="117"/>
      <c r="D59" s="120" t="s">
        <v>112</v>
      </c>
      <c r="E59" s="524"/>
      <c r="F59" s="525"/>
      <c r="G59" s="526"/>
      <c r="H59" s="532">
        <f>SUM($G$58:$G$63)</f>
        <v>0</v>
      </c>
      <c r="I59" s="119"/>
      <c r="J59" s="531"/>
      <c r="K59" s="531"/>
      <c r="L59" s="526"/>
      <c r="M59" s="100"/>
      <c r="O59" s="422">
        <f>COUNTA($D$9:$D59)-COUNTIF($D$9:D59,"年度合計")</f>
        <v>9</v>
      </c>
      <c r="P59" s="422" t="str">
        <f t="shared" ca="1" si="2"/>
        <v>民生電力</v>
      </c>
      <c r="R59" s="121">
        <f>SUM($G$58:$G$63)</f>
        <v>0</v>
      </c>
      <c r="S59" s="119"/>
      <c r="T59" s="422">
        <f t="shared" si="1"/>
        <v>1</v>
      </c>
    </row>
    <row r="60" spans="2:20" s="116" customFormat="1">
      <c r="B60" s="468"/>
      <c r="C60" s="117"/>
      <c r="D60" s="118"/>
      <c r="E60" s="524"/>
      <c r="F60" s="525"/>
      <c r="G60" s="527"/>
      <c r="H60" s="119"/>
      <c r="I60" s="119"/>
      <c r="J60" s="525"/>
      <c r="K60" s="525"/>
      <c r="L60" s="527"/>
      <c r="M60" s="100"/>
      <c r="O60" s="422">
        <f>COUNTA($D$9:$D60)-COUNTIF($D$9:D60,"年度合計")</f>
        <v>9</v>
      </c>
      <c r="P60" s="422" t="str">
        <f t="shared" ca="1" si="2"/>
        <v>民生電力</v>
      </c>
      <c r="R60" s="119"/>
      <c r="S60" s="119"/>
      <c r="T60" s="422">
        <f t="shared" si="1"/>
        <v>1</v>
      </c>
    </row>
    <row r="61" spans="2:20" s="116" customFormat="1">
      <c r="B61" s="468"/>
      <c r="C61" s="117"/>
      <c r="D61" s="118"/>
      <c r="E61" s="524"/>
      <c r="F61" s="525"/>
      <c r="G61" s="527"/>
      <c r="H61" s="119"/>
      <c r="I61" s="119"/>
      <c r="J61" s="525"/>
      <c r="K61" s="525"/>
      <c r="L61" s="527"/>
      <c r="M61" s="100"/>
      <c r="O61" s="422">
        <f>COUNTA($D$9:$D61)-COUNTIF($D$9:D61,"年度合計")</f>
        <v>9</v>
      </c>
      <c r="P61" s="422" t="str">
        <f t="shared" ca="1" si="2"/>
        <v>民生電力</v>
      </c>
      <c r="R61" s="119"/>
      <c r="S61" s="119"/>
      <c r="T61" s="422">
        <f t="shared" si="1"/>
        <v>1</v>
      </c>
    </row>
    <row r="62" spans="2:20" s="116" customFormat="1">
      <c r="B62" s="468"/>
      <c r="C62" s="117"/>
      <c r="D62" s="118"/>
      <c r="E62" s="524"/>
      <c r="F62" s="525"/>
      <c r="G62" s="527"/>
      <c r="H62" s="119"/>
      <c r="I62" s="119"/>
      <c r="J62" s="525"/>
      <c r="K62" s="525"/>
      <c r="L62" s="527"/>
      <c r="M62" s="100"/>
      <c r="O62" s="422">
        <f>COUNTA($D$9:$D62)-COUNTIF($D$9:D62,"年度合計")</f>
        <v>9</v>
      </c>
      <c r="P62" s="422" t="str">
        <f t="shared" ca="1" si="2"/>
        <v>民生電力</v>
      </c>
      <c r="R62" s="119"/>
      <c r="S62" s="119"/>
      <c r="T62" s="422">
        <f t="shared" si="1"/>
        <v>1</v>
      </c>
    </row>
    <row r="63" spans="2:20" hidden="1">
      <c r="B63" s="467"/>
      <c r="C63" s="334"/>
      <c r="D63" s="520"/>
      <c r="E63" s="520"/>
      <c r="F63" s="521"/>
      <c r="G63" s="522"/>
      <c r="H63" s="522"/>
      <c r="I63" s="533"/>
      <c r="J63" s="521"/>
      <c r="K63" s="521"/>
      <c r="L63" s="522"/>
      <c r="M63" s="8"/>
      <c r="O63" s="333">
        <f>COUNTA($D$9:$D63)-COUNTIF($D$9:D63,"年度合計")</f>
        <v>9</v>
      </c>
      <c r="P63" s="333" t="str">
        <f t="shared" ca="1" si="2"/>
        <v>民生電力</v>
      </c>
      <c r="R63" s="340"/>
      <c r="S63" s="340"/>
      <c r="T63" s="333">
        <f t="shared" si="1"/>
        <v>1</v>
      </c>
    </row>
    <row r="64" spans="2:20" s="116" customFormat="1">
      <c r="B64" s="468"/>
      <c r="C64" s="117"/>
      <c r="D64" s="122" t="s">
        <v>111</v>
      </c>
      <c r="E64" s="524"/>
      <c r="F64" s="525"/>
      <c r="G64" s="527"/>
      <c r="H64" s="523">
        <f>SUM($G$63:$G$68)</f>
        <v>0</v>
      </c>
      <c r="I64" s="119"/>
      <c r="J64" s="525"/>
      <c r="K64" s="525"/>
      <c r="L64" s="527"/>
      <c r="M64" s="100"/>
      <c r="O64" s="422">
        <f>COUNTA($D$9:$D64)-COUNTIF($D$9:D64,"年度合計")</f>
        <v>10</v>
      </c>
      <c r="P64" s="422" t="str">
        <f t="shared" ca="1" si="2"/>
        <v>民生電力以外</v>
      </c>
      <c r="R64" s="121">
        <f>SUM($G$63:$G$68)</f>
        <v>0</v>
      </c>
      <c r="S64" s="119"/>
      <c r="T64" s="422">
        <f t="shared" si="1"/>
        <v>1</v>
      </c>
    </row>
    <row r="65" spans="2:20" s="116" customFormat="1" ht="18.75" customHeight="1">
      <c r="B65" s="468"/>
      <c r="C65" s="117"/>
      <c r="D65" s="118"/>
      <c r="E65" s="524"/>
      <c r="F65" s="525"/>
      <c r="G65" s="527"/>
      <c r="H65" s="119"/>
      <c r="I65" s="119"/>
      <c r="J65" s="525"/>
      <c r="K65" s="525"/>
      <c r="L65" s="527"/>
      <c r="M65" s="100"/>
      <c r="O65" s="422">
        <f>COUNTA($D$9:$D65)-COUNTIF($D$9:D65,"年度合計")</f>
        <v>10</v>
      </c>
      <c r="P65" s="422" t="str">
        <f t="shared" ca="1" si="2"/>
        <v>民生電力以外</v>
      </c>
      <c r="R65" s="119"/>
      <c r="S65" s="119"/>
      <c r="T65" s="422">
        <f t="shared" si="1"/>
        <v>1</v>
      </c>
    </row>
    <row r="66" spans="2:20" s="116" customFormat="1" ht="18.75" customHeight="1">
      <c r="B66" s="468"/>
      <c r="C66" s="117"/>
      <c r="D66" s="118"/>
      <c r="E66" s="524"/>
      <c r="F66" s="525"/>
      <c r="G66" s="527"/>
      <c r="H66" s="119"/>
      <c r="I66" s="119"/>
      <c r="J66" s="525"/>
      <c r="K66" s="525"/>
      <c r="L66" s="527"/>
      <c r="M66" s="100"/>
      <c r="O66" s="422">
        <f>COUNTA($D$9:$D66)-COUNTIF($D$9:D66,"年度合計")</f>
        <v>10</v>
      </c>
      <c r="P66" s="422" t="str">
        <f t="shared" ca="1" si="2"/>
        <v>民生電力以外</v>
      </c>
      <c r="R66" s="119"/>
      <c r="S66" s="119"/>
      <c r="T66" s="422">
        <f t="shared" si="1"/>
        <v>1</v>
      </c>
    </row>
    <row r="67" spans="2:20" s="116" customFormat="1" ht="18.75" customHeight="1">
      <c r="B67" s="468"/>
      <c r="C67" s="117"/>
      <c r="D67" s="118"/>
      <c r="E67" s="528"/>
      <c r="F67" s="529"/>
      <c r="G67" s="530"/>
      <c r="H67" s="119"/>
      <c r="I67" s="119"/>
      <c r="J67" s="529"/>
      <c r="K67" s="529"/>
      <c r="L67" s="530"/>
      <c r="M67" s="100"/>
      <c r="O67" s="422">
        <f>COUNTA($D$9:$D67)-COUNTIF($D$9:D67,"年度合計")</f>
        <v>10</v>
      </c>
      <c r="P67" s="422" t="str">
        <f t="shared" ca="1" si="2"/>
        <v>民生電力以外</v>
      </c>
      <c r="R67" s="119"/>
      <c r="S67" s="119"/>
      <c r="T67" s="422">
        <f t="shared" si="1"/>
        <v>1</v>
      </c>
    </row>
    <row r="68" spans="2:20" hidden="1">
      <c r="B68" s="467"/>
      <c r="C68" s="334"/>
      <c r="D68" s="520"/>
      <c r="E68" s="520"/>
      <c r="F68" s="521"/>
      <c r="G68" s="522"/>
      <c r="H68" s="522"/>
      <c r="I68" s="522"/>
      <c r="J68" s="521"/>
      <c r="K68" s="521"/>
      <c r="L68" s="522"/>
      <c r="M68" s="8"/>
      <c r="O68" s="333">
        <f>COUNTA($D$9:$D68)-COUNTIF($D$9:D68,"年度合計")</f>
        <v>10</v>
      </c>
      <c r="P68" s="333" t="str">
        <f t="shared" ca="1" si="2"/>
        <v>民生電力以外</v>
      </c>
      <c r="R68" s="340"/>
      <c r="S68" s="340"/>
      <c r="T68" s="333">
        <f t="shared" si="1"/>
        <v>1</v>
      </c>
    </row>
    <row r="69" spans="2:20">
      <c r="B69" s="467"/>
      <c r="C69" s="329" t="s">
        <v>298</v>
      </c>
      <c r="D69" s="330" t="s">
        <v>120</v>
      </c>
      <c r="E69" s="165"/>
      <c r="F69" s="166"/>
      <c r="G69" s="167"/>
      <c r="H69" s="168"/>
      <c r="I69" s="523">
        <f>SUM($H$70:$H$80)</f>
        <v>0</v>
      </c>
      <c r="J69" s="172"/>
      <c r="K69" s="166"/>
      <c r="L69" s="168"/>
      <c r="M69" s="8"/>
      <c r="O69" s="333">
        <f>COUNTA($D$9:$D69)-COUNTIF($D$9:D69,"年度合計")</f>
        <v>10</v>
      </c>
      <c r="P69" s="333" t="str">
        <f t="shared" ca="1" si="2"/>
        <v>民生電力以外</v>
      </c>
      <c r="R69" s="331"/>
      <c r="S69" s="332">
        <f>SUM($H$70:$H$80)</f>
        <v>0</v>
      </c>
      <c r="T69" s="333">
        <f t="shared" si="1"/>
        <v>1</v>
      </c>
    </row>
    <row r="70" spans="2:20" hidden="1">
      <c r="B70" s="467"/>
      <c r="C70" s="334"/>
      <c r="D70" s="520"/>
      <c r="E70" s="520"/>
      <c r="F70" s="521"/>
      <c r="G70" s="522"/>
      <c r="H70" s="522"/>
      <c r="I70" s="534"/>
      <c r="J70" s="521"/>
      <c r="K70" s="521"/>
      <c r="L70" s="522"/>
      <c r="M70" s="8"/>
      <c r="O70" s="333">
        <f>COUNTA($D$9:$D70)-COUNTIF($D$9:D70,"年度合計")</f>
        <v>10</v>
      </c>
      <c r="P70" s="333" t="str">
        <f t="shared" ca="1" si="2"/>
        <v>民生電力以外</v>
      </c>
      <c r="R70" s="340"/>
      <c r="S70" s="340"/>
      <c r="T70" s="333">
        <f t="shared" si="1"/>
        <v>1</v>
      </c>
    </row>
    <row r="71" spans="2:20" s="116" customFormat="1">
      <c r="B71" s="468"/>
      <c r="C71" s="117"/>
      <c r="D71" s="120" t="s">
        <v>112</v>
      </c>
      <c r="E71" s="524"/>
      <c r="F71" s="525"/>
      <c r="G71" s="526"/>
      <c r="H71" s="532">
        <f>SUM($G$70:$G$75)</f>
        <v>0</v>
      </c>
      <c r="I71" s="119"/>
      <c r="J71" s="531"/>
      <c r="K71" s="531"/>
      <c r="L71" s="526"/>
      <c r="M71" s="100"/>
      <c r="O71" s="422">
        <f>COUNTA($D$9:$D71)-COUNTIF($D$9:D71,"年度合計")</f>
        <v>11</v>
      </c>
      <c r="P71" s="422" t="str">
        <f t="shared" ca="1" si="2"/>
        <v>民生電力</v>
      </c>
      <c r="R71" s="121">
        <f>SUM($G$70:$G$75)</f>
        <v>0</v>
      </c>
      <c r="S71" s="119"/>
      <c r="T71" s="422">
        <f t="shared" si="1"/>
        <v>1</v>
      </c>
    </row>
    <row r="72" spans="2:20" s="116" customFormat="1">
      <c r="B72" s="468"/>
      <c r="C72" s="117"/>
      <c r="D72" s="118"/>
      <c r="E72" s="524"/>
      <c r="F72" s="525"/>
      <c r="G72" s="527"/>
      <c r="H72" s="119"/>
      <c r="I72" s="119"/>
      <c r="J72" s="525"/>
      <c r="K72" s="525"/>
      <c r="L72" s="527"/>
      <c r="M72" s="100"/>
      <c r="O72" s="422">
        <f>COUNTA($D$9:$D72)-COUNTIF($D$9:D72,"年度合計")</f>
        <v>11</v>
      </c>
      <c r="P72" s="422" t="str">
        <f t="shared" ca="1" si="2"/>
        <v>民生電力</v>
      </c>
      <c r="R72" s="119"/>
      <c r="S72" s="119"/>
      <c r="T72" s="422">
        <f t="shared" si="1"/>
        <v>1</v>
      </c>
    </row>
    <row r="73" spans="2:20" s="116" customFormat="1">
      <c r="B73" s="468"/>
      <c r="C73" s="117"/>
      <c r="D73" s="118"/>
      <c r="E73" s="524"/>
      <c r="F73" s="525"/>
      <c r="G73" s="527"/>
      <c r="H73" s="119"/>
      <c r="I73" s="119"/>
      <c r="J73" s="525"/>
      <c r="K73" s="525"/>
      <c r="L73" s="527"/>
      <c r="M73" s="100"/>
      <c r="O73" s="422">
        <f>COUNTA($D$9:$D73)-COUNTIF($D$9:D73,"年度合計")</f>
        <v>11</v>
      </c>
      <c r="P73" s="422" t="str">
        <f t="shared" ca="1" si="2"/>
        <v>民生電力</v>
      </c>
      <c r="R73" s="119"/>
      <c r="S73" s="119"/>
      <c r="T73" s="422">
        <f t="shared" si="1"/>
        <v>1</v>
      </c>
    </row>
    <row r="74" spans="2:20" s="116" customFormat="1">
      <c r="B74" s="468"/>
      <c r="C74" s="117"/>
      <c r="D74" s="118"/>
      <c r="E74" s="524"/>
      <c r="F74" s="525"/>
      <c r="G74" s="527"/>
      <c r="H74" s="119"/>
      <c r="I74" s="119"/>
      <c r="J74" s="525"/>
      <c r="K74" s="525"/>
      <c r="L74" s="527"/>
      <c r="M74" s="100"/>
      <c r="O74" s="422">
        <f>COUNTA($D$9:$D74)-COUNTIF($D$9:D74,"年度合計")</f>
        <v>11</v>
      </c>
      <c r="P74" s="422" t="str">
        <f t="shared" ca="1" si="2"/>
        <v>民生電力</v>
      </c>
      <c r="R74" s="119"/>
      <c r="S74" s="119"/>
      <c r="T74" s="422">
        <f t="shared" ref="T74:T92" si="3">IF(AND(H74=R74,I74=S74),1,0)</f>
        <v>1</v>
      </c>
    </row>
    <row r="75" spans="2:20" hidden="1">
      <c r="B75" s="467"/>
      <c r="C75" s="334"/>
      <c r="D75" s="520"/>
      <c r="E75" s="520"/>
      <c r="F75" s="521"/>
      <c r="G75" s="522"/>
      <c r="H75" s="522"/>
      <c r="I75" s="533"/>
      <c r="J75" s="521"/>
      <c r="K75" s="521"/>
      <c r="L75" s="522"/>
      <c r="M75" s="8"/>
      <c r="O75" s="333">
        <f>COUNTA($D$9:$D75)-COUNTIF($D$9:D75,"年度合計")</f>
        <v>11</v>
      </c>
      <c r="P75" s="333" t="str">
        <f t="shared" ca="1" si="2"/>
        <v>民生電力</v>
      </c>
      <c r="R75" s="340"/>
      <c r="S75" s="340"/>
      <c r="T75" s="333">
        <f t="shared" si="3"/>
        <v>1</v>
      </c>
    </row>
    <row r="76" spans="2:20" s="116" customFormat="1">
      <c r="B76" s="468"/>
      <c r="C76" s="117"/>
      <c r="D76" s="122" t="s">
        <v>111</v>
      </c>
      <c r="E76" s="524"/>
      <c r="F76" s="525"/>
      <c r="G76" s="527"/>
      <c r="H76" s="523">
        <f>SUM($G$75:$G$80)</f>
        <v>0</v>
      </c>
      <c r="I76" s="119"/>
      <c r="J76" s="525"/>
      <c r="K76" s="525"/>
      <c r="L76" s="527"/>
      <c r="M76" s="100"/>
      <c r="O76" s="422">
        <f>COUNTA($D$9:$D76)-COUNTIF($D$9:D76,"年度合計")</f>
        <v>12</v>
      </c>
      <c r="P76" s="422" t="str">
        <f t="shared" ref="P76:P91" ca="1" si="4">OFFSET($D$1,MATCH($O76,$O:$O,0)-1,0)</f>
        <v>民生電力以外</v>
      </c>
      <c r="R76" s="121">
        <f>SUM($G$75:$G$80)</f>
        <v>0</v>
      </c>
      <c r="S76" s="119"/>
      <c r="T76" s="422">
        <f t="shared" si="3"/>
        <v>1</v>
      </c>
    </row>
    <row r="77" spans="2:20" s="116" customFormat="1" ht="18.75" customHeight="1">
      <c r="B77" s="468"/>
      <c r="C77" s="117"/>
      <c r="D77" s="118"/>
      <c r="E77" s="524"/>
      <c r="F77" s="525"/>
      <c r="G77" s="527"/>
      <c r="H77" s="119"/>
      <c r="I77" s="119"/>
      <c r="J77" s="525"/>
      <c r="K77" s="525"/>
      <c r="L77" s="527"/>
      <c r="M77" s="100"/>
      <c r="O77" s="422">
        <f>COUNTA($D$9:$D77)-COUNTIF($D$9:D77,"年度合計")</f>
        <v>12</v>
      </c>
      <c r="P77" s="422" t="str">
        <f t="shared" ca="1" si="4"/>
        <v>民生電力以外</v>
      </c>
      <c r="R77" s="119"/>
      <c r="S77" s="119"/>
      <c r="T77" s="422">
        <f t="shared" si="3"/>
        <v>1</v>
      </c>
    </row>
    <row r="78" spans="2:20" s="116" customFormat="1" ht="18.75" customHeight="1">
      <c r="B78" s="468"/>
      <c r="C78" s="117"/>
      <c r="D78" s="118"/>
      <c r="E78" s="524"/>
      <c r="F78" s="525"/>
      <c r="G78" s="527"/>
      <c r="H78" s="119"/>
      <c r="I78" s="119"/>
      <c r="J78" s="525"/>
      <c r="K78" s="525"/>
      <c r="L78" s="527"/>
      <c r="M78" s="100"/>
      <c r="O78" s="422">
        <f>COUNTA($D$9:$D78)-COUNTIF($D$9:D78,"年度合計")</f>
        <v>12</v>
      </c>
      <c r="P78" s="422" t="str">
        <f t="shared" ca="1" si="4"/>
        <v>民生電力以外</v>
      </c>
      <c r="R78" s="119"/>
      <c r="S78" s="119"/>
      <c r="T78" s="422">
        <f t="shared" si="3"/>
        <v>1</v>
      </c>
    </row>
    <row r="79" spans="2:20" s="116" customFormat="1" ht="18.75" customHeight="1">
      <c r="B79" s="468"/>
      <c r="C79" s="117"/>
      <c r="D79" s="118"/>
      <c r="E79" s="528"/>
      <c r="F79" s="529"/>
      <c r="G79" s="530"/>
      <c r="H79" s="119"/>
      <c r="I79" s="119"/>
      <c r="J79" s="529"/>
      <c r="K79" s="529"/>
      <c r="L79" s="530"/>
      <c r="M79" s="100"/>
      <c r="O79" s="422">
        <f>COUNTA($D$9:$D79)-COUNTIF($D$9:D79,"年度合計")</f>
        <v>12</v>
      </c>
      <c r="P79" s="422" t="str">
        <f t="shared" ca="1" si="4"/>
        <v>民生電力以外</v>
      </c>
      <c r="R79" s="119"/>
      <c r="S79" s="119"/>
      <c r="T79" s="422">
        <f t="shared" si="3"/>
        <v>1</v>
      </c>
    </row>
    <row r="80" spans="2:20" hidden="1">
      <c r="B80" s="467"/>
      <c r="C80" s="334"/>
      <c r="D80" s="520"/>
      <c r="E80" s="520"/>
      <c r="F80" s="521"/>
      <c r="G80" s="522"/>
      <c r="H80" s="522"/>
      <c r="I80" s="522"/>
      <c r="J80" s="521"/>
      <c r="K80" s="521"/>
      <c r="L80" s="522"/>
      <c r="M80" s="8"/>
      <c r="O80" s="333">
        <f>COUNTA($D$9:$D80)-COUNTIF($D$9:D80,"年度合計")</f>
        <v>12</v>
      </c>
      <c r="P80" s="333" t="str">
        <f t="shared" ca="1" si="4"/>
        <v>民生電力以外</v>
      </c>
      <c r="R80" s="340"/>
      <c r="S80" s="340"/>
      <c r="T80" s="333">
        <f t="shared" si="3"/>
        <v>1</v>
      </c>
    </row>
    <row r="81" spans="2:20">
      <c r="B81" s="467"/>
      <c r="C81" s="329" t="s">
        <v>299</v>
      </c>
      <c r="D81" s="330" t="s">
        <v>120</v>
      </c>
      <c r="E81" s="165"/>
      <c r="F81" s="166"/>
      <c r="G81" s="167"/>
      <c r="H81" s="168"/>
      <c r="I81" s="523">
        <f>SUM($H$82:$H$92)</f>
        <v>0</v>
      </c>
      <c r="J81" s="172"/>
      <c r="K81" s="166"/>
      <c r="L81" s="168"/>
      <c r="M81" s="8"/>
      <c r="O81" s="333">
        <f>COUNTA($D$9:$D81)-COUNTIF($D$9:D81,"年度合計")</f>
        <v>12</v>
      </c>
      <c r="P81" s="333" t="str">
        <f t="shared" ca="1" si="4"/>
        <v>民生電力以外</v>
      </c>
      <c r="R81" s="331"/>
      <c r="S81" s="332">
        <f>SUM($H$82:$H$92)</f>
        <v>0</v>
      </c>
      <c r="T81" s="333">
        <f t="shared" si="3"/>
        <v>1</v>
      </c>
    </row>
    <row r="82" spans="2:20" hidden="1">
      <c r="B82" s="467"/>
      <c r="C82" s="334"/>
      <c r="D82" s="520"/>
      <c r="E82" s="520"/>
      <c r="F82" s="521"/>
      <c r="G82" s="522"/>
      <c r="H82" s="522"/>
      <c r="I82" s="534"/>
      <c r="J82" s="521"/>
      <c r="K82" s="521"/>
      <c r="L82" s="522"/>
      <c r="M82" s="8"/>
      <c r="O82" s="333">
        <f>COUNTA($D$9:$D82)-COUNTIF($D$9:D82,"年度合計")</f>
        <v>12</v>
      </c>
      <c r="P82" s="333" t="str">
        <f t="shared" ca="1" si="4"/>
        <v>民生電力以外</v>
      </c>
      <c r="R82" s="340"/>
      <c r="S82" s="340"/>
      <c r="T82" s="333">
        <f t="shared" si="3"/>
        <v>1</v>
      </c>
    </row>
    <row r="83" spans="2:20" s="116" customFormat="1">
      <c r="B83" s="468"/>
      <c r="C83" s="117"/>
      <c r="D83" s="120" t="s">
        <v>112</v>
      </c>
      <c r="E83" s="524"/>
      <c r="F83" s="525"/>
      <c r="G83" s="526"/>
      <c r="H83" s="532">
        <f>SUM($G$82:$G$87)</f>
        <v>0</v>
      </c>
      <c r="I83" s="119"/>
      <c r="J83" s="531"/>
      <c r="K83" s="531"/>
      <c r="L83" s="526"/>
      <c r="M83" s="100"/>
      <c r="O83" s="422">
        <f>COUNTA($D$9:$D83)-COUNTIF($D$9:D83,"年度合計")</f>
        <v>13</v>
      </c>
      <c r="P83" s="422" t="str">
        <f t="shared" ca="1" si="4"/>
        <v>民生電力</v>
      </c>
      <c r="R83" s="121">
        <f>SUM($G$82:$G$87)</f>
        <v>0</v>
      </c>
      <c r="S83" s="119"/>
      <c r="T83" s="422">
        <f t="shared" si="3"/>
        <v>1</v>
      </c>
    </row>
    <row r="84" spans="2:20" s="116" customFormat="1">
      <c r="B84" s="468"/>
      <c r="C84" s="117"/>
      <c r="D84" s="118"/>
      <c r="E84" s="524"/>
      <c r="F84" s="525"/>
      <c r="G84" s="527"/>
      <c r="H84" s="119"/>
      <c r="I84" s="119"/>
      <c r="J84" s="525"/>
      <c r="K84" s="525"/>
      <c r="L84" s="527"/>
      <c r="M84" s="100"/>
      <c r="O84" s="422">
        <f>COUNTA($D$9:$D84)-COUNTIF($D$9:D84,"年度合計")</f>
        <v>13</v>
      </c>
      <c r="P84" s="422" t="str">
        <f t="shared" ca="1" si="4"/>
        <v>民生電力</v>
      </c>
      <c r="R84" s="119"/>
      <c r="S84" s="119"/>
      <c r="T84" s="422">
        <f t="shared" si="3"/>
        <v>1</v>
      </c>
    </row>
    <row r="85" spans="2:20" s="116" customFormat="1">
      <c r="B85" s="468"/>
      <c r="C85" s="117"/>
      <c r="D85" s="118"/>
      <c r="E85" s="524"/>
      <c r="F85" s="525"/>
      <c r="G85" s="527"/>
      <c r="H85" s="119"/>
      <c r="I85" s="119"/>
      <c r="J85" s="525"/>
      <c r="K85" s="525"/>
      <c r="L85" s="527"/>
      <c r="M85" s="100"/>
      <c r="O85" s="422">
        <f>COUNTA($D$9:$D85)-COUNTIF($D$9:D85,"年度合計")</f>
        <v>13</v>
      </c>
      <c r="P85" s="422" t="str">
        <f t="shared" ca="1" si="4"/>
        <v>民生電力</v>
      </c>
      <c r="R85" s="119"/>
      <c r="S85" s="119"/>
      <c r="T85" s="422">
        <f t="shared" si="3"/>
        <v>1</v>
      </c>
    </row>
    <row r="86" spans="2:20" s="116" customFormat="1">
      <c r="B86" s="468"/>
      <c r="C86" s="117"/>
      <c r="D86" s="118"/>
      <c r="E86" s="524"/>
      <c r="F86" s="525"/>
      <c r="G86" s="527"/>
      <c r="H86" s="119"/>
      <c r="I86" s="119"/>
      <c r="J86" s="525"/>
      <c r="K86" s="525"/>
      <c r="L86" s="527"/>
      <c r="M86" s="100"/>
      <c r="O86" s="422">
        <f>COUNTA($D$9:$D86)-COUNTIF($D$9:D86,"年度合計")</f>
        <v>13</v>
      </c>
      <c r="P86" s="422" t="str">
        <f t="shared" ca="1" si="4"/>
        <v>民生電力</v>
      </c>
      <c r="R86" s="119"/>
      <c r="S86" s="119"/>
      <c r="T86" s="422">
        <f t="shared" si="3"/>
        <v>1</v>
      </c>
    </row>
    <row r="87" spans="2:20" hidden="1">
      <c r="B87" s="467"/>
      <c r="C87" s="334"/>
      <c r="D87" s="520"/>
      <c r="E87" s="520"/>
      <c r="F87" s="521"/>
      <c r="G87" s="522"/>
      <c r="H87" s="522"/>
      <c r="I87" s="533"/>
      <c r="J87" s="521"/>
      <c r="K87" s="521"/>
      <c r="L87" s="522"/>
      <c r="M87" s="8"/>
      <c r="O87" s="333">
        <f>COUNTA($D$9:$D87)-COUNTIF($D$9:D87,"年度合計")</f>
        <v>13</v>
      </c>
      <c r="P87" s="333" t="str">
        <f t="shared" ca="1" si="4"/>
        <v>民生電力</v>
      </c>
      <c r="R87" s="340"/>
      <c r="S87" s="340"/>
      <c r="T87" s="333">
        <f t="shared" si="3"/>
        <v>1</v>
      </c>
    </row>
    <row r="88" spans="2:20" s="116" customFormat="1">
      <c r="B88" s="468"/>
      <c r="C88" s="117"/>
      <c r="D88" s="122" t="s">
        <v>111</v>
      </c>
      <c r="E88" s="524"/>
      <c r="F88" s="525"/>
      <c r="G88" s="527"/>
      <c r="H88" s="523">
        <f>SUM($G$87:$G$92)</f>
        <v>0</v>
      </c>
      <c r="I88" s="119"/>
      <c r="J88" s="525"/>
      <c r="K88" s="525"/>
      <c r="L88" s="527"/>
      <c r="M88" s="100"/>
      <c r="O88" s="422">
        <f>COUNTA($D$9:$D88)-COUNTIF($D$9:D88,"年度合計")</f>
        <v>14</v>
      </c>
      <c r="P88" s="422" t="str">
        <f t="shared" ca="1" si="4"/>
        <v>民生電力以外</v>
      </c>
      <c r="R88" s="121">
        <f>SUM($G$87:$G$92)</f>
        <v>0</v>
      </c>
      <c r="S88" s="119"/>
      <c r="T88" s="422">
        <f t="shared" si="3"/>
        <v>1</v>
      </c>
    </row>
    <row r="89" spans="2:20" s="116" customFormat="1" ht="18.75" customHeight="1">
      <c r="B89" s="468"/>
      <c r="C89" s="117"/>
      <c r="D89" s="118"/>
      <c r="E89" s="524"/>
      <c r="F89" s="525"/>
      <c r="G89" s="527"/>
      <c r="H89" s="119"/>
      <c r="I89" s="119"/>
      <c r="J89" s="525"/>
      <c r="K89" s="525"/>
      <c r="L89" s="527"/>
      <c r="M89" s="100"/>
      <c r="O89" s="422">
        <f>COUNTA($D$9:$D89)-COUNTIF($D$9:D89,"年度合計")</f>
        <v>14</v>
      </c>
      <c r="P89" s="422" t="str">
        <f t="shared" ca="1" si="4"/>
        <v>民生電力以外</v>
      </c>
      <c r="R89" s="119"/>
      <c r="S89" s="119"/>
      <c r="T89" s="422">
        <f t="shared" si="3"/>
        <v>1</v>
      </c>
    </row>
    <row r="90" spans="2:20" s="116" customFormat="1" ht="18.75" customHeight="1">
      <c r="B90" s="468"/>
      <c r="C90" s="117"/>
      <c r="D90" s="118"/>
      <c r="E90" s="524"/>
      <c r="F90" s="525"/>
      <c r="G90" s="527"/>
      <c r="H90" s="119"/>
      <c r="I90" s="119"/>
      <c r="J90" s="525"/>
      <c r="K90" s="525"/>
      <c r="L90" s="527"/>
      <c r="M90" s="100"/>
      <c r="O90" s="422">
        <f>COUNTA($D$9:$D90)-COUNTIF($D$9:D90,"年度合計")</f>
        <v>14</v>
      </c>
      <c r="P90" s="422" t="str">
        <f t="shared" ca="1" si="4"/>
        <v>民生電力以外</v>
      </c>
      <c r="R90" s="119"/>
      <c r="S90" s="119"/>
      <c r="T90" s="422">
        <f>IF(AND(H90=R90,I90=S90),1,0)</f>
        <v>1</v>
      </c>
    </row>
    <row r="91" spans="2:20" s="116" customFormat="1" ht="18.75" customHeight="1">
      <c r="B91" s="468"/>
      <c r="C91" s="117"/>
      <c r="D91" s="118"/>
      <c r="E91" s="528"/>
      <c r="F91" s="529"/>
      <c r="G91" s="530"/>
      <c r="H91" s="119"/>
      <c r="I91" s="119"/>
      <c r="J91" s="529"/>
      <c r="K91" s="529"/>
      <c r="L91" s="530"/>
      <c r="M91" s="100"/>
      <c r="O91" s="422">
        <f>COUNTA($D$9:$D91)-COUNTIF($D$9:D91,"年度合計")</f>
        <v>14</v>
      </c>
      <c r="P91" s="422" t="str">
        <f t="shared" ca="1" si="4"/>
        <v>民生電力以外</v>
      </c>
      <c r="R91" s="339"/>
      <c r="S91" s="339"/>
      <c r="T91" s="422">
        <f t="shared" si="3"/>
        <v>1</v>
      </c>
    </row>
    <row r="92" spans="2:20" hidden="1">
      <c r="B92" s="467"/>
      <c r="C92" s="334"/>
      <c r="D92" s="520"/>
      <c r="E92" s="520"/>
      <c r="F92" s="521"/>
      <c r="G92" s="522"/>
      <c r="H92" s="522"/>
      <c r="I92" s="522"/>
      <c r="J92" s="521"/>
      <c r="K92" s="521"/>
      <c r="L92" s="522"/>
      <c r="M92" s="8"/>
      <c r="O92" s="461">
        <f>COUNTA($D$9:$D92)-COUNTIF($D$9:D92,"年度合計")</f>
        <v>14</v>
      </c>
      <c r="P92" s="333">
        <f t="shared" ref="P92" ca="1" si="5">OFFSET($C$1,MATCH($O92,$O:$O,0)-1,0)</f>
        <v>0</v>
      </c>
      <c r="T92" s="422">
        <f t="shared" si="3"/>
        <v>1</v>
      </c>
    </row>
    <row r="93" spans="2:20">
      <c r="B93" s="467"/>
      <c r="C93" s="329"/>
      <c r="D93" s="333" t="s">
        <v>231</v>
      </c>
      <c r="E93" s="165"/>
      <c r="F93" s="166"/>
      <c r="G93" s="167"/>
      <c r="H93" s="168"/>
      <c r="I93" s="523">
        <f>$I$95+$I$94</f>
        <v>0</v>
      </c>
      <c r="J93" s="172"/>
      <c r="K93" s="173"/>
      <c r="L93" s="717">
        <f>SUM($L$9:$L$92)</f>
        <v>0</v>
      </c>
      <c r="M93" s="8"/>
      <c r="R93" s="332">
        <f>$I$95+$I$94</f>
        <v>0</v>
      </c>
      <c r="S93" s="331">
        <f>SUM($L$9:$L$92)</f>
        <v>0</v>
      </c>
      <c r="T93" s="422">
        <f>IF(AND(H93=R93,I93=S93),1,0)</f>
        <v>1</v>
      </c>
    </row>
    <row r="94" spans="2:20">
      <c r="B94" s="467"/>
      <c r="C94" s="334" t="s">
        <v>26</v>
      </c>
      <c r="D94" s="333" t="s">
        <v>119</v>
      </c>
      <c r="E94" s="165"/>
      <c r="F94" s="166"/>
      <c r="G94" s="167"/>
      <c r="H94" s="168"/>
      <c r="I94" s="717">
        <f>SUMIF($D$9:$D$92,$D$94,$H$9:$H$92)</f>
        <v>0</v>
      </c>
      <c r="J94" s="174"/>
      <c r="K94" s="175"/>
      <c r="L94" s="717">
        <f>SUM($L$10:$L$15,$L$22:$L$27,$L$34:$L$39,$L$46:$L$51,$L$58:$L$63,$L$70:$L$75,$L$82:$L$87)</f>
        <v>0</v>
      </c>
      <c r="M94" s="8"/>
      <c r="R94" s="331">
        <f>SUMIF($D$9:$D$92,$D$94,$H$9:$H$92)</f>
        <v>0</v>
      </c>
      <c r="S94" s="331">
        <f>SUM($L$10:$L$15,$L$22:$L$27,$L$34:$L$39,$L$46:$L$51,$L$58:$L$63,$L$70:$L$75,$L$82:$L$87)</f>
        <v>0</v>
      </c>
      <c r="T94" s="422">
        <f>IF(AND(H94=R94,I94=S94),1,0)</f>
        <v>1</v>
      </c>
    </row>
    <row r="95" spans="2:20">
      <c r="B95" s="467"/>
      <c r="C95" s="335"/>
      <c r="D95" s="333" t="s">
        <v>122</v>
      </c>
      <c r="E95" s="169"/>
      <c r="F95" s="170"/>
      <c r="G95" s="171"/>
      <c r="H95" s="171"/>
      <c r="I95" s="717">
        <f>SUMIF($D$9:$D$92,$D$95,$H$9:$H$92)</f>
        <v>0</v>
      </c>
      <c r="J95" s="174"/>
      <c r="K95" s="175"/>
      <c r="L95" s="717">
        <f>SUM($L$15:$L$20,$L$27:$L$32,$L$39:$L$44,$L$51:$L$56,$L$63:$L$68,$L$75:$L$80,$L$87:$L$92)</f>
        <v>0</v>
      </c>
      <c r="M95" s="8"/>
      <c r="R95" s="331">
        <f>SUMIF($D$9:$D$92,$D$95,$H$9:$H$92)</f>
        <v>0</v>
      </c>
      <c r="S95" s="331">
        <f>SUM($L$15:$L$20,$L$27:$L$32,$L$39:$L$44,$L$51:$L$56,$L$63:$L$68,$L$75:$L$80,$L$87:$L$92)</f>
        <v>0</v>
      </c>
      <c r="T95" s="422">
        <f>IF(AND(H95=R95,I95=S95),1,0)</f>
        <v>1</v>
      </c>
    </row>
    <row r="96" spans="2:20">
      <c r="B96" s="469"/>
      <c r="C96" s="470"/>
      <c r="D96" s="470"/>
      <c r="E96" s="471"/>
      <c r="F96" s="472"/>
      <c r="G96" s="473"/>
      <c r="H96" s="473"/>
      <c r="I96" s="473"/>
      <c r="J96" s="472"/>
      <c r="K96" s="472"/>
      <c r="L96" s="473"/>
      <c r="M96" s="9"/>
    </row>
    <row r="97" spans="15:22">
      <c r="O97" s="325" t="s">
        <v>458</v>
      </c>
      <c r="P97" t="s">
        <v>456</v>
      </c>
      <c r="Q97"/>
      <c r="R97"/>
      <c r="S97" t="s">
        <v>457</v>
      </c>
      <c r="T97"/>
      <c r="U97"/>
    </row>
    <row r="98" spans="15:22">
      <c r="O98" s="177" t="s">
        <v>459</v>
      </c>
      <c r="P98" s="333" t="s">
        <v>231</v>
      </c>
      <c r="Q98" s="333" t="s">
        <v>119</v>
      </c>
      <c r="R98" s="177" t="s">
        <v>122</v>
      </c>
      <c r="S98" s="333" t="s">
        <v>231</v>
      </c>
      <c r="T98" s="333" t="s">
        <v>119</v>
      </c>
      <c r="U98" s="177" t="s">
        <v>122</v>
      </c>
      <c r="V98" s="177" t="s">
        <v>501</v>
      </c>
    </row>
    <row r="99" spans="15:22">
      <c r="O99" s="333">
        <f ca="1">PRODUCT(P99:V99)</f>
        <v>1</v>
      </c>
      <c r="P99" s="177">
        <f>(SUM($I$9:$I$92)=I93)*1</f>
        <v>1</v>
      </c>
      <c r="Q99" s="177">
        <f>IFERROR((SUM(H11,H23,H35,H47,H59,H71,H83)=$I$94)*1,0)</f>
        <v>1</v>
      </c>
      <c r="R99" s="177">
        <f>IFERROR((SUM(H16,H28,H40,H52,H64,H76,H88)=I95)*1,0)</f>
        <v>1</v>
      </c>
      <c r="S99" s="333">
        <f>(L93=L94+L95)*1</f>
        <v>1</v>
      </c>
      <c r="T99" s="333">
        <f ca="1">(SUMIF($P$10:$P$92,Q$98,$L$10:$L$92)=$L$94)*1</f>
        <v>1</v>
      </c>
      <c r="U99" s="333">
        <f ca="1">(SUMIF($P$10:$P$92,R$98,$L$10:$L$92)=$L$95)*1</f>
        <v>1</v>
      </c>
      <c r="V99" s="333">
        <f>PRODUCT($T$9:$T$91)</f>
        <v>1</v>
      </c>
    </row>
  </sheetData>
  <sheetProtection algorithmName="SHA-512" hashValue="D7YIHB2dkH7PW7QIE22FRlU774gbLGSCcsbPZi5VQMzv40/OzEkBz86nlS4/ZpAxdwo1FB2NsRGddmgWSorgRA==" saltValue="D9BtXx0ddSmIl4PJNspXvA==" spinCount="100000" sheet="1" formatCells="0" insertRows="0" deleteRows="0"/>
  <phoneticPr fontId="1"/>
  <conditionalFormatting sqref="C10:L92">
    <cfRule type="expression" dxfId="1804" priority="7">
      <formula>$O10=""</formula>
    </cfRule>
  </conditionalFormatting>
  <conditionalFormatting sqref="E9:G92">
    <cfRule type="notContainsBlanks" dxfId="1803" priority="2">
      <formula>LEN(TRIM(E9))&gt;0</formula>
    </cfRule>
  </conditionalFormatting>
  <conditionalFormatting sqref="H11 H16 I9">
    <cfRule type="cellIs" dxfId="1802" priority="14" operator="greaterThan">
      <formula>0</formula>
    </cfRule>
  </conditionalFormatting>
  <conditionalFormatting sqref="H9:I91">
    <cfRule type="expression" dxfId="1801" priority="6">
      <formula>H9&lt;&gt;R9</formula>
    </cfRule>
  </conditionalFormatting>
  <conditionalFormatting sqref="I21 H23 H28">
    <cfRule type="cellIs" dxfId="1800" priority="13" operator="greaterThan">
      <formula>0</formula>
    </cfRule>
  </conditionalFormatting>
  <conditionalFormatting sqref="I33 H35 H40">
    <cfRule type="cellIs" dxfId="1799" priority="12" operator="greaterThan">
      <formula>0</formula>
    </cfRule>
  </conditionalFormatting>
  <conditionalFormatting sqref="I45 H47 H52">
    <cfRule type="cellIs" dxfId="1798" priority="11" operator="greaterThan">
      <formula>0</formula>
    </cfRule>
  </conditionalFormatting>
  <conditionalFormatting sqref="I57 H59 H64">
    <cfRule type="cellIs" dxfId="1797" priority="10" operator="greaterThan">
      <formula>0</formula>
    </cfRule>
  </conditionalFormatting>
  <conditionalFormatting sqref="I69 H71 H76">
    <cfRule type="cellIs" dxfId="1796" priority="9" operator="greaterThan">
      <formula>0</formula>
    </cfRule>
  </conditionalFormatting>
  <conditionalFormatting sqref="I81 H83 H88">
    <cfRule type="cellIs" dxfId="1795" priority="8" operator="greaterThan">
      <formula>0</formula>
    </cfRule>
  </conditionalFormatting>
  <conditionalFormatting sqref="I93:I95 L93:L95">
    <cfRule type="cellIs" dxfId="1794" priority="5" operator="notEqual">
      <formula>0</formula>
    </cfRule>
  </conditionalFormatting>
  <conditionalFormatting sqref="I93:I95">
    <cfRule type="expression" dxfId="1793" priority="4">
      <formula>$I93&lt;&gt;$R93</formula>
    </cfRule>
  </conditionalFormatting>
  <conditionalFormatting sqref="J9:L91">
    <cfRule type="notContainsBlanks" dxfId="1792" priority="1">
      <formula>LEN(TRIM(J9))&gt;0</formula>
    </cfRule>
  </conditionalFormatting>
  <conditionalFormatting sqref="L93:L95">
    <cfRule type="expression" dxfId="1791" priority="3">
      <formula>$L93&lt;&gt;$S93</formula>
    </cfRule>
  </conditionalFormatting>
  <dataValidations count="1">
    <dataValidation type="decimal" operator="greaterThanOrEqual" allowBlank="1" showInputMessage="1" showErrorMessage="1" error="数値で入力してください" sqref="G9:G93 L9:L91" xr:uid="{E89B9F4B-F381-4B6F-A59C-495A96721330}">
      <formula1>0</formula1>
    </dataValidation>
  </dataValidations>
  <pageMargins left="0.82677165354330717" right="0.70866141732283472" top="1.1811023622047245" bottom="0.74803149606299213" header="0.23622047244094491" footer="0.31496062992125984"/>
  <pageSetup paperSize="9" scale="50" orientation="landscape" r:id="rId1"/>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5184B-AA6B-4050-863E-2F1116135452}">
  <sheetPr codeName="Sheet4">
    <tabColor theme="7" tint="0.79998168889431442"/>
    <pageSetUpPr autoPageBreaks="0" fitToPage="1"/>
  </sheetPr>
  <dimension ref="A1:P23"/>
  <sheetViews>
    <sheetView showGridLines="0" zoomScaleNormal="100" zoomScaleSheetLayoutView="90" workbookViewId="0"/>
  </sheetViews>
  <sheetFormatPr defaultColWidth="9" defaultRowHeight="18"/>
  <cols>
    <col min="1" max="2" width="2.58203125" style="13" customWidth="1"/>
    <col min="3" max="3" width="2.33203125" style="13" customWidth="1"/>
    <col min="4" max="4" width="21.5" style="13" customWidth="1"/>
    <col min="5" max="5" width="20.83203125" style="13" customWidth="1"/>
    <col min="6" max="6" width="12.33203125" style="13" customWidth="1"/>
    <col min="7" max="7" width="59.08203125" style="13" customWidth="1"/>
    <col min="8" max="8" width="17.83203125" style="13" customWidth="1"/>
    <col min="9" max="9" width="59.08203125" style="13" customWidth="1"/>
    <col min="10" max="10" width="12.58203125" style="13" customWidth="1"/>
    <col min="11" max="11" width="2.33203125" style="13" customWidth="1"/>
    <col min="12" max="12" width="9" style="13" customWidth="1"/>
    <col min="13" max="14" width="13.75" hidden="1" customWidth="1"/>
    <col min="15" max="15" width="14.58203125" hidden="1" customWidth="1"/>
    <col min="16" max="16" width="9" hidden="1" customWidth="1"/>
  </cols>
  <sheetData>
    <row r="1" spans="1:16" ht="24" customHeight="1">
      <c r="A1" s="44" t="s">
        <v>346</v>
      </c>
      <c r="C1"/>
    </row>
    <row r="2" spans="1:16" ht="48" customHeight="1">
      <c r="B2" s="955" t="s">
        <v>505</v>
      </c>
      <c r="C2" s="955"/>
      <c r="D2" s="955"/>
      <c r="E2" s="955"/>
      <c r="F2" s="955"/>
      <c r="G2" s="955"/>
      <c r="H2" s="955"/>
      <c r="I2" s="955"/>
      <c r="J2" s="955"/>
    </row>
    <row r="3" spans="1:16" ht="17.25" customHeight="1">
      <c r="C3" s="232"/>
      <c r="D3" s="232"/>
      <c r="E3" s="232"/>
      <c r="F3" s="232"/>
      <c r="G3" s="232"/>
      <c r="H3" s="232"/>
      <c r="I3" s="232"/>
      <c r="J3" s="232"/>
    </row>
    <row r="4" spans="1:16" ht="14.25" customHeight="1">
      <c r="C4" s="236"/>
      <c r="D4" s="15"/>
      <c r="E4" s="15"/>
      <c r="F4" s="15"/>
      <c r="G4" s="15"/>
      <c r="H4" s="15"/>
      <c r="I4" s="15"/>
      <c r="J4" s="15"/>
      <c r="K4" s="30"/>
    </row>
    <row r="5" spans="1:16" ht="5.25" customHeight="1">
      <c r="C5" s="239"/>
      <c r="K5" s="19"/>
    </row>
    <row r="6" spans="1:16" ht="42" customHeight="1">
      <c r="C6" s="16"/>
      <c r="D6" s="956" t="s">
        <v>96</v>
      </c>
      <c r="E6" s="956" t="s">
        <v>134</v>
      </c>
      <c r="F6" s="342" t="s">
        <v>99</v>
      </c>
      <c r="G6" s="343"/>
      <c r="H6" s="342" t="s">
        <v>135</v>
      </c>
      <c r="I6" s="344"/>
      <c r="J6" s="956" t="s">
        <v>136</v>
      </c>
      <c r="K6" s="19"/>
      <c r="M6" t="s">
        <v>317</v>
      </c>
      <c r="P6">
        <f ca="1">PRODUCT($P$8:$P$22)</f>
        <v>1</v>
      </c>
    </row>
    <row r="7" spans="1:16" ht="36.75" customHeight="1">
      <c r="C7" s="16"/>
      <c r="D7" s="957"/>
      <c r="E7" s="957"/>
      <c r="F7" s="321" t="s">
        <v>88</v>
      </c>
      <c r="G7" s="321" t="s">
        <v>89</v>
      </c>
      <c r="H7" s="240" t="s">
        <v>95</v>
      </c>
      <c r="I7" s="240" t="s">
        <v>94</v>
      </c>
      <c r="J7" s="957"/>
      <c r="K7" s="19"/>
      <c r="M7" s="423" t="s">
        <v>134</v>
      </c>
      <c r="N7" s="177" t="s">
        <v>493</v>
      </c>
      <c r="O7" s="423" t="s">
        <v>492</v>
      </c>
      <c r="P7" s="257" t="s">
        <v>425</v>
      </c>
    </row>
    <row r="8" spans="1:16" s="11" customFormat="1" ht="18.75" hidden="1" customHeight="1">
      <c r="A8" s="21"/>
      <c r="B8" s="21"/>
      <c r="C8" s="36"/>
      <c r="D8" s="341"/>
      <c r="E8" s="189"/>
      <c r="F8" s="189"/>
      <c r="G8" s="189"/>
      <c r="H8" s="341"/>
      <c r="I8" s="341"/>
      <c r="J8" s="62">
        <f>E8-H8</f>
        <v>0</v>
      </c>
      <c r="K8" s="24"/>
      <c r="L8" s="21"/>
      <c r="M8" s="439"/>
      <c r="N8" s="322"/>
      <c r="O8" s="257">
        <f t="shared" ref="O8" si="0">E8-J8</f>
        <v>0</v>
      </c>
      <c r="P8" s="257">
        <f t="shared" ref="P8:P21" si="1">(J8=O8)*1</f>
        <v>1</v>
      </c>
    </row>
    <row r="9" spans="1:16" s="11" customFormat="1">
      <c r="A9" s="21"/>
      <c r="B9" s="21"/>
      <c r="C9" s="36"/>
      <c r="D9" s="60"/>
      <c r="E9" s="62"/>
      <c r="F9" s="85"/>
      <c r="G9" s="59"/>
      <c r="H9" s="61"/>
      <c r="I9" s="59"/>
      <c r="J9" s="62">
        <f t="shared" ref="J9:J21" si="2">E9-H9</f>
        <v>0</v>
      </c>
      <c r="K9" s="24"/>
      <c r="L9" s="21"/>
      <c r="M9" s="322"/>
      <c r="N9" s="322"/>
      <c r="O9" s="215">
        <f>E9-H9</f>
        <v>0</v>
      </c>
      <c r="P9" s="257">
        <f t="shared" si="1"/>
        <v>1</v>
      </c>
    </row>
    <row r="10" spans="1:16" s="11" customFormat="1">
      <c r="A10" s="21"/>
      <c r="B10" s="21"/>
      <c r="C10" s="36"/>
      <c r="D10" s="60"/>
      <c r="E10" s="62"/>
      <c r="F10" s="85"/>
      <c r="G10" s="59"/>
      <c r="H10" s="61"/>
      <c r="I10" s="59"/>
      <c r="J10" s="62">
        <f t="shared" ref="J10:J11" si="3">E10-H10</f>
        <v>0</v>
      </c>
      <c r="K10" s="24"/>
      <c r="L10" s="21"/>
      <c r="M10" s="322"/>
      <c r="N10" s="322"/>
      <c r="O10" s="257">
        <f t="shared" ref="O10:O21" si="4">E10-H10</f>
        <v>0</v>
      </c>
      <c r="P10" s="257">
        <f t="shared" si="1"/>
        <v>1</v>
      </c>
    </row>
    <row r="11" spans="1:16" s="11" customFormat="1">
      <c r="A11" s="21"/>
      <c r="B11" s="21"/>
      <c r="C11" s="36"/>
      <c r="D11" s="60"/>
      <c r="E11" s="62"/>
      <c r="F11" s="85"/>
      <c r="G11" s="59"/>
      <c r="H11" s="61"/>
      <c r="I11" s="59"/>
      <c r="J11" s="62">
        <f t="shared" si="3"/>
        <v>0</v>
      </c>
      <c r="K11" s="24"/>
      <c r="L11" s="21"/>
      <c r="M11" s="322"/>
      <c r="N11" s="322"/>
      <c r="O11" s="257">
        <f t="shared" si="4"/>
        <v>0</v>
      </c>
      <c r="P11" s="257">
        <f t="shared" si="1"/>
        <v>1</v>
      </c>
    </row>
    <row r="12" spans="1:16" s="11" customFormat="1">
      <c r="A12" s="21"/>
      <c r="B12" s="21"/>
      <c r="C12" s="36"/>
      <c r="D12" s="60"/>
      <c r="E12" s="62"/>
      <c r="F12" s="85"/>
      <c r="G12" s="59"/>
      <c r="H12" s="61"/>
      <c r="I12" s="59"/>
      <c r="J12" s="62">
        <f t="shared" si="2"/>
        <v>0</v>
      </c>
      <c r="K12" s="24"/>
      <c r="L12" s="21"/>
      <c r="M12" s="322"/>
      <c r="N12" s="322"/>
      <c r="O12" s="257">
        <f t="shared" si="4"/>
        <v>0</v>
      </c>
      <c r="P12" s="257">
        <f t="shared" si="1"/>
        <v>1</v>
      </c>
    </row>
    <row r="13" spans="1:16" s="11" customFormat="1">
      <c r="A13" s="21"/>
      <c r="B13" s="21"/>
      <c r="C13" s="36"/>
      <c r="D13" s="60"/>
      <c r="E13" s="62"/>
      <c r="F13" s="85"/>
      <c r="G13" s="59"/>
      <c r="H13" s="61"/>
      <c r="I13" s="59"/>
      <c r="J13" s="62">
        <f t="shared" si="2"/>
        <v>0</v>
      </c>
      <c r="K13" s="24"/>
      <c r="L13" s="21"/>
      <c r="M13" s="322"/>
      <c r="N13" s="322"/>
      <c r="O13" s="257">
        <f t="shared" si="4"/>
        <v>0</v>
      </c>
      <c r="P13" s="257">
        <f t="shared" si="1"/>
        <v>1</v>
      </c>
    </row>
    <row r="14" spans="1:16" s="11" customFormat="1">
      <c r="A14" s="21"/>
      <c r="B14" s="21"/>
      <c r="C14" s="36"/>
      <c r="D14" s="60"/>
      <c r="E14" s="62"/>
      <c r="F14" s="85"/>
      <c r="G14" s="59"/>
      <c r="H14" s="61"/>
      <c r="I14" s="59"/>
      <c r="J14" s="62">
        <f t="shared" ref="J14:J15" si="5">E14-H14</f>
        <v>0</v>
      </c>
      <c r="K14" s="24"/>
      <c r="L14" s="21"/>
      <c r="M14" s="322"/>
      <c r="N14" s="322"/>
      <c r="O14" s="257">
        <f t="shared" si="4"/>
        <v>0</v>
      </c>
      <c r="P14" s="257">
        <f t="shared" si="1"/>
        <v>1</v>
      </c>
    </row>
    <row r="15" spans="1:16" s="11" customFormat="1">
      <c r="A15" s="21"/>
      <c r="B15" s="21"/>
      <c r="C15" s="36"/>
      <c r="D15" s="60"/>
      <c r="E15" s="62"/>
      <c r="F15" s="85"/>
      <c r="G15" s="59"/>
      <c r="H15" s="61"/>
      <c r="I15" s="59"/>
      <c r="J15" s="62">
        <f t="shared" si="5"/>
        <v>0</v>
      </c>
      <c r="K15" s="24"/>
      <c r="L15" s="21"/>
      <c r="M15" s="322"/>
      <c r="N15" s="322"/>
      <c r="O15" s="257">
        <f t="shared" si="4"/>
        <v>0</v>
      </c>
      <c r="P15" s="257">
        <f t="shared" si="1"/>
        <v>1</v>
      </c>
    </row>
    <row r="16" spans="1:16" s="11" customFormat="1">
      <c r="A16" s="21"/>
      <c r="B16" s="21"/>
      <c r="C16" s="36"/>
      <c r="D16" s="60"/>
      <c r="E16" s="62"/>
      <c r="F16" s="85"/>
      <c r="G16" s="59"/>
      <c r="H16" s="61"/>
      <c r="I16" s="59"/>
      <c r="J16" s="62">
        <f t="shared" si="2"/>
        <v>0</v>
      </c>
      <c r="K16" s="24"/>
      <c r="L16" s="21"/>
      <c r="M16" s="322"/>
      <c r="N16" s="322"/>
      <c r="O16" s="257">
        <f t="shared" si="4"/>
        <v>0</v>
      </c>
      <c r="P16" s="257">
        <f t="shared" si="1"/>
        <v>1</v>
      </c>
    </row>
    <row r="17" spans="1:16" s="11" customFormat="1">
      <c r="A17" s="21"/>
      <c r="B17" s="21"/>
      <c r="C17" s="36"/>
      <c r="D17" s="60"/>
      <c r="E17" s="62"/>
      <c r="F17" s="85"/>
      <c r="G17" s="59"/>
      <c r="H17" s="61"/>
      <c r="I17" s="59"/>
      <c r="J17" s="62">
        <f t="shared" si="2"/>
        <v>0</v>
      </c>
      <c r="K17" s="24"/>
      <c r="L17" s="21"/>
      <c r="M17" s="322"/>
      <c r="N17" s="322"/>
      <c r="O17" s="257">
        <f t="shared" si="4"/>
        <v>0</v>
      </c>
      <c r="P17" s="257">
        <f t="shared" si="1"/>
        <v>1</v>
      </c>
    </row>
    <row r="18" spans="1:16" s="11" customFormat="1">
      <c r="A18" s="21"/>
      <c r="B18" s="21"/>
      <c r="C18" s="36"/>
      <c r="D18" s="60"/>
      <c r="E18" s="62"/>
      <c r="F18" s="85"/>
      <c r="G18" s="59"/>
      <c r="H18" s="61"/>
      <c r="I18" s="59"/>
      <c r="J18" s="62">
        <f t="shared" ref="J18:J19" si="6">E18-H18</f>
        <v>0</v>
      </c>
      <c r="K18" s="24"/>
      <c r="L18" s="21"/>
      <c r="M18" s="322"/>
      <c r="N18" s="322"/>
      <c r="O18" s="257">
        <f t="shared" si="4"/>
        <v>0</v>
      </c>
      <c r="P18" s="257">
        <f t="shared" si="1"/>
        <v>1</v>
      </c>
    </row>
    <row r="19" spans="1:16" s="11" customFormat="1">
      <c r="A19" s="21"/>
      <c r="B19" s="21"/>
      <c r="C19" s="36"/>
      <c r="D19" s="60"/>
      <c r="E19" s="62"/>
      <c r="F19" s="85"/>
      <c r="G19" s="59"/>
      <c r="H19" s="61"/>
      <c r="I19" s="59"/>
      <c r="J19" s="62">
        <f t="shared" si="6"/>
        <v>0</v>
      </c>
      <c r="K19" s="24"/>
      <c r="L19" s="21"/>
      <c r="M19" s="322"/>
      <c r="N19" s="322"/>
      <c r="O19" s="215">
        <f t="shared" si="4"/>
        <v>0</v>
      </c>
      <c r="P19" s="257">
        <f t="shared" si="1"/>
        <v>1</v>
      </c>
    </row>
    <row r="20" spans="1:16" s="11" customFormat="1">
      <c r="A20" s="21"/>
      <c r="B20" s="21"/>
      <c r="C20" s="36"/>
      <c r="D20" s="60"/>
      <c r="E20" s="62"/>
      <c r="F20" s="85"/>
      <c r="G20" s="59"/>
      <c r="H20" s="61"/>
      <c r="I20" s="59"/>
      <c r="J20" s="62">
        <f t="shared" si="2"/>
        <v>0</v>
      </c>
      <c r="K20" s="24"/>
      <c r="L20" s="21"/>
      <c r="M20" s="322"/>
      <c r="N20" s="322"/>
      <c r="O20" s="215">
        <f t="shared" si="4"/>
        <v>0</v>
      </c>
      <c r="P20" s="257">
        <f t="shared" si="1"/>
        <v>1</v>
      </c>
    </row>
    <row r="21" spans="1:16" s="11" customFormat="1">
      <c r="A21" s="21"/>
      <c r="B21" s="21"/>
      <c r="C21" s="36"/>
      <c r="D21" s="60"/>
      <c r="E21" s="62"/>
      <c r="F21" s="85"/>
      <c r="G21" s="59"/>
      <c r="H21" s="61"/>
      <c r="I21" s="59"/>
      <c r="J21" s="62">
        <f t="shared" si="2"/>
        <v>0</v>
      </c>
      <c r="K21" s="24"/>
      <c r="L21" s="21"/>
      <c r="M21" s="322"/>
      <c r="N21" s="322"/>
      <c r="O21" s="215">
        <f t="shared" si="4"/>
        <v>0</v>
      </c>
      <c r="P21" s="257">
        <f t="shared" si="1"/>
        <v>1</v>
      </c>
    </row>
    <row r="22" spans="1:16">
      <c r="C22" s="32"/>
      <c r="D22" s="241" t="s">
        <v>26</v>
      </c>
      <c r="E22" s="284">
        <f ca="1">SUM(OFFSET(E$8,0,0,ROW()-ROW(E$8),1))</f>
        <v>0</v>
      </c>
      <c r="F22" s="242"/>
      <c r="G22" s="242"/>
      <c r="H22" s="284">
        <f ca="1">SUM(OFFSET(H8,0,0,ROW()-ROW(H8),1))</f>
        <v>0</v>
      </c>
      <c r="I22" s="242"/>
      <c r="J22" s="284">
        <f ca="1">SUM(OFFSET(J$8,0,0,ROW()-ROW(J$8),1))</f>
        <v>0</v>
      </c>
      <c r="K22" s="345"/>
      <c r="M22" s="177">
        <f ca="1">SUM(OFFSET(E$8,0,0,ROW()-ROW(E$8),1))</f>
        <v>0</v>
      </c>
      <c r="N22" s="177">
        <f ca="1">SUM(OFFSET(H$8,0,0,ROW()-ROW(H$8),1))</f>
        <v>0</v>
      </c>
      <c r="O22" s="177">
        <f ca="1">SUM(OFFSET(J$8,0,0,ROW()-ROW(J$8),1))</f>
        <v>0</v>
      </c>
      <c r="P22" s="257">
        <f ca="1">(IF(AND(E22=M22,H22=N22,J22=O22),1,0))</f>
        <v>1</v>
      </c>
    </row>
    <row r="23" spans="1:16" ht="15" customHeight="1">
      <c r="C23" s="46"/>
      <c r="D23" s="26"/>
      <c r="E23" s="34"/>
      <c r="F23" s="34"/>
      <c r="G23" s="34"/>
      <c r="H23" s="34"/>
      <c r="I23" s="34"/>
      <c r="J23" s="26"/>
      <c r="K23" s="27"/>
    </row>
  </sheetData>
  <sheetProtection algorithmName="SHA-512" hashValue="aQdbxPIuJVA0dHYbggdg17EUmCG8yqtFoORuIbQ6sXWRphf0piXM0JKvzkO9yvwA7h6iVXNPIC2z9q0wzGPA3A==" saltValue="nyEiUsMvLpv0zyvgTaK8lg==" spinCount="100000" sheet="1" formatCells="0" insertRows="0" deleteRows="0"/>
  <mergeCells count="4">
    <mergeCell ref="B2:J2"/>
    <mergeCell ref="D6:D7"/>
    <mergeCell ref="E6:E7"/>
    <mergeCell ref="J6:J7"/>
  </mergeCells>
  <phoneticPr fontId="1"/>
  <conditionalFormatting sqref="D8:I21">
    <cfRule type="containsBlanks" dxfId="1790" priority="5">
      <formula>LEN(TRIM(D8))=0</formula>
    </cfRule>
  </conditionalFormatting>
  <conditionalFormatting sqref="D8:J21">
    <cfRule type="expression" dxfId="1789" priority="3">
      <formula>$O8=""</formula>
    </cfRule>
  </conditionalFormatting>
  <conditionalFormatting sqref="E22">
    <cfRule type="expression" dxfId="1788" priority="2">
      <formula>$E$22&lt;&gt;$M$22</formula>
    </cfRule>
  </conditionalFormatting>
  <conditionalFormatting sqref="H22">
    <cfRule type="expression" dxfId="1787" priority="1">
      <formula>$H$22&lt;&gt;$N$22</formula>
    </cfRule>
  </conditionalFormatting>
  <conditionalFormatting sqref="J8:J22 E22 H22">
    <cfRule type="cellIs" dxfId="1786" priority="23" operator="equal">
      <formula>0</formula>
    </cfRule>
  </conditionalFormatting>
  <conditionalFormatting sqref="J8:J22">
    <cfRule type="expression" dxfId="1785" priority="4322">
      <formula>$J8&lt;&gt;$O8</formula>
    </cfRule>
  </conditionalFormatting>
  <dataValidations count="3">
    <dataValidation type="list" allowBlank="1" showInputMessage="1" showErrorMessage="1" sqref="D8:D21" xr:uid="{A65E60EF-97FD-43B0-8F9C-EE36D5201886}">
      <formula1>"太陽光発電,水力発電,風力発電,地熱発電,木質バイオマス発電,バイオマス発電,バイオガス発電,廃棄物発電,波力発電,潮力発電,その他発電"</formula1>
    </dataValidation>
    <dataValidation type="list" allowBlank="1" showInputMessage="1" showErrorMessage="1" sqref="F8:F21" xr:uid="{614318CA-FB74-4415-A074-A8832837C22B}">
      <formula1>"済,一部済"</formula1>
    </dataValidation>
    <dataValidation type="decimal" operator="greaterThanOrEqual" allowBlank="1" showInputMessage="1" showErrorMessage="1" error="数値で入力してください" sqref="E8:E21 H8:H21" xr:uid="{AF2C31DF-90F6-4D4E-8028-56214C8CF831}">
      <formula1>0</formula1>
    </dataValidation>
  </dataValidations>
  <pageMargins left="0.7" right="0.7" top="0.75" bottom="0.75" header="0.3" footer="0.3"/>
  <pageSetup paperSize="8" scale="54" orientation="portrait" r:id="rId1"/>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EB45D-4C5A-4C65-BACC-2563F45CAD4C}">
  <sheetPr codeName="Sheet7">
    <tabColor theme="7" tint="0.79998168889431442"/>
    <pageSetUpPr autoPageBreaks="0" fitToPage="1"/>
  </sheetPr>
  <dimension ref="A1:AL211"/>
  <sheetViews>
    <sheetView showGridLines="0" zoomScaleNormal="100" zoomScaleSheetLayoutView="100" workbookViewId="0"/>
  </sheetViews>
  <sheetFormatPr defaultColWidth="9" defaultRowHeight="18"/>
  <cols>
    <col min="1" max="1" width="2.33203125" customWidth="1"/>
    <col min="2" max="3" width="2.58203125" style="13" customWidth="1"/>
    <col min="4" max="4" width="2.33203125" style="13" customWidth="1"/>
    <col min="5" max="5" width="6.83203125" style="325" customWidth="1"/>
    <col min="6" max="6" width="20.83203125" style="325" customWidth="1"/>
    <col min="7" max="7" width="13.83203125" style="325" bestFit="1" customWidth="1"/>
    <col min="8" max="8" width="12.33203125" style="325" customWidth="1"/>
    <col min="9" max="9" width="16.75" style="325" customWidth="1"/>
    <col min="10" max="10" width="14.08203125" style="325" customWidth="1"/>
    <col min="11" max="11" width="15.25" style="325" customWidth="1"/>
    <col min="12" max="12" width="11.58203125" style="751" customWidth="1"/>
    <col min="13" max="13" width="11.75" style="325" customWidth="1"/>
    <col min="14" max="14" width="11.75" style="338" customWidth="1"/>
    <col min="15" max="15" width="11.75" style="764" customWidth="1"/>
    <col min="16" max="16" width="14.08203125" style="325" bestFit="1" customWidth="1"/>
    <col min="17" max="17" width="14.08203125" style="338" bestFit="1" customWidth="1"/>
    <col min="18" max="19" width="11.75" style="764" customWidth="1"/>
    <col min="20" max="20" width="3.58203125" style="325" customWidth="1"/>
    <col min="21" max="21" width="1.75" style="325" customWidth="1"/>
    <col min="22" max="22" width="9" style="325" customWidth="1"/>
    <col min="24" max="24" width="12.33203125" style="123" hidden="1" customWidth="1"/>
    <col min="25" max="25" width="6.25" style="123" hidden="1" customWidth="1"/>
    <col min="26" max="27" width="9" style="123" hidden="1" customWidth="1"/>
    <col min="28" max="28" width="10.08203125" hidden="1" customWidth="1"/>
    <col min="29" max="30" width="9" hidden="1" customWidth="1"/>
    <col min="31" max="31" width="9" style="261" hidden="1" customWidth="1"/>
    <col min="32" max="36" width="9" hidden="1" customWidth="1"/>
    <col min="37" max="37" width="9" style="261" hidden="1" customWidth="1"/>
    <col min="38" max="38" width="9" hidden="1" customWidth="1"/>
  </cols>
  <sheetData>
    <row r="1" spans="1:38" ht="24" customHeight="1">
      <c r="A1" s="44" t="s">
        <v>347</v>
      </c>
      <c r="C1"/>
    </row>
    <row r="2" spans="1:38">
      <c r="A2" s="13" t="s">
        <v>494</v>
      </c>
      <c r="B2" s="17"/>
      <c r="C2" s="17"/>
      <c r="D2" s="17"/>
      <c r="E2" s="337"/>
      <c r="F2" s="337"/>
      <c r="G2" s="337"/>
      <c r="H2" s="337"/>
      <c r="I2" s="337"/>
      <c r="J2" s="337"/>
      <c r="K2" s="337"/>
      <c r="L2" s="337"/>
      <c r="M2" s="337"/>
      <c r="N2" s="337"/>
      <c r="O2" s="337"/>
      <c r="P2" s="337"/>
      <c r="Q2" s="337"/>
      <c r="R2" s="337"/>
      <c r="S2" s="337"/>
    </row>
    <row r="3" spans="1:38">
      <c r="A3" t="s">
        <v>495</v>
      </c>
      <c r="B3" s="17"/>
      <c r="C3" s="17"/>
      <c r="D3" s="17"/>
      <c r="E3" s="337"/>
      <c r="F3" s="337"/>
      <c r="G3" s="337"/>
      <c r="H3" s="337"/>
      <c r="I3" s="337"/>
      <c r="J3" s="337"/>
      <c r="K3" s="337"/>
      <c r="L3" s="337"/>
      <c r="M3" s="337"/>
      <c r="N3" s="337"/>
      <c r="O3" s="337"/>
      <c r="P3" s="337"/>
      <c r="Q3" s="337"/>
      <c r="R3" s="337"/>
      <c r="S3" s="337"/>
    </row>
    <row r="4" spans="1:38" ht="22.5">
      <c r="D4" s="232"/>
      <c r="E4" s="765"/>
      <c r="F4" s="765"/>
      <c r="G4" s="765"/>
      <c r="H4" s="765"/>
      <c r="I4" s="765"/>
      <c r="J4" s="765"/>
      <c r="K4" s="765"/>
      <c r="L4" s="752"/>
      <c r="M4" s="766"/>
      <c r="N4" s="767"/>
      <c r="O4" s="336"/>
      <c r="P4" s="766"/>
      <c r="Q4" s="767"/>
      <c r="R4" s="768"/>
      <c r="S4" s="768"/>
      <c r="X4" s="123" t="s">
        <v>481</v>
      </c>
      <c r="Y4" s="123" cm="1">
        <f t="array" ref="Y4">IFERROR(_xlfn._xlws.FILTER(1,1),"")</f>
        <v>1</v>
      </c>
    </row>
    <row r="5" spans="1:38" ht="9.75" customHeight="1">
      <c r="D5" s="236"/>
      <c r="E5" s="463"/>
      <c r="F5" s="463"/>
      <c r="G5" s="463"/>
      <c r="H5" s="463"/>
      <c r="I5" s="463"/>
      <c r="J5" s="463"/>
      <c r="K5" s="463"/>
      <c r="L5" s="753"/>
      <c r="M5" s="463"/>
      <c r="N5" s="466"/>
      <c r="O5" s="769"/>
      <c r="P5" s="463"/>
      <c r="Q5" s="466"/>
      <c r="R5" s="769"/>
      <c r="S5" s="769"/>
      <c r="T5" s="770"/>
    </row>
    <row r="6" spans="1:38" ht="24.75" customHeight="1">
      <c r="D6" s="239" t="s">
        <v>7</v>
      </c>
      <c r="T6" s="771"/>
    </row>
    <row r="7" spans="1:38" ht="60">
      <c r="D7" s="16"/>
      <c r="E7" s="960" t="s">
        <v>8</v>
      </c>
      <c r="F7" s="961"/>
      <c r="G7" s="742" t="s">
        <v>186</v>
      </c>
      <c r="H7" s="742" t="s">
        <v>181</v>
      </c>
      <c r="I7" s="742" t="s">
        <v>9</v>
      </c>
      <c r="J7" s="327" t="s">
        <v>10</v>
      </c>
      <c r="K7" s="772" t="s">
        <v>11</v>
      </c>
      <c r="L7" s="754" t="s">
        <v>31</v>
      </c>
      <c r="M7" s="742" t="s">
        <v>13</v>
      </c>
      <c r="N7" s="773" t="s">
        <v>82</v>
      </c>
      <c r="O7" s="327" t="s">
        <v>192</v>
      </c>
      <c r="P7" s="742" t="s">
        <v>81</v>
      </c>
      <c r="Q7" s="774" t="s">
        <v>83</v>
      </c>
      <c r="R7" s="772" t="s">
        <v>14</v>
      </c>
      <c r="S7" s="742" t="s">
        <v>300</v>
      </c>
      <c r="T7" s="771"/>
      <c r="V7" s="436" t="s">
        <v>194</v>
      </c>
      <c r="X7" s="305" t="s">
        <v>316</v>
      </c>
      <c r="Y7" s="305" t="s">
        <v>308</v>
      </c>
      <c r="Z7" s="382" t="s">
        <v>318</v>
      </c>
      <c r="AA7" s="305" t="s">
        <v>182</v>
      </c>
      <c r="AB7" s="861" t="s">
        <v>315</v>
      </c>
      <c r="AC7" s="861" t="s">
        <v>220</v>
      </c>
      <c r="AD7" s="720" t="s">
        <v>413</v>
      </c>
      <c r="AE7" s="382" t="s">
        <v>414</v>
      </c>
      <c r="AF7" s="709" t="s">
        <v>415</v>
      </c>
      <c r="AG7" s="709" t="s">
        <v>416</v>
      </c>
      <c r="AH7" s="709" t="s">
        <v>426</v>
      </c>
      <c r="AI7" s="708" t="s">
        <v>300</v>
      </c>
      <c r="AJ7" s="709" t="s">
        <v>194</v>
      </c>
      <c r="AK7" s="382" t="s">
        <v>219</v>
      </c>
      <c r="AL7" s="382" t="s">
        <v>425</v>
      </c>
    </row>
    <row r="8" spans="1:38" ht="18" customHeight="1">
      <c r="D8" s="190"/>
      <c r="E8" s="827" t="s">
        <v>15</v>
      </c>
      <c r="F8" s="775"/>
      <c r="G8" s="776"/>
      <c r="H8" s="777"/>
      <c r="I8" s="777"/>
      <c r="J8" s="777"/>
      <c r="K8" s="777"/>
      <c r="L8" s="730"/>
      <c r="M8" s="733"/>
      <c r="N8" s="899" t="str">
        <f>IF(AND(COUNTBLANK(M8:M15)&lt;=3,COUNTA(M8:M15)=0),0,IF(SUM(M8:M15)=0,"",SUM(M8:M15)))</f>
        <v/>
      </c>
      <c r="O8" s="900"/>
      <c r="P8" s="736"/>
      <c r="Q8" s="899" t="str">
        <f>IF(AND(COUNTBLANK(P8:P15)&lt;=3,COUNTA(P8:P15)=0),0,IF(SUM(P8:P15)=0,"",SUM(P8:P15)))</f>
        <v/>
      </c>
      <c r="R8" s="778"/>
      <c r="S8" s="779"/>
      <c r="T8" s="771"/>
      <c r="V8" s="780"/>
      <c r="X8" s="224" t="s">
        <v>7</v>
      </c>
      <c r="Y8" s="177">
        <f>ROW()-ROW($Y$7)</f>
        <v>1</v>
      </c>
      <c r="Z8" s="177" t="str">
        <f>IF(AA8&lt;&gt;"//",COUNTA($AA$8:AA8)-COUNTIF($AA$8:AA8,"//"),"")</f>
        <v/>
      </c>
      <c r="AA8" s="177" t="str">
        <f t="shared" ref="AA8:AA39" si="0">IF(OR(G8="",G8="施設番号"),"//",G8)</f>
        <v>//</v>
      </c>
      <c r="AB8" s="177">
        <f ca="1">_xlfn.IFNA(IF(COUNTIF('4.1(2)新規再エネ導入予定(FS調査、系統接続検討状況)'!$G:$G,OFFSET($AA$1,MATCH($Y8,$Z:$Z,0)-1,0))=0,OFFSET($AA$1,MATCH($Y8,$Z:$Z,0)-1,0),""),"")</f>
        <v>0</v>
      </c>
      <c r="AC8" s="177">
        <f ca="1">_xlfn.IFNA(IF(COUNTIF('4.1(2)新規再エネ導入予定(合意形成)'!$G:$G,OFFSET($AA$1,MATCH($Y8,$Z:$Z,0)-1,0))=0,OFFSET($AA$1,MATCH($Y8,$Z:$Z,0)-1,0),""),"")</f>
        <v>0</v>
      </c>
      <c r="AD8" s="177" t="str">
        <f ca="1">_xlfn.IFNA(OFFSET('4.1(2)新規再エネ導入予定(FS調査、系統接続検討状況)'!$W$1,MATCH(G8,'4.1(2)新規再エネ導入予定(FS調査、系統接続検討状況)'!G:G,0)-1,0),"//")</f>
        <v>//</v>
      </c>
      <c r="AE8" s="264" t="str">
        <f ca="1">_xlfn.IFNA(OFFSET('4.1(2)新規再エネ導入予定(合意形成)'!$AJ$1,MATCH(G8,'4.1(2)新規再エネ導入予定(合意形成)'!G:G,0)-1,0),"//")</f>
        <v>//</v>
      </c>
      <c r="AF8" s="177">
        <f ca="1">IF(COUNTBLANK($AD8:$AE8)=0,MIN($AD8:$AE8),"")</f>
        <v>0</v>
      </c>
      <c r="AG8" s="217" t="str" cm="1">
        <f t="array" aca="1" ref="AG8" ca="1">IFERROR(_xlfn.IFS(COUNTIF($AB$8:$AC$167,G8)&gt;0,"",AF8&lt;=1,"D",AF8=2,"C",AF8=3,"B",AF8=4,"A"),"")</f>
        <v/>
      </c>
      <c r="AH8" s="177" t="str">
        <f ca="1">_xlfn.IFNA(OFFSET('4.1(2)新規再エネ導入予定(合意形成)'!$Z$1,MATCH($G8,'4.1(2)新規再エネ導入予定(合意形成)'!$G:$G,0)-1,0),"")</f>
        <v/>
      </c>
      <c r="AI8" s="217" t="str">
        <f t="shared" ref="AI8:AI39" si="1">IF(G8="","",AG8)</f>
        <v/>
      </c>
      <c r="AJ8" s="177" t="str">
        <f t="shared" ref="AJ8:AJ71" si="2">IF(D8="【その他発電】","",IF(H8&lt;&gt;"",1,""))</f>
        <v/>
      </c>
      <c r="AK8" s="224" t="str">
        <f>IF(V8&lt;&gt;1,"",SUM($V$8:V8))</f>
        <v/>
      </c>
      <c r="AL8" s="177">
        <f>IF(S8="設備導入の実現可能性",1,IF(AND(S8=AI8,V8=AJ8),1,0))</f>
        <v>1</v>
      </c>
    </row>
    <row r="9" spans="1:38" s="11" customFormat="1" ht="20" hidden="1">
      <c r="B9" s="21"/>
      <c r="C9" s="21"/>
      <c r="D9" s="36"/>
      <c r="E9" s="828"/>
      <c r="F9" s="781"/>
      <c r="G9" s="782"/>
      <c r="H9" s="783"/>
      <c r="I9" s="783"/>
      <c r="J9" s="784"/>
      <c r="K9" s="784"/>
      <c r="L9" s="901"/>
      <c r="M9" s="902"/>
      <c r="N9" s="737"/>
      <c r="O9" s="798"/>
      <c r="P9" s="902"/>
      <c r="Q9" s="737"/>
      <c r="R9" s="783"/>
      <c r="S9" s="785"/>
      <c r="T9" s="786"/>
      <c r="U9" s="116"/>
      <c r="V9" s="787"/>
      <c r="X9" s="127" t="s">
        <v>417</v>
      </c>
      <c r="Y9" s="257">
        <f t="shared" ref="Y9:Y70" si="3">ROW()-ROW($Y$7)</f>
        <v>2</v>
      </c>
      <c r="Z9" s="257" t="str">
        <f>IF(AA9&lt;&gt;"//",COUNTA($AA$8:AA9)-COUNTIF($AA$8:AA9,"//"),"")</f>
        <v/>
      </c>
      <c r="AA9" s="257" t="str">
        <f t="shared" si="0"/>
        <v>//</v>
      </c>
      <c r="AB9" s="257" t="str">
        <f ca="1">_xlfn.IFNA(IF(COUNTIF('4.1(2)新規再エネ導入予定(FS調査、系統接続検討状況)'!$G:$G,OFFSET($AA$1,MATCH($Y9,$Z:$Z,0)-1,0))=0,OFFSET($AA$1,MATCH($Y9,$Z:$Z,0)-1,0),""),"")</f>
        <v/>
      </c>
      <c r="AC9" s="257" t="str">
        <f ca="1">_xlfn.IFNA(IF(COUNTIF('4.1(2)新規再エネ導入予定(合意形成)'!$G:$G,OFFSET($AA$1,MATCH($Y9,$Z:$Z,0)-1,0))=0,OFFSET($AA$1,MATCH($Y9,$Z:$Z,0)-1,0),""),"")</f>
        <v/>
      </c>
      <c r="AD9" s="257" t="str">
        <f ca="1">_xlfn.IFNA(OFFSET('4.1(2)新規再エネ導入予定(FS調査、系統接続検討状況)'!$W$1,MATCH(G9,'4.1(2)新規再エネ導入予定(FS調査、系統接続検討状況)'!G:G,0)-1,0),"//")</f>
        <v>//</v>
      </c>
      <c r="AE9" s="279" t="str">
        <f ca="1">_xlfn.IFNA(OFFSET('4.1(2)新規再エネ導入予定(合意形成)'!$AJ$1,MATCH(G9,'4.1(2)新規再エネ導入予定(合意形成)'!G:G,0)-1,0),"//")</f>
        <v>//</v>
      </c>
      <c r="AF9" s="257">
        <f t="shared" ref="AF9:AF59" ca="1" si="4">IF(COUNTBLANK($AD9:$AE9)=0,MIN($AD9:$AE9),"")</f>
        <v>0</v>
      </c>
      <c r="AG9" s="131" t="str" cm="1">
        <f t="array" aca="1" ref="AG9" ca="1">IFERROR(_xlfn.IFS(COUNTIF($AB$8:$AC$167,G9)&gt;0,"",AF9&lt;=1,"D",AF9=2,"C",AF9=3,"B",AF9=4,"A"),"")</f>
        <v/>
      </c>
      <c r="AH9" s="257" t="str">
        <f ca="1">_xlfn.IFNA(OFFSET('4.1(2)新規再エネ導入予定(合意形成)'!$Z$1,MATCH($G9,'4.1(2)新規再エネ導入予定(合意形成)'!$G:$G,0)-1,0),"")</f>
        <v/>
      </c>
      <c r="AI9" s="131" t="str">
        <f t="shared" si="1"/>
        <v/>
      </c>
      <c r="AJ9" s="257" t="str">
        <f t="shared" si="2"/>
        <v/>
      </c>
      <c r="AK9" s="127" t="str">
        <f>IF(V9&lt;&gt;1,"",SUM($V$8:V9))</f>
        <v/>
      </c>
      <c r="AL9" s="257">
        <f t="shared" ref="AL9:AL72" si="5">IF(S9="設備導入の実現可能性",1,IF(AND(S9=AI9,V9=AJ9),1,0))</f>
        <v>1</v>
      </c>
    </row>
    <row r="10" spans="1:38" s="11" customFormat="1" ht="20">
      <c r="B10" s="21"/>
      <c r="C10" s="21"/>
      <c r="D10" s="36"/>
      <c r="E10" s="828"/>
      <c r="F10" s="788"/>
      <c r="G10" s="789"/>
      <c r="H10" s="790"/>
      <c r="I10" s="790"/>
      <c r="J10" s="791"/>
      <c r="K10" s="791"/>
      <c r="L10" s="903"/>
      <c r="M10" s="904"/>
      <c r="N10" s="738"/>
      <c r="O10" s="795"/>
      <c r="P10" s="904"/>
      <c r="Q10" s="738"/>
      <c r="R10" s="792"/>
      <c r="S10" s="793" t="str">
        <f t="shared" ref="S10:S41" si="6">IF(G10="","",AG10)</f>
        <v/>
      </c>
      <c r="T10" s="786"/>
      <c r="U10" s="116"/>
      <c r="V10" s="794" t="str">
        <f t="shared" ref="V10" si="7">IF(H10&lt;&gt;"",1,"")</f>
        <v/>
      </c>
      <c r="X10" s="127" t="s">
        <v>417</v>
      </c>
      <c r="Y10" s="257">
        <f t="shared" si="3"/>
        <v>3</v>
      </c>
      <c r="Z10" s="257" t="str">
        <f>IF(AA10&lt;&gt;"//",COUNTA($AA$8:AA10)-COUNTIF($AA$8:AA10,"//"),"")</f>
        <v/>
      </c>
      <c r="AA10" s="257" t="str">
        <f t="shared" si="0"/>
        <v>//</v>
      </c>
      <c r="AB10" s="257" t="str">
        <f ca="1">_xlfn.IFNA(IF(COUNTIF('4.1(2)新規再エネ導入予定(FS調査、系統接続検討状況)'!$G:$G,OFFSET($AA$1,MATCH($Y10,$Z:$Z,0)-1,0))=0,OFFSET($AA$1,MATCH($Y10,$Z:$Z,0)-1,0),""),"")</f>
        <v/>
      </c>
      <c r="AC10" s="257" t="str">
        <f ca="1">_xlfn.IFNA(IF(COUNTIF('4.1(2)新規再エネ導入予定(合意形成)'!$G:$G,OFFSET($AA$1,MATCH($Y10,$Z:$Z,0)-1,0))=0,OFFSET($AA$1,MATCH($Y10,$Z:$Z,0)-1,0),""),"")</f>
        <v/>
      </c>
      <c r="AD10" s="257" t="str">
        <f ca="1">_xlfn.IFNA(OFFSET('4.1(2)新規再エネ導入予定(FS調査、系統接続検討状況)'!$W$1,MATCH(G10,'4.1(2)新規再エネ導入予定(FS調査、系統接続検討状況)'!G:G,0)-1,0),"//")</f>
        <v>//</v>
      </c>
      <c r="AE10" s="279" t="str">
        <f ca="1">_xlfn.IFNA(OFFSET('4.1(2)新規再エネ導入予定(合意形成)'!$AJ$1,MATCH(G10,'4.1(2)新規再エネ導入予定(合意形成)'!G:G,0)-1,0),"//")</f>
        <v>//</v>
      </c>
      <c r="AF10" s="257">
        <f t="shared" ca="1" si="4"/>
        <v>0</v>
      </c>
      <c r="AG10" s="131" t="str" cm="1">
        <f t="array" aca="1" ref="AG10" ca="1">IFERROR(_xlfn.IFS(COUNTIF($AB$8:$AC$167,G10)&gt;0,"",AF10&lt;=1,"D",AF10=2,"C",AF10=3,"B",AF10=4,"A"),"")</f>
        <v/>
      </c>
      <c r="AH10" s="257" t="str">
        <f ca="1">_xlfn.IFNA(OFFSET('4.1(2)新規再エネ導入予定(合意形成)'!$Z$1,MATCH($G10,'4.1(2)新規再エネ導入予定(合意形成)'!$G:$G,0)-1,0),"")</f>
        <v/>
      </c>
      <c r="AI10" s="131" t="str">
        <f t="shared" si="1"/>
        <v/>
      </c>
      <c r="AJ10" s="257" t="str">
        <f t="shared" si="2"/>
        <v/>
      </c>
      <c r="AK10" s="127" t="str">
        <f>IF(V10&lt;&gt;1,"",SUM($V$8:V10))</f>
        <v/>
      </c>
      <c r="AL10" s="257">
        <f t="shared" si="5"/>
        <v>1</v>
      </c>
    </row>
    <row r="11" spans="1:38" s="11" customFormat="1" ht="20">
      <c r="B11" s="21"/>
      <c r="C11" s="21"/>
      <c r="D11" s="36"/>
      <c r="E11" s="828"/>
      <c r="F11" s="788"/>
      <c r="G11" s="789"/>
      <c r="H11" s="790"/>
      <c r="I11" s="790"/>
      <c r="J11" s="791"/>
      <c r="K11" s="791"/>
      <c r="L11" s="903"/>
      <c r="M11" s="904"/>
      <c r="N11" s="738"/>
      <c r="O11" s="795"/>
      <c r="P11" s="904"/>
      <c r="Q11" s="738"/>
      <c r="R11" s="792"/>
      <c r="S11" s="793" t="str">
        <f t="shared" si="6"/>
        <v/>
      </c>
      <c r="T11" s="786"/>
      <c r="U11" s="116"/>
      <c r="V11" s="794" t="str">
        <f>IF(H11&lt;&gt;"",1,"")</f>
        <v/>
      </c>
      <c r="X11" s="127" t="s">
        <v>417</v>
      </c>
      <c r="Y11" s="257">
        <f t="shared" si="3"/>
        <v>4</v>
      </c>
      <c r="Z11" s="257" t="str">
        <f>IF(AA11&lt;&gt;"//",COUNTA($AA$8:AA11)-COUNTIF($AA$8:AA11,"//"),"")</f>
        <v/>
      </c>
      <c r="AA11" s="257" t="str">
        <f t="shared" si="0"/>
        <v>//</v>
      </c>
      <c r="AB11" s="257" t="str">
        <f ca="1">_xlfn.IFNA(IF(COUNTIF('4.1(2)新規再エネ導入予定(FS調査、系統接続検討状況)'!$G:$G,OFFSET($AA$1,MATCH($Y11,$Z:$Z,0)-1,0))=0,OFFSET($AA$1,MATCH($Y11,$Z:$Z,0)-1,0),""),"")</f>
        <v/>
      </c>
      <c r="AC11" s="257" t="str">
        <f ca="1">_xlfn.IFNA(IF(COUNTIF('4.1(2)新規再エネ導入予定(合意形成)'!$G:$G,OFFSET($AA$1,MATCH($Y11,$Z:$Z,0)-1,0))=0,OFFSET($AA$1,MATCH($Y11,$Z:$Z,0)-1,0),""),"")</f>
        <v/>
      </c>
      <c r="AD11" s="257" t="str">
        <f ca="1">_xlfn.IFNA(OFFSET('4.1(2)新規再エネ導入予定(FS調査、系統接続検討状況)'!$W$1,MATCH(G11,'4.1(2)新規再エネ導入予定(FS調査、系統接続検討状況)'!G:G,0)-1,0),"//")</f>
        <v>//</v>
      </c>
      <c r="AE11" s="279" t="str">
        <f ca="1">_xlfn.IFNA(OFFSET('4.1(2)新規再エネ導入予定(合意形成)'!$AJ$1,MATCH(G11,'4.1(2)新規再エネ導入予定(合意形成)'!G:G,0)-1,0),"//")</f>
        <v>//</v>
      </c>
      <c r="AF11" s="257">
        <f t="shared" ca="1" si="4"/>
        <v>0</v>
      </c>
      <c r="AG11" s="131" t="str" cm="1">
        <f t="array" aca="1" ref="AG11" ca="1">IFERROR(_xlfn.IFS(COUNTIF($AB$8:$AC$167,G11)&gt;0,"",AF11&lt;=1,"D",AF11=2,"C",AF11=3,"B",AF11=4,"A"),"")</f>
        <v/>
      </c>
      <c r="AH11" s="257" t="str">
        <f ca="1">_xlfn.IFNA(OFFSET('4.1(2)新規再エネ導入予定(合意形成)'!$Z$1,MATCH($G11,'4.1(2)新規再エネ導入予定(合意形成)'!$G:$G,0)-1,0),"")</f>
        <v/>
      </c>
      <c r="AI11" s="131" t="str">
        <f t="shared" si="1"/>
        <v/>
      </c>
      <c r="AJ11" s="257" t="str">
        <f t="shared" si="2"/>
        <v/>
      </c>
      <c r="AK11" s="127" t="str">
        <f>IF(V11&lt;&gt;1,"",SUM($V$8:V11))</f>
        <v/>
      </c>
      <c r="AL11" s="257">
        <f t="shared" si="5"/>
        <v>1</v>
      </c>
    </row>
    <row r="12" spans="1:38" s="11" customFormat="1" ht="20">
      <c r="B12" s="21"/>
      <c r="C12" s="21"/>
      <c r="D12" s="36"/>
      <c r="E12" s="828"/>
      <c r="F12" s="788"/>
      <c r="G12" s="789"/>
      <c r="H12" s="790"/>
      <c r="I12" s="790"/>
      <c r="J12" s="791"/>
      <c r="K12" s="791"/>
      <c r="L12" s="903"/>
      <c r="M12" s="904"/>
      <c r="N12" s="738"/>
      <c r="O12" s="795"/>
      <c r="P12" s="904"/>
      <c r="Q12" s="738"/>
      <c r="R12" s="795"/>
      <c r="S12" s="793" t="str">
        <f t="shared" si="6"/>
        <v/>
      </c>
      <c r="T12" s="786"/>
      <c r="U12" s="116"/>
      <c r="V12" s="794" t="str">
        <f>IF(H12&lt;&gt;"",1,"")</f>
        <v/>
      </c>
      <c r="X12" s="127" t="s">
        <v>417</v>
      </c>
      <c r="Y12" s="257">
        <f t="shared" si="3"/>
        <v>5</v>
      </c>
      <c r="Z12" s="257" t="str">
        <f>IF(AA12&lt;&gt;"//",COUNTA($AA$8:AA12)-COUNTIF($AA$8:AA12,"//"),"")</f>
        <v/>
      </c>
      <c r="AA12" s="257" t="str">
        <f t="shared" si="0"/>
        <v>//</v>
      </c>
      <c r="AB12" s="257" t="str">
        <f ca="1">_xlfn.IFNA(IF(COUNTIF('4.1(2)新規再エネ導入予定(FS調査、系統接続検討状況)'!$G:$G,OFFSET($AA$1,MATCH($Y12,$Z:$Z,0)-1,0))=0,OFFSET($AA$1,MATCH($Y12,$Z:$Z,0)-1,0),""),"")</f>
        <v/>
      </c>
      <c r="AC12" s="257" t="str">
        <f ca="1">_xlfn.IFNA(IF(COUNTIF('4.1(2)新規再エネ導入予定(合意形成)'!$G:$G,OFFSET($AA$1,MATCH($Y12,$Z:$Z,0)-1,0))=0,OFFSET($AA$1,MATCH($Y12,$Z:$Z,0)-1,0),""),"")</f>
        <v/>
      </c>
      <c r="AD12" s="257" t="str">
        <f ca="1">_xlfn.IFNA(OFFSET('4.1(2)新規再エネ導入予定(FS調査、系統接続検討状況)'!$W$1,MATCH(G12,'4.1(2)新規再エネ導入予定(FS調査、系統接続検討状況)'!G:G,0)-1,0),"//")</f>
        <v>//</v>
      </c>
      <c r="AE12" s="279" t="str">
        <f ca="1">_xlfn.IFNA(OFFSET('4.1(2)新規再エネ導入予定(合意形成)'!$AJ$1,MATCH(G12,'4.1(2)新規再エネ導入予定(合意形成)'!G:G,0)-1,0),"//")</f>
        <v>//</v>
      </c>
      <c r="AF12" s="257">
        <f t="shared" ca="1" si="4"/>
        <v>0</v>
      </c>
      <c r="AG12" s="131" t="str" cm="1">
        <f t="array" aca="1" ref="AG12" ca="1">IFERROR(_xlfn.IFS(COUNTIF($AB$8:$AC$167,G12)&gt;0,"",AF12&lt;=1,"D",AF12=2,"C",AF12=3,"B",AF12=4,"A"),"")</f>
        <v/>
      </c>
      <c r="AH12" s="257" t="str">
        <f ca="1">_xlfn.IFNA(OFFSET('4.1(2)新規再エネ導入予定(合意形成)'!$Z$1,MATCH($G12,'4.1(2)新規再エネ導入予定(合意形成)'!$G:$G,0)-1,0),"")</f>
        <v/>
      </c>
      <c r="AI12" s="131" t="str">
        <f t="shared" si="1"/>
        <v/>
      </c>
      <c r="AJ12" s="257" t="str">
        <f t="shared" si="2"/>
        <v/>
      </c>
      <c r="AK12" s="127" t="str">
        <f>IF(V12&lt;&gt;1,"",SUM($V$8:V12))</f>
        <v/>
      </c>
      <c r="AL12" s="257">
        <f t="shared" si="5"/>
        <v>1</v>
      </c>
    </row>
    <row r="13" spans="1:38" s="11" customFormat="1" ht="20">
      <c r="B13" s="21"/>
      <c r="C13" s="21"/>
      <c r="D13" s="36"/>
      <c r="E13" s="828"/>
      <c r="F13" s="788"/>
      <c r="G13" s="789"/>
      <c r="H13" s="790"/>
      <c r="I13" s="790"/>
      <c r="J13" s="791"/>
      <c r="K13" s="791"/>
      <c r="L13" s="903"/>
      <c r="M13" s="904"/>
      <c r="N13" s="738"/>
      <c r="O13" s="795"/>
      <c r="P13" s="904"/>
      <c r="Q13" s="738"/>
      <c r="R13" s="795"/>
      <c r="S13" s="793" t="str">
        <f t="shared" si="6"/>
        <v/>
      </c>
      <c r="T13" s="786"/>
      <c r="U13" s="116"/>
      <c r="V13" s="794" t="str">
        <f t="shared" ref="V13:V69" si="8">IF(H13&lt;&gt;"",1,"")</f>
        <v/>
      </c>
      <c r="X13" s="127" t="s">
        <v>417</v>
      </c>
      <c r="Y13" s="257">
        <f t="shared" si="3"/>
        <v>6</v>
      </c>
      <c r="Z13" s="257" t="str">
        <f>IF(AA13&lt;&gt;"//",COUNTA($AA$8:AA13)-COUNTIF($AA$8:AA13,"//"),"")</f>
        <v/>
      </c>
      <c r="AA13" s="257" t="str">
        <f t="shared" si="0"/>
        <v>//</v>
      </c>
      <c r="AB13" s="257" t="str">
        <f ca="1">_xlfn.IFNA(IF(COUNTIF('4.1(2)新規再エネ導入予定(FS調査、系統接続検討状況)'!$G:$G,OFFSET($AA$1,MATCH($Y13,$Z:$Z,0)-1,0))=0,OFFSET($AA$1,MATCH($Y13,$Z:$Z,0)-1,0),""),"")</f>
        <v/>
      </c>
      <c r="AC13" s="257" t="str">
        <f ca="1">_xlfn.IFNA(IF(COUNTIF('4.1(2)新規再エネ導入予定(合意形成)'!$G:$G,OFFSET($AA$1,MATCH($Y13,$Z:$Z,0)-1,0))=0,OFFSET($AA$1,MATCH($Y13,$Z:$Z,0)-1,0),""),"")</f>
        <v/>
      </c>
      <c r="AD13" s="257" t="str">
        <f ca="1">_xlfn.IFNA(OFFSET('4.1(2)新規再エネ導入予定(FS調査、系統接続検討状況)'!$W$1,MATCH(G13,'4.1(2)新規再エネ導入予定(FS調査、系統接続検討状況)'!G:G,0)-1,0),"//")</f>
        <v>//</v>
      </c>
      <c r="AE13" s="279" t="str">
        <f ca="1">_xlfn.IFNA(OFFSET('4.1(2)新規再エネ導入予定(合意形成)'!$AJ$1,MATCH(G13,'4.1(2)新規再エネ導入予定(合意形成)'!G:G,0)-1,0),"//")</f>
        <v>//</v>
      </c>
      <c r="AF13" s="257">
        <f t="shared" ca="1" si="4"/>
        <v>0</v>
      </c>
      <c r="AG13" s="131" t="str" cm="1">
        <f t="array" aca="1" ref="AG13" ca="1">IFERROR(_xlfn.IFS(COUNTIF($AB$8:$AC$167,G13)&gt;0,"",AF13&lt;=1,"D",AF13=2,"C",AF13=3,"B",AF13=4,"A"),"")</f>
        <v/>
      </c>
      <c r="AH13" s="257" t="str">
        <f ca="1">_xlfn.IFNA(OFFSET('4.1(2)新規再エネ導入予定(合意形成)'!$Z$1,MATCH($G13,'4.1(2)新規再エネ導入予定(合意形成)'!$G:$G,0)-1,0),"")</f>
        <v/>
      </c>
      <c r="AI13" s="131" t="str">
        <f t="shared" si="1"/>
        <v/>
      </c>
      <c r="AJ13" s="257" t="str">
        <f t="shared" si="2"/>
        <v/>
      </c>
      <c r="AK13" s="127" t="str">
        <f>IF(V13&lt;&gt;1,"",SUM($V$8:V13))</f>
        <v/>
      </c>
      <c r="AL13" s="257">
        <f t="shared" si="5"/>
        <v>1</v>
      </c>
    </row>
    <row r="14" spans="1:38" s="11" customFormat="1" ht="20">
      <c r="B14" s="21"/>
      <c r="C14" s="21"/>
      <c r="D14" s="36"/>
      <c r="E14" s="828"/>
      <c r="F14" s="788"/>
      <c r="G14" s="789"/>
      <c r="H14" s="790"/>
      <c r="I14" s="790"/>
      <c r="J14" s="791"/>
      <c r="K14" s="791"/>
      <c r="L14" s="903"/>
      <c r="M14" s="904"/>
      <c r="N14" s="738"/>
      <c r="O14" s="795"/>
      <c r="P14" s="904"/>
      <c r="Q14" s="738"/>
      <c r="R14" s="792"/>
      <c r="S14" s="793" t="str">
        <f t="shared" si="6"/>
        <v/>
      </c>
      <c r="T14" s="786"/>
      <c r="U14" s="116"/>
      <c r="V14" s="794" t="str">
        <f t="shared" si="8"/>
        <v/>
      </c>
      <c r="X14" s="127" t="s">
        <v>417</v>
      </c>
      <c r="Y14" s="257">
        <f t="shared" si="3"/>
        <v>7</v>
      </c>
      <c r="Z14" s="257" t="str">
        <f>IF(AA14&lt;&gt;"//",COUNTA($AA$8:AA14)-COUNTIF($AA$8:AA14,"//"),"")</f>
        <v/>
      </c>
      <c r="AA14" s="257" t="str">
        <f t="shared" si="0"/>
        <v>//</v>
      </c>
      <c r="AB14" s="257" t="str">
        <f ca="1">_xlfn.IFNA(IF(COUNTIF('4.1(2)新規再エネ導入予定(FS調査、系統接続検討状況)'!$G:$G,OFFSET($AA$1,MATCH($Y14,$Z:$Z,0)-1,0))=0,OFFSET($AA$1,MATCH($Y14,$Z:$Z,0)-1,0),""),"")</f>
        <v/>
      </c>
      <c r="AC14" s="257" t="str">
        <f ca="1">_xlfn.IFNA(IF(COUNTIF('4.1(2)新規再エネ導入予定(合意形成)'!$G:$G,OFFSET($AA$1,MATCH($Y14,$Z:$Z,0)-1,0))=0,OFFSET($AA$1,MATCH($Y14,$Z:$Z,0)-1,0),""),"")</f>
        <v/>
      </c>
      <c r="AD14" s="257" t="str">
        <f ca="1">_xlfn.IFNA(OFFSET('4.1(2)新規再エネ導入予定(FS調査、系統接続検討状況)'!$W$1,MATCH(G14,'4.1(2)新規再エネ導入予定(FS調査、系統接続検討状況)'!G:G,0)-1,0),"//")</f>
        <v>//</v>
      </c>
      <c r="AE14" s="279" t="str">
        <f ca="1">_xlfn.IFNA(OFFSET('4.1(2)新規再エネ導入予定(合意形成)'!$AJ$1,MATCH(G14,'4.1(2)新規再エネ導入予定(合意形成)'!G:G,0)-1,0),"//")</f>
        <v>//</v>
      </c>
      <c r="AF14" s="257">
        <f t="shared" ca="1" si="4"/>
        <v>0</v>
      </c>
      <c r="AG14" s="131" t="str" cm="1">
        <f t="array" aca="1" ref="AG14" ca="1">IFERROR(_xlfn.IFS(COUNTIF($AB$8:$AC$167,G14)&gt;0,"",AF14&lt;=1,"D",AF14=2,"C",AF14=3,"B",AF14=4,"A"),"")</f>
        <v/>
      </c>
      <c r="AH14" s="257" t="str">
        <f ca="1">_xlfn.IFNA(OFFSET('4.1(2)新規再エネ導入予定(合意形成)'!$Z$1,MATCH($G14,'4.1(2)新規再エネ導入予定(合意形成)'!$G:$G,0)-1,0),"")</f>
        <v/>
      </c>
      <c r="AI14" s="131" t="str">
        <f t="shared" si="1"/>
        <v/>
      </c>
      <c r="AJ14" s="257" t="str">
        <f t="shared" si="2"/>
        <v/>
      </c>
      <c r="AK14" s="127" t="str">
        <f>IF(V14&lt;&gt;1,"",SUM($V$8:V14))</f>
        <v/>
      </c>
      <c r="AL14" s="257">
        <f t="shared" si="5"/>
        <v>1</v>
      </c>
    </row>
    <row r="15" spans="1:38" ht="20">
      <c r="D15" s="190"/>
      <c r="E15" s="829" t="s">
        <v>16</v>
      </c>
      <c r="F15" s="796"/>
      <c r="G15" s="776"/>
      <c r="H15" s="777"/>
      <c r="I15" s="777"/>
      <c r="J15" s="777"/>
      <c r="K15" s="777"/>
      <c r="L15" s="730"/>
      <c r="M15" s="733"/>
      <c r="N15" s="899" t="str">
        <f>IF(AND(COUNTBLANK(M15:M22)&lt;=3,COUNTA(M15:M22)=0),0,IF(SUM(M15:M22)=0,"",SUM(M15:M22)))</f>
        <v/>
      </c>
      <c r="O15" s="905"/>
      <c r="P15" s="736"/>
      <c r="Q15" s="899" t="str">
        <f>IF(AND(COUNTBLANK(P15:P22)&lt;=3,COUNTA(P15:P22)=0),0,IF(SUM(P15:P22)=0,"",SUM(P15:P22)))</f>
        <v/>
      </c>
      <c r="R15" s="778"/>
      <c r="S15" s="779" t="str">
        <f t="shared" si="6"/>
        <v/>
      </c>
      <c r="T15" s="771"/>
      <c r="V15" s="797"/>
      <c r="X15" s="224" t="s">
        <v>417</v>
      </c>
      <c r="Y15" s="177">
        <f t="shared" si="3"/>
        <v>8</v>
      </c>
      <c r="Z15" s="177" t="str">
        <f>IF(AA15&lt;&gt;"//",COUNTA($AA$8:AA15)-COUNTIF($AA$8:AA15,"//"),"")</f>
        <v/>
      </c>
      <c r="AA15" s="177" t="str">
        <f t="shared" si="0"/>
        <v>//</v>
      </c>
      <c r="AB15" s="177" t="str">
        <f ca="1">_xlfn.IFNA(IF(COUNTIF('4.1(2)新規再エネ導入予定(FS調査、系統接続検討状況)'!$G:$G,OFFSET($AA$1,MATCH($Y15,$Z:$Z,0)-1,0))=0,OFFSET($AA$1,MATCH($Y15,$Z:$Z,0)-1,0),""),"")</f>
        <v/>
      </c>
      <c r="AC15" s="177" t="str">
        <f ca="1">_xlfn.IFNA(IF(COUNTIF('4.1(2)新規再エネ導入予定(合意形成)'!$G:$G,OFFSET($AA$7,MATCH($Y15,$Z$8:$Z$167,0),0))=0,OFFSET($AA$7,MATCH($Y15,$Z$8:$Z$167,0),0),""),"")</f>
        <v/>
      </c>
      <c r="AD15" s="177" t="str">
        <f ca="1">_xlfn.IFNA(OFFSET('4.1(2)新規再エネ導入予定(FS調査、系統接続検討状況)'!$W$1,MATCH(G15,'4.1(2)新規再エネ導入予定(FS調査、系統接続検討状況)'!G:G,0)-1,0),"//")</f>
        <v>//</v>
      </c>
      <c r="AE15" s="264" t="str">
        <f ca="1">_xlfn.IFNA(OFFSET('4.1(2)新規再エネ導入予定(合意形成)'!$AJ$1,MATCH(G15,'4.1(2)新規再エネ導入予定(合意形成)'!G:G,0)-1,0),"//")</f>
        <v>//</v>
      </c>
      <c r="AF15" s="177">
        <f t="shared" ca="1" si="4"/>
        <v>0</v>
      </c>
      <c r="AG15" s="217" t="str" cm="1">
        <f t="array" aca="1" ref="AG15" ca="1">IFERROR(_xlfn.IFS(COUNTIF($AB$8:$AC$167,G15)&gt;0,"",AF15&lt;=1,"D",AF15=2,"C",AF15=3,"B",AF15=4,"A"),"")</f>
        <v/>
      </c>
      <c r="AH15" s="177" t="str">
        <f ca="1">_xlfn.IFNA(OFFSET('4.1(2)新規再エネ導入予定(合意形成)'!$Z$1,MATCH($G15,'4.1(2)新規再エネ導入予定(合意形成)'!$G:$G,0)-1,0),"")</f>
        <v/>
      </c>
      <c r="AI15" s="217" t="str">
        <f t="shared" si="1"/>
        <v/>
      </c>
      <c r="AJ15" s="177" t="str">
        <f t="shared" si="2"/>
        <v/>
      </c>
      <c r="AK15" s="224" t="str">
        <f>IF(V15&lt;&gt;1,"",SUM($V$8:V15))</f>
        <v/>
      </c>
      <c r="AL15" s="177">
        <f t="shared" si="5"/>
        <v>1</v>
      </c>
    </row>
    <row r="16" spans="1:38" s="11" customFormat="1" ht="20" hidden="1">
      <c r="B16" s="21"/>
      <c r="C16" s="21"/>
      <c r="D16" s="36"/>
      <c r="E16" s="828"/>
      <c r="F16" s="781"/>
      <c r="G16" s="782"/>
      <c r="H16" s="783"/>
      <c r="I16" s="783"/>
      <c r="J16" s="784"/>
      <c r="K16" s="784"/>
      <c r="L16" s="901"/>
      <c r="M16" s="902"/>
      <c r="N16" s="737"/>
      <c r="O16" s="798"/>
      <c r="P16" s="902"/>
      <c r="Q16" s="737"/>
      <c r="R16" s="798"/>
      <c r="S16" s="785" t="str">
        <f t="shared" si="6"/>
        <v/>
      </c>
      <c r="T16" s="786"/>
      <c r="U16" s="116"/>
      <c r="V16" s="787"/>
      <c r="X16" s="127" t="s">
        <v>417</v>
      </c>
      <c r="Y16" s="257">
        <f t="shared" si="3"/>
        <v>9</v>
      </c>
      <c r="Z16" s="257" t="str">
        <f>IF(AA16&lt;&gt;"//",COUNTA($AA$8:AA16)-COUNTIF($AA$8:AA16,"//"),"")</f>
        <v/>
      </c>
      <c r="AA16" s="257" t="str">
        <f t="shared" si="0"/>
        <v>//</v>
      </c>
      <c r="AB16" s="257" t="str">
        <f ca="1">_xlfn.IFNA(IF(COUNTIF('4.1(2)新規再エネ導入予定(FS調査、系統接続検討状況)'!$G:$G,OFFSET($AA$1,MATCH($Y16,$Z:$Z,0)-1,0))=0,OFFSET($AA$1,MATCH($Y16,$Z:$Z,0)-1,0),""),"")</f>
        <v/>
      </c>
      <c r="AC16" s="257" t="str">
        <f ca="1">_xlfn.IFNA(IF(COUNTIF('4.1(2)新規再エネ導入予定(合意形成)'!$G:$G,OFFSET($AA$7,MATCH($Y16,$Z$8:$Z$167,0),0))=0,OFFSET($AA$7,MATCH($Y16,$Z$8:$Z$167,0),0),""),"")</f>
        <v/>
      </c>
      <c r="AD16" s="257" t="str">
        <f ca="1">_xlfn.IFNA(OFFSET('4.1(2)新規再エネ導入予定(FS調査、系統接続検討状況)'!$W$1,MATCH(G16,'4.1(2)新規再エネ導入予定(FS調査、系統接続検討状況)'!G:G,0)-1,0),"//")</f>
        <v>//</v>
      </c>
      <c r="AE16" s="279" t="str">
        <f ca="1">_xlfn.IFNA(OFFSET('4.1(2)新規再エネ導入予定(合意形成)'!$AJ$1,MATCH(G16,'4.1(2)新規再エネ導入予定(合意形成)'!G:G,0)-1,0),"//")</f>
        <v>//</v>
      </c>
      <c r="AF16" s="257">
        <f t="shared" ca="1" si="4"/>
        <v>0</v>
      </c>
      <c r="AG16" s="131" t="str" cm="1">
        <f t="array" aca="1" ref="AG16" ca="1">IFERROR(_xlfn.IFS(COUNTIF($AB$8:$AC$167,G16)&gt;0,"",AF16&lt;=1,"D",AF16=2,"C",AF16=3,"B",AF16=4,"A"),"")</f>
        <v/>
      </c>
      <c r="AH16" s="257" t="str">
        <f ca="1">_xlfn.IFNA(OFFSET('4.1(2)新規再エネ導入予定(合意形成)'!$Z$1,MATCH($G16,'4.1(2)新規再エネ導入予定(合意形成)'!$G:$G,0)-1,0),"")</f>
        <v/>
      </c>
      <c r="AI16" s="131" t="str">
        <f t="shared" si="1"/>
        <v/>
      </c>
      <c r="AJ16" s="257" t="str">
        <f t="shared" si="2"/>
        <v/>
      </c>
      <c r="AK16" s="127" t="str">
        <f>IF(V16&lt;&gt;1,"",SUM($V$8:V16))</f>
        <v/>
      </c>
      <c r="AL16" s="257">
        <f t="shared" si="5"/>
        <v>1</v>
      </c>
    </row>
    <row r="17" spans="2:38" s="11" customFormat="1" ht="20">
      <c r="B17" s="21"/>
      <c r="C17" s="21"/>
      <c r="D17" s="36"/>
      <c r="E17" s="828"/>
      <c r="F17" s="788"/>
      <c r="G17" s="789"/>
      <c r="H17" s="790"/>
      <c r="I17" s="790"/>
      <c r="J17" s="791"/>
      <c r="K17" s="791"/>
      <c r="L17" s="731"/>
      <c r="M17" s="904"/>
      <c r="N17" s="738"/>
      <c r="O17" s="795"/>
      <c r="P17" s="904"/>
      <c r="Q17" s="738"/>
      <c r="R17" s="795"/>
      <c r="S17" s="793" t="str">
        <f t="shared" si="6"/>
        <v/>
      </c>
      <c r="T17" s="786"/>
      <c r="U17" s="116"/>
      <c r="V17" s="794" t="str">
        <f t="shared" si="8"/>
        <v/>
      </c>
      <c r="X17" s="127" t="s">
        <v>417</v>
      </c>
      <c r="Y17" s="257">
        <f t="shared" si="3"/>
        <v>10</v>
      </c>
      <c r="Z17" s="257" t="str">
        <f>IF(AA17&lt;&gt;"//",COUNTA($AA$8:AA17)-COUNTIF($AA$8:AA17,"//"),"")</f>
        <v/>
      </c>
      <c r="AA17" s="257" t="str">
        <f t="shared" si="0"/>
        <v>//</v>
      </c>
      <c r="AB17" s="257" t="str">
        <f ca="1">_xlfn.IFNA(IF(COUNTIF('4.1(2)新規再エネ導入予定(FS調査、系統接続検討状況)'!$G:$G,OFFSET($AA$1,MATCH($Y17,$Z:$Z,0)-1,0))=0,OFFSET($AA$1,MATCH($Y17,$Z:$Z,0)-1,0),""),"")</f>
        <v/>
      </c>
      <c r="AC17" s="257" t="str">
        <f ca="1">_xlfn.IFNA(IF(COUNTIF('4.1(2)新規再エネ導入予定(合意形成)'!$G:$G,OFFSET($AA$7,MATCH($Y17,$Z$8:$Z$167,0),0))=0,OFFSET($AA$7,MATCH($Y17,$Z$8:$Z$167,0),0),""),"")</f>
        <v/>
      </c>
      <c r="AD17" s="257" t="str">
        <f ca="1">_xlfn.IFNA(OFFSET('4.1(2)新規再エネ導入予定(FS調査、系統接続検討状況)'!$W$1,MATCH(G17,'4.1(2)新規再エネ導入予定(FS調査、系統接続検討状況)'!G:G,0)-1,0),"//")</f>
        <v>//</v>
      </c>
      <c r="AE17" s="279" t="str">
        <f ca="1">_xlfn.IFNA(OFFSET('4.1(2)新規再エネ導入予定(合意形成)'!$AJ$1,MATCH(G17,'4.1(2)新規再エネ導入予定(合意形成)'!G:G,0)-1,0),"//")</f>
        <v>//</v>
      </c>
      <c r="AF17" s="257">
        <f t="shared" ca="1" si="4"/>
        <v>0</v>
      </c>
      <c r="AG17" s="131" t="str" cm="1">
        <f t="array" aca="1" ref="AG17" ca="1">IFERROR(_xlfn.IFS(COUNTIF($AB$8:$AC$167,G17)&gt;0,"",AF17&lt;=1,"D",AF17=2,"C",AF17=3,"B",AF17=4,"A"),"")</f>
        <v/>
      </c>
      <c r="AH17" s="257" t="str">
        <f ca="1">_xlfn.IFNA(OFFSET('4.1(2)新規再エネ導入予定(合意形成)'!$Z$1,MATCH($G17,'4.1(2)新規再エネ導入予定(合意形成)'!$G:$G,0)-1,0),"")</f>
        <v/>
      </c>
      <c r="AI17" s="131" t="str">
        <f t="shared" si="1"/>
        <v/>
      </c>
      <c r="AJ17" s="257" t="str">
        <f t="shared" si="2"/>
        <v/>
      </c>
      <c r="AK17" s="127" t="str">
        <f>IF(V17&lt;&gt;1,"",SUM($V$8:V17))</f>
        <v/>
      </c>
      <c r="AL17" s="257">
        <f t="shared" si="5"/>
        <v>1</v>
      </c>
    </row>
    <row r="18" spans="2:38" s="11" customFormat="1" ht="20">
      <c r="B18" s="21"/>
      <c r="C18" s="21"/>
      <c r="D18" s="36"/>
      <c r="E18" s="828"/>
      <c r="F18" s="788"/>
      <c r="G18" s="789"/>
      <c r="H18" s="790"/>
      <c r="I18" s="790"/>
      <c r="J18" s="791"/>
      <c r="K18" s="791"/>
      <c r="L18" s="731"/>
      <c r="M18" s="904"/>
      <c r="N18" s="738"/>
      <c r="O18" s="795"/>
      <c r="P18" s="904"/>
      <c r="Q18" s="738"/>
      <c r="R18" s="795"/>
      <c r="S18" s="793" t="str">
        <f t="shared" si="6"/>
        <v/>
      </c>
      <c r="T18" s="786"/>
      <c r="U18" s="116"/>
      <c r="V18" s="794" t="str">
        <f t="shared" si="8"/>
        <v/>
      </c>
      <c r="X18" s="127" t="s">
        <v>417</v>
      </c>
      <c r="Y18" s="257">
        <f t="shared" si="3"/>
        <v>11</v>
      </c>
      <c r="Z18" s="257" t="str">
        <f>IF(AA18&lt;&gt;"//",COUNTA($AA$8:AA18)-COUNTIF($AA$8:AA18,"//"),"")</f>
        <v/>
      </c>
      <c r="AA18" s="257" t="str">
        <f t="shared" si="0"/>
        <v>//</v>
      </c>
      <c r="AB18" s="257" t="str">
        <f ca="1">_xlfn.IFNA(IF(COUNTIF('4.1(2)新規再エネ導入予定(FS調査、系統接続検討状況)'!$G:$G,OFFSET($AA$1,MATCH($Y18,$Z:$Z,0)-1,0))=0,OFFSET($AA$1,MATCH($Y18,$Z:$Z,0)-1,0),""),"")</f>
        <v/>
      </c>
      <c r="AC18" s="257" t="str">
        <f ca="1">_xlfn.IFNA(IF(COUNTIF('4.1(2)新規再エネ導入予定(合意形成)'!$G:$G,OFFSET($AA$7,MATCH($Y18,$Z$8:$Z$167,0),0))=0,OFFSET($AA$7,MATCH($Y18,$Z$8:$Z$167,0),0),""),"")</f>
        <v/>
      </c>
      <c r="AD18" s="257" t="str">
        <f ca="1">_xlfn.IFNA(OFFSET('4.1(2)新規再エネ導入予定(FS調査、系統接続検討状況)'!$W$1,MATCH(G18,'4.1(2)新規再エネ導入予定(FS調査、系統接続検討状況)'!G:G,0)-1,0),"//")</f>
        <v>//</v>
      </c>
      <c r="AE18" s="279" t="str">
        <f ca="1">_xlfn.IFNA(OFFSET('4.1(2)新規再エネ導入予定(合意形成)'!$AJ$1,MATCH(G18,'4.1(2)新規再エネ導入予定(合意形成)'!G:G,0)-1,0),"//")</f>
        <v>//</v>
      </c>
      <c r="AF18" s="257">
        <f t="shared" ca="1" si="4"/>
        <v>0</v>
      </c>
      <c r="AG18" s="131" t="str" cm="1">
        <f t="array" aca="1" ref="AG18" ca="1">IFERROR(_xlfn.IFS(COUNTIF($AB$8:$AC$167,G18)&gt;0,"",AF18&lt;=1,"D",AF18=2,"C",AF18=3,"B",AF18=4,"A"),"")</f>
        <v/>
      </c>
      <c r="AH18" s="257" t="str">
        <f ca="1">_xlfn.IFNA(OFFSET('4.1(2)新規再エネ導入予定(合意形成)'!$Z$1,MATCH($G18,'4.1(2)新規再エネ導入予定(合意形成)'!$G:$G,0)-1,0),"")</f>
        <v/>
      </c>
      <c r="AI18" s="131" t="str">
        <f t="shared" si="1"/>
        <v/>
      </c>
      <c r="AJ18" s="257" t="str">
        <f t="shared" si="2"/>
        <v/>
      </c>
      <c r="AK18" s="127" t="str">
        <f>IF(V18&lt;&gt;1,"",SUM($V$8:V18))</f>
        <v/>
      </c>
      <c r="AL18" s="257">
        <f t="shared" si="5"/>
        <v>1</v>
      </c>
    </row>
    <row r="19" spans="2:38" s="11" customFormat="1" ht="20">
      <c r="B19" s="21"/>
      <c r="C19" s="21"/>
      <c r="D19" s="36"/>
      <c r="E19" s="828"/>
      <c r="F19" s="788"/>
      <c r="G19" s="789"/>
      <c r="H19" s="790"/>
      <c r="I19" s="790"/>
      <c r="J19" s="791"/>
      <c r="K19" s="791"/>
      <c r="L19" s="731"/>
      <c r="M19" s="904"/>
      <c r="N19" s="738"/>
      <c r="O19" s="795"/>
      <c r="P19" s="904"/>
      <c r="Q19" s="738"/>
      <c r="R19" s="795"/>
      <c r="S19" s="793" t="str">
        <f t="shared" si="6"/>
        <v/>
      </c>
      <c r="T19" s="786"/>
      <c r="U19" s="116"/>
      <c r="V19" s="794" t="str">
        <f t="shared" si="8"/>
        <v/>
      </c>
      <c r="X19" s="127" t="s">
        <v>417</v>
      </c>
      <c r="Y19" s="257">
        <f t="shared" si="3"/>
        <v>12</v>
      </c>
      <c r="Z19" s="257" t="str">
        <f>IF(AA19&lt;&gt;"//",COUNTA($AA$8:AA19)-COUNTIF($AA$8:AA19,"//"),"")</f>
        <v/>
      </c>
      <c r="AA19" s="257" t="str">
        <f t="shared" si="0"/>
        <v>//</v>
      </c>
      <c r="AB19" s="257" t="str">
        <f ca="1">_xlfn.IFNA(IF(COUNTIF('4.1(2)新規再エネ導入予定(FS調査、系統接続検討状況)'!$G:$G,OFFSET($AA$1,MATCH($Y19,$Z:$Z,0)-1,0))=0,OFFSET($AA$1,MATCH($Y19,$Z:$Z,0)-1,0),""),"")</f>
        <v/>
      </c>
      <c r="AC19" s="257" t="str">
        <f ca="1">_xlfn.IFNA(IF(COUNTIF('4.1(2)新規再エネ導入予定(合意形成)'!$G:$G,OFFSET($AA$7,MATCH($Y19,$Z$8:$Z$167,0),0))=0,OFFSET($AA$7,MATCH($Y19,$Z$8:$Z$167,0),0),""),"")</f>
        <v/>
      </c>
      <c r="AD19" s="257" t="str">
        <f ca="1">_xlfn.IFNA(OFFSET('4.1(2)新規再エネ導入予定(FS調査、系統接続検討状況)'!$W$1,MATCH(G19,'4.1(2)新規再エネ導入予定(FS調査、系統接続検討状況)'!G:G,0)-1,0),"//")</f>
        <v>//</v>
      </c>
      <c r="AE19" s="279" t="str">
        <f ca="1">_xlfn.IFNA(OFFSET('4.1(2)新規再エネ導入予定(合意形成)'!$AJ$1,MATCH(G19,'4.1(2)新規再エネ導入予定(合意形成)'!G:G,0)-1,0),"//")</f>
        <v>//</v>
      </c>
      <c r="AF19" s="257">
        <f t="shared" ca="1" si="4"/>
        <v>0</v>
      </c>
      <c r="AG19" s="131" t="str" cm="1">
        <f t="array" aca="1" ref="AG19" ca="1">IFERROR(_xlfn.IFS(COUNTIF($AB$8:$AC$167,G19)&gt;0,"",AF19&lt;=1,"D",AF19=2,"C",AF19=3,"B",AF19=4,"A"),"")</f>
        <v/>
      </c>
      <c r="AH19" s="257" t="str">
        <f ca="1">_xlfn.IFNA(OFFSET('4.1(2)新規再エネ導入予定(合意形成)'!$Z$1,MATCH($G19,'4.1(2)新規再エネ導入予定(合意形成)'!$G:$G,0)-1,0),"")</f>
        <v/>
      </c>
      <c r="AI19" s="131" t="str">
        <f t="shared" si="1"/>
        <v/>
      </c>
      <c r="AJ19" s="257" t="str">
        <f t="shared" si="2"/>
        <v/>
      </c>
      <c r="AK19" s="127" t="str">
        <f>IF(V19&lt;&gt;1,"",SUM($V$8:V19))</f>
        <v/>
      </c>
      <c r="AL19" s="257">
        <f t="shared" si="5"/>
        <v>1</v>
      </c>
    </row>
    <row r="20" spans="2:38" s="11" customFormat="1" ht="20">
      <c r="B20" s="21"/>
      <c r="C20" s="21"/>
      <c r="D20" s="36"/>
      <c r="E20" s="828"/>
      <c r="F20" s="788"/>
      <c r="G20" s="789"/>
      <c r="H20" s="790"/>
      <c r="I20" s="790"/>
      <c r="J20" s="791"/>
      <c r="K20" s="791"/>
      <c r="L20" s="731"/>
      <c r="M20" s="904"/>
      <c r="N20" s="738"/>
      <c r="O20" s="795"/>
      <c r="P20" s="904"/>
      <c r="Q20" s="738"/>
      <c r="R20" s="795"/>
      <c r="S20" s="793" t="str">
        <f t="shared" si="6"/>
        <v/>
      </c>
      <c r="T20" s="786"/>
      <c r="U20" s="116"/>
      <c r="V20" s="794" t="str">
        <f t="shared" si="8"/>
        <v/>
      </c>
      <c r="X20" s="127" t="s">
        <v>417</v>
      </c>
      <c r="Y20" s="257">
        <f t="shared" si="3"/>
        <v>13</v>
      </c>
      <c r="Z20" s="257" t="str">
        <f>IF(AA20&lt;&gt;"//",COUNTA($AA$8:AA20)-COUNTIF($AA$8:AA20,"//"),"")</f>
        <v/>
      </c>
      <c r="AA20" s="257" t="str">
        <f t="shared" si="0"/>
        <v>//</v>
      </c>
      <c r="AB20" s="257" t="str">
        <f ca="1">_xlfn.IFNA(IF(COUNTIF('4.1(2)新規再エネ導入予定(FS調査、系統接続検討状況)'!$G:$G,OFFSET($AA$7,MATCH($Y20,$Z$8:$Z$167,0),0))=0,OFFSET($AA$7,MATCH($Y20,$Z$8:$Z$167,0),0),""),"")</f>
        <v/>
      </c>
      <c r="AC20" s="257" t="str">
        <f ca="1">_xlfn.IFNA(IF(COUNTIF('4.1(2)新規再エネ導入予定(合意形成)'!$G:$G,OFFSET($AA$7,MATCH($Y20,$Z$8:$Z$167,0),0))=0,OFFSET($AA$7,MATCH($Y20,$Z$8:$Z$167,0),0),""),"")</f>
        <v/>
      </c>
      <c r="AD20" s="257" t="str">
        <f ca="1">_xlfn.IFNA(OFFSET('4.1(2)新規再エネ導入予定(FS調査、系統接続検討状況)'!$W$1,MATCH(G20,'4.1(2)新規再エネ導入予定(FS調査、系統接続検討状況)'!G:G,0)-1,0),"//")</f>
        <v>//</v>
      </c>
      <c r="AE20" s="279" t="str">
        <f ca="1">_xlfn.IFNA(OFFSET('4.1(2)新規再エネ導入予定(合意形成)'!$AJ$1,MATCH(G20,'4.1(2)新規再エネ導入予定(合意形成)'!G:G,0)-1,0),"//")</f>
        <v>//</v>
      </c>
      <c r="AF20" s="257">
        <f t="shared" ca="1" si="4"/>
        <v>0</v>
      </c>
      <c r="AG20" s="131" t="str" cm="1">
        <f t="array" aca="1" ref="AG20" ca="1">IFERROR(_xlfn.IFS(COUNTIF($AB$8:$AC$167,G20)&gt;0,"",AF20&lt;=1,"D",AF20=2,"C",AF20=3,"B",AF20=4,"A"),"")</f>
        <v/>
      </c>
      <c r="AH20" s="257" t="str">
        <f ca="1">_xlfn.IFNA(OFFSET('4.1(2)新規再エネ導入予定(合意形成)'!$Z$1,MATCH($G20,'4.1(2)新規再エネ導入予定(合意形成)'!$G:$G,0)-1,0),"")</f>
        <v/>
      </c>
      <c r="AI20" s="131" t="str">
        <f t="shared" si="1"/>
        <v/>
      </c>
      <c r="AJ20" s="257" t="str">
        <f t="shared" si="2"/>
        <v/>
      </c>
      <c r="AK20" s="127" t="str">
        <f>IF(V20&lt;&gt;1,"",SUM($V$8:V20))</f>
        <v/>
      </c>
      <c r="AL20" s="257">
        <f t="shared" si="5"/>
        <v>1</v>
      </c>
    </row>
    <row r="21" spans="2:38" s="11" customFormat="1" ht="20">
      <c r="B21" s="21"/>
      <c r="C21" s="21"/>
      <c r="D21" s="36"/>
      <c r="E21" s="828"/>
      <c r="F21" s="788"/>
      <c r="G21" s="789"/>
      <c r="H21" s="790"/>
      <c r="I21" s="790"/>
      <c r="J21" s="791"/>
      <c r="K21" s="791"/>
      <c r="L21" s="731"/>
      <c r="M21" s="904"/>
      <c r="N21" s="738"/>
      <c r="O21" s="795"/>
      <c r="P21" s="904"/>
      <c r="Q21" s="738"/>
      <c r="R21" s="795"/>
      <c r="S21" s="793" t="str">
        <f t="shared" si="6"/>
        <v/>
      </c>
      <c r="T21" s="786"/>
      <c r="U21" s="116"/>
      <c r="V21" s="794" t="str">
        <f t="shared" si="8"/>
        <v/>
      </c>
      <c r="X21" s="127" t="s">
        <v>417</v>
      </c>
      <c r="Y21" s="257">
        <f t="shared" si="3"/>
        <v>14</v>
      </c>
      <c r="Z21" s="257" t="str">
        <f>IF(AA21&lt;&gt;"//",COUNTA($AA$8:AA21)-COUNTIF($AA$8:AA21,"//"),"")</f>
        <v/>
      </c>
      <c r="AA21" s="257" t="str">
        <f t="shared" si="0"/>
        <v>//</v>
      </c>
      <c r="AB21" s="257" t="str">
        <f ca="1">_xlfn.IFNA(IF(COUNTIF('4.1(2)新規再エネ導入予定(FS調査、系統接続検討状況)'!$G:$G,OFFSET($AA$7,MATCH($Y21,$Z$8:$Z$167,0),0))=0,OFFSET($AA$7,MATCH($Y21,$Z$8:$Z$167,0),0),""),"")</f>
        <v/>
      </c>
      <c r="AC21" s="257" t="str">
        <f ca="1">_xlfn.IFNA(IF(COUNTIF('4.1(2)新規再エネ導入予定(合意形成)'!$G:$G,OFFSET($AA$7,MATCH($Y21,$Z$8:$Z$167,0),0))=0,OFFSET($AA$7,MATCH($Y21,$Z$8:$Z$167,0),0),""),"")</f>
        <v/>
      </c>
      <c r="AD21" s="257" t="str">
        <f ca="1">_xlfn.IFNA(OFFSET('4.1(2)新規再エネ導入予定(FS調査、系統接続検討状況)'!$W$1,MATCH(G21,'4.1(2)新規再エネ導入予定(FS調査、系統接続検討状況)'!G:G,0)-1,0),"//")</f>
        <v>//</v>
      </c>
      <c r="AE21" s="279" t="str">
        <f ca="1">_xlfn.IFNA(OFFSET('4.1(2)新規再エネ導入予定(合意形成)'!$AJ$1,MATCH(G21,'4.1(2)新規再エネ導入予定(合意形成)'!G:G,0)-1,0),"//")</f>
        <v>//</v>
      </c>
      <c r="AF21" s="257">
        <f t="shared" ca="1" si="4"/>
        <v>0</v>
      </c>
      <c r="AG21" s="131" t="str" cm="1">
        <f t="array" aca="1" ref="AG21" ca="1">IFERROR(_xlfn.IFS(COUNTIF($AB$8:$AC$167,G21)&gt;0,"",AF21&lt;=1,"D",AF21=2,"C",AF21=3,"B",AF21=4,"A"),"")</f>
        <v/>
      </c>
      <c r="AH21" s="257" t="str">
        <f ca="1">_xlfn.IFNA(OFFSET('4.1(2)新規再エネ導入予定(合意形成)'!$Z$1,MATCH($G21,'4.1(2)新規再エネ導入予定(合意形成)'!$G:$G,0)-1,0),"")</f>
        <v/>
      </c>
      <c r="AI21" s="131" t="str">
        <f t="shared" si="1"/>
        <v/>
      </c>
      <c r="AJ21" s="257" t="str">
        <f t="shared" si="2"/>
        <v/>
      </c>
      <c r="AK21" s="127" t="str">
        <f>IF(V21&lt;&gt;1,"",SUM($V$8:V21))</f>
        <v/>
      </c>
      <c r="AL21" s="257">
        <f t="shared" si="5"/>
        <v>1</v>
      </c>
    </row>
    <row r="22" spans="2:38" ht="18" customHeight="1">
      <c r="D22" s="190"/>
      <c r="E22" s="829" t="s">
        <v>17</v>
      </c>
      <c r="F22" s="796"/>
      <c r="G22" s="776"/>
      <c r="H22" s="777"/>
      <c r="I22" s="777"/>
      <c r="J22" s="777"/>
      <c r="K22" s="777"/>
      <c r="L22" s="730"/>
      <c r="M22" s="733"/>
      <c r="N22" s="899" t="str">
        <f>IF(AND(COUNTBLANK(M22:M29)&lt;=3,COUNTA(M22:M29)=0),0,IF(SUM(M22:M29)=0,"",SUM(M22:M29)))</f>
        <v/>
      </c>
      <c r="O22" s="905"/>
      <c r="P22" s="736"/>
      <c r="Q22" s="899" t="str">
        <f>IF(AND(COUNTBLANK(P22:P29)&lt;=3,COUNTA(P22:P29)=0),0,IF(SUM(P22:P29)=0,"",SUM(P22:P29)))</f>
        <v/>
      </c>
      <c r="R22" s="799"/>
      <c r="S22" s="800" t="str">
        <f t="shared" si="6"/>
        <v/>
      </c>
      <c r="T22" s="771"/>
      <c r="V22" s="801"/>
      <c r="X22" s="224" t="s">
        <v>417</v>
      </c>
      <c r="Y22" s="177">
        <f t="shared" si="3"/>
        <v>15</v>
      </c>
      <c r="Z22" s="177" t="str">
        <f>IF(AA22&lt;&gt;"//",COUNTA($AA$8:AA22)-COUNTIF($AA$8:AA22,"//"),"")</f>
        <v/>
      </c>
      <c r="AA22" s="177" t="str">
        <f t="shared" si="0"/>
        <v>//</v>
      </c>
      <c r="AB22" s="177" t="str">
        <f ca="1">_xlfn.IFNA(IF(COUNTIF('4.1(2)新規再エネ導入予定(FS調査、系統接続検討状況)'!$G:$G,OFFSET($AA$7,MATCH($Y22,$Z$8:$Z$167,0),0))=0,OFFSET($AA$7,MATCH($Y22,$Z$8:$Z$167,0),0),""),"")</f>
        <v/>
      </c>
      <c r="AC22" s="177" t="str">
        <f ca="1">_xlfn.IFNA(IF(COUNTIF('4.1(2)新規再エネ導入予定(合意形成)'!$G:$G,OFFSET($AA$7,MATCH($Y22,$Z$8:$Z$167,0),0))=0,OFFSET($AA$7,MATCH($Y22,$Z$8:$Z$167,0),0),""),"")</f>
        <v/>
      </c>
      <c r="AD22" s="177" t="str">
        <f ca="1">_xlfn.IFNA(OFFSET('4.1(2)新規再エネ導入予定(FS調査、系統接続検討状況)'!$W$1,MATCH(G22,'4.1(2)新規再エネ導入予定(FS調査、系統接続検討状況)'!G:G,0)-1,0),"//")</f>
        <v>//</v>
      </c>
      <c r="AE22" s="264" t="str">
        <f ca="1">_xlfn.IFNA(OFFSET('4.1(2)新規再エネ導入予定(合意形成)'!$AJ$1,MATCH(G22,'4.1(2)新規再エネ導入予定(合意形成)'!G:G,0)-1,0),"//")</f>
        <v>//</v>
      </c>
      <c r="AF22" s="177">
        <f t="shared" ca="1" si="4"/>
        <v>0</v>
      </c>
      <c r="AG22" s="217" t="str" cm="1">
        <f t="array" aca="1" ref="AG22" ca="1">IFERROR(_xlfn.IFS(COUNTIF($AB$8:$AC$167,G22)&gt;0,"",AF22&lt;=1,"D",AF22=2,"C",AF22=3,"B",AF22=4,"A"),"")</f>
        <v/>
      </c>
      <c r="AH22" s="177" t="str">
        <f ca="1">_xlfn.IFNA(OFFSET('4.1(2)新規再エネ導入予定(合意形成)'!$Z$1,MATCH($G22,'4.1(2)新規再エネ導入予定(合意形成)'!$G:$G,0)-1,0),"")</f>
        <v/>
      </c>
      <c r="AI22" s="217" t="str">
        <f t="shared" si="1"/>
        <v/>
      </c>
      <c r="AJ22" s="177" t="str">
        <f t="shared" si="2"/>
        <v/>
      </c>
      <c r="AK22" s="224" t="str">
        <f>IF(V22&lt;&gt;1,"",SUM($V$8:V22))</f>
        <v/>
      </c>
      <c r="AL22" s="177">
        <f t="shared" si="5"/>
        <v>1</v>
      </c>
    </row>
    <row r="23" spans="2:38" s="11" customFormat="1" ht="20" hidden="1">
      <c r="B23" s="21"/>
      <c r="C23" s="21"/>
      <c r="D23" s="36"/>
      <c r="E23" s="828"/>
      <c r="F23" s="781"/>
      <c r="G23" s="782"/>
      <c r="H23" s="783"/>
      <c r="I23" s="783"/>
      <c r="J23" s="784"/>
      <c r="K23" s="784"/>
      <c r="L23" s="901"/>
      <c r="M23" s="902"/>
      <c r="N23" s="737"/>
      <c r="O23" s="798"/>
      <c r="P23" s="902"/>
      <c r="Q23" s="737"/>
      <c r="R23" s="798"/>
      <c r="S23" s="785" t="str">
        <f t="shared" si="6"/>
        <v/>
      </c>
      <c r="T23" s="786"/>
      <c r="U23" s="116"/>
      <c r="V23" s="787"/>
      <c r="X23" s="127" t="s">
        <v>417</v>
      </c>
      <c r="Y23" s="257">
        <f t="shared" si="3"/>
        <v>16</v>
      </c>
      <c r="Z23" s="257" t="str">
        <f>IF(AA23&lt;&gt;"//",COUNTA($AA$8:AA23)-COUNTIF($AA$8:AA23,"//"),"")</f>
        <v/>
      </c>
      <c r="AA23" s="257" t="str">
        <f t="shared" si="0"/>
        <v>//</v>
      </c>
      <c r="AB23" s="257" t="str">
        <f ca="1">_xlfn.IFNA(IF(COUNTIF('4.1(2)新規再エネ導入予定(FS調査、系統接続検討状況)'!$G:$G,OFFSET($AA$7,MATCH($Y23,$Z$8:$Z$167,0),0))=0,OFFSET($AA$7,MATCH($Y23,$Z$8:$Z$167,0),0),""),"")</f>
        <v/>
      </c>
      <c r="AC23" s="257" t="str">
        <f ca="1">_xlfn.IFNA(IF(COUNTIF('4.1(2)新規再エネ導入予定(合意形成)'!$G:$G,OFFSET($AA$7,MATCH($Y23,$Z$8:$Z$167,0),0))=0,OFFSET($AA$7,MATCH($Y23,$Z$8:$Z$167,0),0),""),"")</f>
        <v/>
      </c>
      <c r="AD23" s="257" t="str">
        <f ca="1">_xlfn.IFNA(OFFSET('4.1(2)新規再エネ導入予定(FS調査、系統接続検討状況)'!$W$1,MATCH(G23,'4.1(2)新規再エネ導入予定(FS調査、系統接続検討状況)'!G:G,0)-1,0),"//")</f>
        <v>//</v>
      </c>
      <c r="AE23" s="279" t="str">
        <f ca="1">_xlfn.IFNA(OFFSET('4.1(2)新規再エネ導入予定(合意形成)'!$AJ$1,MATCH(G23,'4.1(2)新規再エネ導入予定(合意形成)'!G:G,0)-1,0),"//")</f>
        <v>//</v>
      </c>
      <c r="AF23" s="257">
        <f t="shared" ca="1" si="4"/>
        <v>0</v>
      </c>
      <c r="AG23" s="131" t="str" cm="1">
        <f t="array" aca="1" ref="AG23" ca="1">IFERROR(_xlfn.IFS(COUNTIF($AB$8:$AC$167,G23)&gt;0,"",AF23&lt;=1,"D",AF23=2,"C",AF23=3,"B",AF23=4,"A"),"")</f>
        <v/>
      </c>
      <c r="AH23" s="257" t="str">
        <f ca="1">_xlfn.IFNA(OFFSET('4.1(2)新規再エネ導入予定(合意形成)'!$Z$1,MATCH($G23,'4.1(2)新規再エネ導入予定(合意形成)'!$G:$G,0)-1,0),"")</f>
        <v/>
      </c>
      <c r="AI23" s="131" t="str">
        <f t="shared" si="1"/>
        <v/>
      </c>
      <c r="AJ23" s="257" t="str">
        <f t="shared" si="2"/>
        <v/>
      </c>
      <c r="AK23" s="127" t="str">
        <f>IF(V23&lt;&gt;1,"",SUM($V$8:V23))</f>
        <v/>
      </c>
      <c r="AL23" s="257">
        <f t="shared" si="5"/>
        <v>1</v>
      </c>
    </row>
    <row r="24" spans="2:38" s="11" customFormat="1" ht="20">
      <c r="B24" s="21"/>
      <c r="C24" s="21"/>
      <c r="D24" s="36"/>
      <c r="E24" s="828"/>
      <c r="F24" s="788"/>
      <c r="G24" s="789"/>
      <c r="H24" s="790"/>
      <c r="I24" s="790"/>
      <c r="J24" s="791"/>
      <c r="K24" s="791"/>
      <c r="L24" s="731"/>
      <c r="M24" s="904"/>
      <c r="N24" s="738"/>
      <c r="O24" s="795"/>
      <c r="P24" s="904"/>
      <c r="Q24" s="738"/>
      <c r="R24" s="792"/>
      <c r="S24" s="793" t="str">
        <f t="shared" si="6"/>
        <v/>
      </c>
      <c r="T24" s="786"/>
      <c r="U24" s="116"/>
      <c r="V24" s="794" t="str">
        <f t="shared" si="8"/>
        <v/>
      </c>
      <c r="X24" s="127" t="s">
        <v>417</v>
      </c>
      <c r="Y24" s="257">
        <f t="shared" si="3"/>
        <v>17</v>
      </c>
      <c r="Z24" s="257" t="str">
        <f>IF(AA24&lt;&gt;"//",COUNTA($AA$8:AA24)-COUNTIF($AA$8:AA24,"//"),"")</f>
        <v/>
      </c>
      <c r="AA24" s="257" t="str">
        <f t="shared" si="0"/>
        <v>//</v>
      </c>
      <c r="AB24" s="257" t="str">
        <f ca="1">_xlfn.IFNA(IF(COUNTIF('4.1(2)新規再エネ導入予定(FS調査、系統接続検討状況)'!$G:$G,OFFSET($AA$7,MATCH($Y24,$Z$8:$Z$167,0),0))=0,OFFSET($AA$7,MATCH($Y24,$Z$8:$Z$167,0),0),""),"")</f>
        <v/>
      </c>
      <c r="AC24" s="257" t="str">
        <f ca="1">_xlfn.IFNA(IF(COUNTIF('4.1(2)新規再エネ導入予定(合意形成)'!$G:$G,OFFSET($AA$7,MATCH($Y24,$Z$8:$Z$167,0),0))=0,OFFSET($AA$7,MATCH($Y24,$Z$8:$Z$167,0),0),""),"")</f>
        <v/>
      </c>
      <c r="AD24" s="257" t="str">
        <f ca="1">_xlfn.IFNA(OFFSET('4.1(2)新規再エネ導入予定(FS調査、系統接続検討状況)'!$W$1,MATCH(G24,'4.1(2)新規再エネ導入予定(FS調査、系統接続検討状況)'!G:G,0)-1,0),"//")</f>
        <v>//</v>
      </c>
      <c r="AE24" s="279" t="str">
        <f ca="1">_xlfn.IFNA(OFFSET('4.1(2)新規再エネ導入予定(合意形成)'!$AJ$1,MATCH(G24,'4.1(2)新規再エネ導入予定(合意形成)'!G:G,0)-1,0),"//")</f>
        <v>//</v>
      </c>
      <c r="AF24" s="257">
        <f t="shared" ca="1" si="4"/>
        <v>0</v>
      </c>
      <c r="AG24" s="131" t="str" cm="1">
        <f t="array" aca="1" ref="AG24" ca="1">IFERROR(_xlfn.IFS(COUNTIF($AB$8:$AC$167,G24)&gt;0,"",AF24&lt;=1,"D",AF24=2,"C",AF24=3,"B",AF24=4,"A"),"")</f>
        <v/>
      </c>
      <c r="AH24" s="257" t="str">
        <f ca="1">_xlfn.IFNA(OFFSET('4.1(2)新規再エネ導入予定(合意形成)'!$Z$1,MATCH($G24,'4.1(2)新規再エネ導入予定(合意形成)'!$G:$G,0)-1,0),"")</f>
        <v/>
      </c>
      <c r="AI24" s="131" t="str">
        <f t="shared" si="1"/>
        <v/>
      </c>
      <c r="AJ24" s="257" t="str">
        <f t="shared" si="2"/>
        <v/>
      </c>
      <c r="AK24" s="127" t="str">
        <f>IF(V24&lt;&gt;1,"",SUM($V$8:V24))</f>
        <v/>
      </c>
      <c r="AL24" s="257">
        <f t="shared" si="5"/>
        <v>1</v>
      </c>
    </row>
    <row r="25" spans="2:38" s="11" customFormat="1" ht="20">
      <c r="B25" s="21"/>
      <c r="C25" s="21"/>
      <c r="D25" s="36"/>
      <c r="E25" s="828"/>
      <c r="F25" s="788"/>
      <c r="G25" s="789"/>
      <c r="H25" s="790"/>
      <c r="I25" s="790"/>
      <c r="J25" s="791"/>
      <c r="K25" s="791"/>
      <c r="L25" s="731"/>
      <c r="M25" s="904"/>
      <c r="N25" s="738"/>
      <c r="O25" s="795"/>
      <c r="P25" s="904"/>
      <c r="Q25" s="738"/>
      <c r="R25" s="795"/>
      <c r="S25" s="793" t="str">
        <f t="shared" si="6"/>
        <v/>
      </c>
      <c r="T25" s="786"/>
      <c r="U25" s="116"/>
      <c r="V25" s="794" t="str">
        <f t="shared" si="8"/>
        <v/>
      </c>
      <c r="X25" s="127" t="s">
        <v>417</v>
      </c>
      <c r="Y25" s="257">
        <f t="shared" si="3"/>
        <v>18</v>
      </c>
      <c r="Z25" s="257" t="str">
        <f>IF(AA25&lt;&gt;"//",COUNTA($AA$8:AA25)-COUNTIF($AA$8:AA25,"//"),"")</f>
        <v/>
      </c>
      <c r="AA25" s="257" t="str">
        <f t="shared" si="0"/>
        <v>//</v>
      </c>
      <c r="AB25" s="257" t="str">
        <f ca="1">_xlfn.IFNA(IF(COUNTIF('4.1(2)新規再エネ導入予定(FS調査、系統接続検討状況)'!$G:$G,OFFSET($AA$7,MATCH($Y25,$Z$8:$Z$167,0),0))=0,OFFSET($AA$7,MATCH($Y25,$Z$8:$Z$167,0),0),""),"")</f>
        <v/>
      </c>
      <c r="AC25" s="257" t="str">
        <f ca="1">_xlfn.IFNA(IF(COUNTIF('4.1(2)新規再エネ導入予定(合意形成)'!$G:$G,OFFSET($AA$7,MATCH($Y25,$Z$8:$Z$167,0),0))=0,OFFSET($AA$7,MATCH($Y25,$Z$8:$Z$167,0),0),""),"")</f>
        <v/>
      </c>
      <c r="AD25" s="257" t="str">
        <f ca="1">_xlfn.IFNA(OFFSET('4.1(2)新規再エネ導入予定(FS調査、系統接続検討状況)'!$W$1,MATCH(G25,'4.1(2)新規再エネ導入予定(FS調査、系統接続検討状況)'!G:G,0)-1,0),"//")</f>
        <v>//</v>
      </c>
      <c r="AE25" s="279" t="str">
        <f ca="1">_xlfn.IFNA(OFFSET('4.1(2)新規再エネ導入予定(合意形成)'!$AJ$1,MATCH(G25,'4.1(2)新規再エネ導入予定(合意形成)'!G:G,0)-1,0),"//")</f>
        <v>//</v>
      </c>
      <c r="AF25" s="257">
        <f t="shared" ca="1" si="4"/>
        <v>0</v>
      </c>
      <c r="AG25" s="131" t="str" cm="1">
        <f t="array" aca="1" ref="AG25" ca="1">IFERROR(_xlfn.IFS(COUNTIF($AB$8:$AC$167,G25)&gt;0,"",AF25&lt;=1,"D",AF25=2,"C",AF25=3,"B",AF25=4,"A"),"")</f>
        <v/>
      </c>
      <c r="AH25" s="257" t="str">
        <f ca="1">_xlfn.IFNA(OFFSET('4.1(2)新規再エネ導入予定(合意形成)'!$Z$1,MATCH($G25,'4.1(2)新規再エネ導入予定(合意形成)'!$G:$G,0)-1,0),"")</f>
        <v/>
      </c>
      <c r="AI25" s="131" t="str">
        <f t="shared" si="1"/>
        <v/>
      </c>
      <c r="AJ25" s="257" t="str">
        <f t="shared" si="2"/>
        <v/>
      </c>
      <c r="AK25" s="127" t="str">
        <f>IF(V25&lt;&gt;1,"",SUM($V$8:V25))</f>
        <v/>
      </c>
      <c r="AL25" s="257">
        <f t="shared" si="5"/>
        <v>1</v>
      </c>
    </row>
    <row r="26" spans="2:38" s="11" customFormat="1" ht="20">
      <c r="B26" s="21"/>
      <c r="C26" s="21"/>
      <c r="D26" s="36"/>
      <c r="E26" s="828"/>
      <c r="F26" s="788"/>
      <c r="G26" s="789"/>
      <c r="H26" s="790"/>
      <c r="I26" s="790"/>
      <c r="J26" s="791"/>
      <c r="K26" s="791"/>
      <c r="L26" s="731"/>
      <c r="M26" s="904"/>
      <c r="N26" s="738"/>
      <c r="O26" s="795"/>
      <c r="P26" s="904"/>
      <c r="Q26" s="738"/>
      <c r="R26" s="795"/>
      <c r="S26" s="793" t="str">
        <f t="shared" si="6"/>
        <v/>
      </c>
      <c r="T26" s="786"/>
      <c r="U26" s="116"/>
      <c r="V26" s="794" t="str">
        <f t="shared" si="8"/>
        <v/>
      </c>
      <c r="X26" s="127" t="s">
        <v>417</v>
      </c>
      <c r="Y26" s="257">
        <f t="shared" si="3"/>
        <v>19</v>
      </c>
      <c r="Z26" s="257" t="str">
        <f>IF(AA26&lt;&gt;"//",COUNTA($AA$8:AA26)-COUNTIF($AA$8:AA26,"//"),"")</f>
        <v/>
      </c>
      <c r="AA26" s="257" t="str">
        <f t="shared" si="0"/>
        <v>//</v>
      </c>
      <c r="AB26" s="257" t="str">
        <f ca="1">_xlfn.IFNA(IF(COUNTIF('4.1(2)新規再エネ導入予定(FS調査、系統接続検討状況)'!$G:$G,OFFSET($AA$7,MATCH($Y26,$Z$8:$Z$167,0),0))=0,OFFSET($AA$7,MATCH($Y26,$Z$8:$Z$167,0),0),""),"")</f>
        <v/>
      </c>
      <c r="AC26" s="257" t="str">
        <f ca="1">_xlfn.IFNA(IF(COUNTIF('4.1(2)新規再エネ導入予定(合意形成)'!$G:$G,OFFSET($AA$7,MATCH($Y26,$Z$8:$Z$167,0),0))=0,OFFSET($AA$7,MATCH($Y26,$Z$8:$Z$167,0),0),""),"")</f>
        <v/>
      </c>
      <c r="AD26" s="257" t="str">
        <f ca="1">_xlfn.IFNA(OFFSET('4.1(2)新規再エネ導入予定(FS調査、系統接続検討状況)'!$W$1,MATCH(G26,'4.1(2)新規再エネ導入予定(FS調査、系統接続検討状況)'!G:G,0)-1,0),"//")</f>
        <v>//</v>
      </c>
      <c r="AE26" s="279" t="str">
        <f ca="1">_xlfn.IFNA(OFFSET('4.1(2)新規再エネ導入予定(合意形成)'!$AJ$1,MATCH(G26,'4.1(2)新規再エネ導入予定(合意形成)'!G:G,0)-1,0),"//")</f>
        <v>//</v>
      </c>
      <c r="AF26" s="257">
        <f t="shared" ca="1" si="4"/>
        <v>0</v>
      </c>
      <c r="AG26" s="131" t="str" cm="1">
        <f t="array" aca="1" ref="AG26" ca="1">IFERROR(_xlfn.IFS(COUNTIF($AB$8:$AC$167,G26)&gt;0,"",AF26&lt;=1,"D",AF26=2,"C",AF26=3,"B",AF26=4,"A"),"")</f>
        <v/>
      </c>
      <c r="AH26" s="257" t="str">
        <f ca="1">_xlfn.IFNA(OFFSET('4.1(2)新規再エネ導入予定(合意形成)'!$Z$1,MATCH($G26,'4.1(2)新規再エネ導入予定(合意形成)'!$G:$G,0)-1,0),"")</f>
        <v/>
      </c>
      <c r="AI26" s="131" t="str">
        <f t="shared" si="1"/>
        <v/>
      </c>
      <c r="AJ26" s="257" t="str">
        <f t="shared" si="2"/>
        <v/>
      </c>
      <c r="AK26" s="127" t="str">
        <f>IF(V26&lt;&gt;1,"",SUM($V$8:V26))</f>
        <v/>
      </c>
      <c r="AL26" s="257">
        <f t="shared" si="5"/>
        <v>1</v>
      </c>
    </row>
    <row r="27" spans="2:38" s="11" customFormat="1" ht="20">
      <c r="B27" s="21"/>
      <c r="C27" s="21"/>
      <c r="D27" s="36"/>
      <c r="E27" s="828"/>
      <c r="F27" s="788"/>
      <c r="G27" s="789"/>
      <c r="H27" s="790"/>
      <c r="I27" s="790"/>
      <c r="J27" s="791"/>
      <c r="K27" s="791"/>
      <c r="L27" s="731"/>
      <c r="M27" s="904"/>
      <c r="N27" s="738"/>
      <c r="O27" s="795"/>
      <c r="P27" s="904"/>
      <c r="Q27" s="738"/>
      <c r="R27" s="795"/>
      <c r="S27" s="793" t="str">
        <f t="shared" si="6"/>
        <v/>
      </c>
      <c r="T27" s="786"/>
      <c r="U27" s="116"/>
      <c r="V27" s="794" t="str">
        <f t="shared" si="8"/>
        <v/>
      </c>
      <c r="X27" s="127" t="s">
        <v>417</v>
      </c>
      <c r="Y27" s="257">
        <f t="shared" si="3"/>
        <v>20</v>
      </c>
      <c r="Z27" s="257" t="str">
        <f>IF(AA27&lt;&gt;"//",COUNTA($AA$8:AA27)-COUNTIF($AA$8:AA27,"//"),"")</f>
        <v/>
      </c>
      <c r="AA27" s="257" t="str">
        <f t="shared" si="0"/>
        <v>//</v>
      </c>
      <c r="AB27" s="257" t="str">
        <f ca="1">_xlfn.IFNA(IF(COUNTIF('4.1(2)新規再エネ導入予定(FS調査、系統接続検討状況)'!$G:$G,OFFSET($AA$7,MATCH($Y27,$Z$8:$Z$167,0),0))=0,OFFSET($AA$7,MATCH($Y27,$Z$8:$Z$167,0),0),""),"")</f>
        <v/>
      </c>
      <c r="AC27" s="257" t="str">
        <f ca="1">_xlfn.IFNA(IF(COUNTIF('4.1(2)新規再エネ導入予定(合意形成)'!$G:$G,OFFSET($AA$7,MATCH($Y27,$Z$8:$Z$167,0),0))=0,OFFSET($AA$7,MATCH($Y27,$Z$8:$Z$167,0),0),""),"")</f>
        <v/>
      </c>
      <c r="AD27" s="257" t="str">
        <f ca="1">_xlfn.IFNA(OFFSET('4.1(2)新規再エネ導入予定(FS調査、系統接続検討状況)'!$W$1,MATCH(G27,'4.1(2)新規再エネ導入予定(FS調査、系統接続検討状況)'!G:G,0)-1,0),"//")</f>
        <v>//</v>
      </c>
      <c r="AE27" s="279" t="str">
        <f ca="1">_xlfn.IFNA(OFFSET('4.1(2)新規再エネ導入予定(合意形成)'!$AJ$1,MATCH(G27,'4.1(2)新規再エネ導入予定(合意形成)'!G:G,0)-1,0),"//")</f>
        <v>//</v>
      </c>
      <c r="AF27" s="257">
        <f t="shared" ca="1" si="4"/>
        <v>0</v>
      </c>
      <c r="AG27" s="131" t="str" cm="1">
        <f t="array" aca="1" ref="AG27" ca="1">IFERROR(_xlfn.IFS(COUNTIF($AB$8:$AC$167,G27)&gt;0,"",AF27&lt;=1,"D",AF27=2,"C",AF27=3,"B",AF27=4,"A"),"")</f>
        <v/>
      </c>
      <c r="AH27" s="257" t="str">
        <f ca="1">_xlfn.IFNA(OFFSET('4.1(2)新規再エネ導入予定(合意形成)'!$Z$1,MATCH($G27,'4.1(2)新規再エネ導入予定(合意形成)'!$G:$G,0)-1,0),"")</f>
        <v/>
      </c>
      <c r="AI27" s="131" t="str">
        <f t="shared" si="1"/>
        <v/>
      </c>
      <c r="AJ27" s="257" t="str">
        <f t="shared" si="2"/>
        <v/>
      </c>
      <c r="AK27" s="127" t="str">
        <f>IF(V27&lt;&gt;1,"",SUM($V$8:V27))</f>
        <v/>
      </c>
      <c r="AL27" s="257">
        <f t="shared" si="5"/>
        <v>1</v>
      </c>
    </row>
    <row r="28" spans="2:38" s="11" customFormat="1" ht="20">
      <c r="B28" s="21"/>
      <c r="C28" s="21"/>
      <c r="D28" s="36"/>
      <c r="E28" s="828"/>
      <c r="F28" s="788"/>
      <c r="G28" s="789"/>
      <c r="H28" s="790"/>
      <c r="I28" s="790"/>
      <c r="J28" s="791"/>
      <c r="K28" s="791"/>
      <c r="L28" s="731"/>
      <c r="M28" s="904"/>
      <c r="N28" s="738"/>
      <c r="O28" s="795"/>
      <c r="P28" s="904"/>
      <c r="Q28" s="738"/>
      <c r="R28" s="795"/>
      <c r="S28" s="793" t="str">
        <f t="shared" si="6"/>
        <v/>
      </c>
      <c r="T28" s="786"/>
      <c r="U28" s="116"/>
      <c r="V28" s="794" t="str">
        <f t="shared" si="8"/>
        <v/>
      </c>
      <c r="X28" s="127" t="s">
        <v>417</v>
      </c>
      <c r="Y28" s="257">
        <f t="shared" si="3"/>
        <v>21</v>
      </c>
      <c r="Z28" s="257" t="str">
        <f>IF(AA28&lt;&gt;"//",COUNTA($AA$8:AA28)-COUNTIF($AA$8:AA28,"//"),"")</f>
        <v/>
      </c>
      <c r="AA28" s="257" t="str">
        <f t="shared" si="0"/>
        <v>//</v>
      </c>
      <c r="AB28" s="257" t="str">
        <f ca="1">_xlfn.IFNA(IF(COUNTIF('4.1(2)新規再エネ導入予定(FS調査、系統接続検討状況)'!$G:$G,OFFSET($AA$7,MATCH($Y28,$Z$8:$Z$167,0),0))=0,OFFSET($AA$7,MATCH($Y28,$Z$8:$Z$167,0),0),""),"")</f>
        <v/>
      </c>
      <c r="AC28" s="257" t="str">
        <f ca="1">_xlfn.IFNA(IF(COUNTIF('4.1(2)新規再エネ導入予定(合意形成)'!$G:$G,OFFSET($AA$7,MATCH($Y28,$Z$8:$Z$167,0),0))=0,OFFSET($AA$7,MATCH($Y28,$Z$8:$Z$167,0),0),""),"")</f>
        <v/>
      </c>
      <c r="AD28" s="257" t="str">
        <f ca="1">_xlfn.IFNA(OFFSET('4.1(2)新規再エネ導入予定(FS調査、系統接続検討状況)'!$W$1,MATCH(G28,'4.1(2)新規再エネ導入予定(FS調査、系統接続検討状況)'!G:G,0)-1,0),"//")</f>
        <v>//</v>
      </c>
      <c r="AE28" s="279" t="str">
        <f ca="1">_xlfn.IFNA(OFFSET('4.1(2)新規再エネ導入予定(合意形成)'!$AJ$1,MATCH(G28,'4.1(2)新規再エネ導入予定(合意形成)'!G:G,0)-1,0),"//")</f>
        <v>//</v>
      </c>
      <c r="AF28" s="257">
        <f t="shared" ca="1" si="4"/>
        <v>0</v>
      </c>
      <c r="AG28" s="131" t="str" cm="1">
        <f t="array" aca="1" ref="AG28" ca="1">IFERROR(_xlfn.IFS(COUNTIF($AB$8:$AC$167,G28)&gt;0,"",AF28&lt;=1,"D",AF28=2,"C",AF28=3,"B",AF28=4,"A"),"")</f>
        <v/>
      </c>
      <c r="AH28" s="257" t="str">
        <f ca="1">_xlfn.IFNA(OFFSET('4.1(2)新規再エネ導入予定(合意形成)'!$Z$1,MATCH($G28,'4.1(2)新規再エネ導入予定(合意形成)'!$G:$G,0)-1,0),"")</f>
        <v/>
      </c>
      <c r="AI28" s="131" t="str">
        <f t="shared" si="1"/>
        <v/>
      </c>
      <c r="AJ28" s="257" t="str">
        <f t="shared" si="2"/>
        <v/>
      </c>
      <c r="AK28" s="127" t="str">
        <f>IF(V28&lt;&gt;1,"",SUM($V$8:V28))</f>
        <v/>
      </c>
      <c r="AL28" s="257">
        <f t="shared" si="5"/>
        <v>1</v>
      </c>
    </row>
    <row r="29" spans="2:38" ht="18" customHeight="1">
      <c r="D29" s="190"/>
      <c r="E29" s="829" t="s">
        <v>18</v>
      </c>
      <c r="F29" s="796"/>
      <c r="G29" s="776"/>
      <c r="H29" s="777"/>
      <c r="I29" s="777"/>
      <c r="J29" s="777"/>
      <c r="K29" s="777"/>
      <c r="L29" s="730"/>
      <c r="M29" s="733"/>
      <c r="N29" s="899" t="str">
        <f>IF(AND(COUNTBLANK(M29:M36)&lt;=3,COUNTA(M29:M36)=0),0,IF(SUM(M29:M36)=0,"",SUM(M29:M36)))</f>
        <v/>
      </c>
      <c r="O29" s="905"/>
      <c r="P29" s="736"/>
      <c r="Q29" s="899" t="str">
        <f>IF(AND(COUNTBLANK(P29:P36)&lt;=3,COUNTA(P29:P36)=0),0,IF(SUM(P29:P36)=0,"",SUM(P29:P36)))</f>
        <v/>
      </c>
      <c r="R29" s="778"/>
      <c r="S29" s="779" t="str">
        <f t="shared" si="6"/>
        <v/>
      </c>
      <c r="T29" s="771"/>
      <c r="V29" s="797"/>
      <c r="X29" s="224" t="s">
        <v>417</v>
      </c>
      <c r="Y29" s="177">
        <f t="shared" si="3"/>
        <v>22</v>
      </c>
      <c r="Z29" s="177" t="str">
        <f>IF(AA29&lt;&gt;"//",COUNTA($AA$8:AA29)-COUNTIF($AA$8:AA29,"//"),"")</f>
        <v/>
      </c>
      <c r="AA29" s="177" t="str">
        <f t="shared" si="0"/>
        <v>//</v>
      </c>
      <c r="AB29" s="177" t="str">
        <f ca="1">_xlfn.IFNA(IF(COUNTIF('4.1(2)新規再エネ導入予定(FS調査、系統接続検討状況)'!$G:$G,OFFSET($AA$7,MATCH($Y29,$Z$8:$Z$167,0),0))=0,OFFSET($AA$7,MATCH($Y29,$Z$8:$Z$167,0),0),""),"")</f>
        <v/>
      </c>
      <c r="AC29" s="177" t="str">
        <f ca="1">_xlfn.IFNA(IF(COUNTIF('4.1(2)新規再エネ導入予定(合意形成)'!$G:$G,OFFSET($AA$7,MATCH($Y29,$Z$8:$Z$167,0),0))=0,OFFSET($AA$7,MATCH($Y29,$Z$8:$Z$167,0),0),""),"")</f>
        <v/>
      </c>
      <c r="AD29" s="177" t="str">
        <f ca="1">_xlfn.IFNA(OFFSET('4.1(2)新規再エネ導入予定(FS調査、系統接続検討状況)'!$W$1,MATCH(G29,'4.1(2)新規再エネ導入予定(FS調査、系統接続検討状況)'!G:G,0)-1,0),"//")</f>
        <v>//</v>
      </c>
      <c r="AE29" s="264" t="str">
        <f ca="1">_xlfn.IFNA(OFFSET('4.1(2)新規再エネ導入予定(合意形成)'!$AJ$1,MATCH(G29,'4.1(2)新規再エネ導入予定(合意形成)'!G:G,0)-1,0),"//")</f>
        <v>//</v>
      </c>
      <c r="AF29" s="177">
        <f t="shared" ca="1" si="4"/>
        <v>0</v>
      </c>
      <c r="AG29" s="217" t="str" cm="1">
        <f t="array" aca="1" ref="AG29" ca="1">IFERROR(_xlfn.IFS(COUNTIF($AB$8:$AC$167,G29)&gt;0,"",AF29&lt;=1,"D",AF29=2,"C",AF29=3,"B",AF29=4,"A"),"")</f>
        <v/>
      </c>
      <c r="AH29" s="177" t="str">
        <f ca="1">_xlfn.IFNA(OFFSET('4.1(2)新規再エネ導入予定(合意形成)'!$Z$1,MATCH($G29,'4.1(2)新規再エネ導入予定(合意形成)'!$G:$G,0)-1,0),"")</f>
        <v/>
      </c>
      <c r="AI29" s="217" t="str">
        <f t="shared" si="1"/>
        <v/>
      </c>
      <c r="AJ29" s="177" t="str">
        <f t="shared" si="2"/>
        <v/>
      </c>
      <c r="AK29" s="224" t="str">
        <f>IF(V29&lt;&gt;1,"",SUM($V$8:V29))</f>
        <v/>
      </c>
      <c r="AL29" s="177">
        <f t="shared" si="5"/>
        <v>1</v>
      </c>
    </row>
    <row r="30" spans="2:38" s="11" customFormat="1" ht="20" hidden="1">
      <c r="B30" s="21"/>
      <c r="C30" s="21"/>
      <c r="D30" s="36"/>
      <c r="E30" s="828"/>
      <c r="F30" s="781"/>
      <c r="G30" s="782"/>
      <c r="H30" s="783"/>
      <c r="I30" s="783"/>
      <c r="J30" s="784"/>
      <c r="K30" s="784"/>
      <c r="L30" s="901"/>
      <c r="M30" s="902"/>
      <c r="N30" s="737"/>
      <c r="O30" s="798"/>
      <c r="P30" s="902"/>
      <c r="Q30" s="737"/>
      <c r="R30" s="798"/>
      <c r="S30" s="785" t="str">
        <f t="shared" si="6"/>
        <v/>
      </c>
      <c r="T30" s="786"/>
      <c r="U30" s="116"/>
      <c r="V30" s="787"/>
      <c r="X30" s="127" t="s">
        <v>417</v>
      </c>
      <c r="Y30" s="257">
        <f t="shared" si="3"/>
        <v>23</v>
      </c>
      <c r="Z30" s="257" t="str">
        <f>IF(AA30&lt;&gt;"//",COUNTA($AA$8:AA30)-COUNTIF($AA$8:AA30,"//"),"")</f>
        <v/>
      </c>
      <c r="AA30" s="257" t="str">
        <f t="shared" si="0"/>
        <v>//</v>
      </c>
      <c r="AB30" s="257" t="str">
        <f ca="1">_xlfn.IFNA(IF(COUNTIF('4.1(2)新規再エネ導入予定(FS調査、系統接続検討状況)'!$G:$G,OFFSET($AA$7,MATCH($Y30,$Z$8:$Z$167,0),0))=0,OFFSET($AA$7,MATCH($Y30,$Z$8:$Z$167,0),0),""),"")</f>
        <v/>
      </c>
      <c r="AC30" s="257" t="str">
        <f ca="1">_xlfn.IFNA(IF(COUNTIF('4.1(2)新規再エネ導入予定(合意形成)'!$G:$G,OFFSET($AA$7,MATCH($Y30,$Z$8:$Z$167,0),0))=0,OFFSET($AA$7,MATCH($Y30,$Z$8:$Z$167,0),0),""),"")</f>
        <v/>
      </c>
      <c r="AD30" s="257" t="str">
        <f ca="1">_xlfn.IFNA(OFFSET('4.1(2)新規再エネ導入予定(FS調査、系統接続検討状況)'!$W$1,MATCH(G30,'4.1(2)新規再エネ導入予定(FS調査、系統接続検討状況)'!G:G,0)-1,0),"//")</f>
        <v>//</v>
      </c>
      <c r="AE30" s="279" t="str">
        <f ca="1">_xlfn.IFNA(OFFSET('4.1(2)新規再エネ導入予定(合意形成)'!$AJ$1,MATCH(G30,'4.1(2)新規再エネ導入予定(合意形成)'!G:G,0)-1,0),"//")</f>
        <v>//</v>
      </c>
      <c r="AF30" s="257">
        <f t="shared" ca="1" si="4"/>
        <v>0</v>
      </c>
      <c r="AG30" s="131" t="str" cm="1">
        <f t="array" aca="1" ref="AG30" ca="1">IFERROR(_xlfn.IFS(COUNTIF($AB$8:$AC$167,G30)&gt;0,"",AF30&lt;=1,"D",AF30=2,"C",AF30=3,"B",AF30=4,"A"),"")</f>
        <v/>
      </c>
      <c r="AH30" s="257" t="str">
        <f ca="1">_xlfn.IFNA(OFFSET('4.1(2)新規再エネ導入予定(合意形成)'!$Z$1,MATCH($G30,'4.1(2)新規再エネ導入予定(合意形成)'!$G:$G,0)-1,0),"")</f>
        <v/>
      </c>
      <c r="AI30" s="131" t="str">
        <f t="shared" si="1"/>
        <v/>
      </c>
      <c r="AJ30" s="257" t="str">
        <f t="shared" si="2"/>
        <v/>
      </c>
      <c r="AK30" s="127" t="str">
        <f>IF(V30&lt;&gt;1,"",SUM($V$8:V30))</f>
        <v/>
      </c>
      <c r="AL30" s="257">
        <f t="shared" si="5"/>
        <v>1</v>
      </c>
    </row>
    <row r="31" spans="2:38" s="11" customFormat="1" ht="20">
      <c r="B31" s="21"/>
      <c r="C31" s="21"/>
      <c r="D31" s="36"/>
      <c r="E31" s="828"/>
      <c r="F31" s="788"/>
      <c r="G31" s="789"/>
      <c r="H31" s="790"/>
      <c r="I31" s="790"/>
      <c r="J31" s="791"/>
      <c r="K31" s="791"/>
      <c r="L31" s="903"/>
      <c r="M31" s="904"/>
      <c r="N31" s="738"/>
      <c r="O31" s="795"/>
      <c r="P31" s="904"/>
      <c r="Q31" s="738"/>
      <c r="R31" s="795"/>
      <c r="S31" s="793" t="str">
        <f t="shared" si="6"/>
        <v/>
      </c>
      <c r="T31" s="786"/>
      <c r="U31" s="116"/>
      <c r="V31" s="794" t="str">
        <f t="shared" si="8"/>
        <v/>
      </c>
      <c r="X31" s="127" t="s">
        <v>417</v>
      </c>
      <c r="Y31" s="257">
        <f t="shared" si="3"/>
        <v>24</v>
      </c>
      <c r="Z31" s="257" t="str">
        <f>IF(AA31&lt;&gt;"//",COUNTA($AA$8:AA31)-COUNTIF($AA$8:AA31,"//"),"")</f>
        <v/>
      </c>
      <c r="AA31" s="257" t="str">
        <f t="shared" si="0"/>
        <v>//</v>
      </c>
      <c r="AB31" s="257" t="str">
        <f ca="1">_xlfn.IFNA(IF(COUNTIF('4.1(2)新規再エネ導入予定(FS調査、系統接続検討状況)'!$G:$G,OFFSET($AA$7,MATCH($Y31,$Z$8:$Z$167,0),0))=0,OFFSET($AA$7,MATCH($Y31,$Z$8:$Z$167,0),0),""),"")</f>
        <v/>
      </c>
      <c r="AC31" s="257" t="str">
        <f ca="1">_xlfn.IFNA(IF(COUNTIF('4.1(2)新規再エネ導入予定(合意形成)'!$G:$G,OFFSET($AA$7,MATCH($Y31,$Z$8:$Z$167,0),0))=0,OFFSET($AA$7,MATCH($Y31,$Z$8:$Z$167,0),0),""),"")</f>
        <v/>
      </c>
      <c r="AD31" s="257" t="str">
        <f ca="1">_xlfn.IFNA(OFFSET('4.1(2)新規再エネ導入予定(FS調査、系統接続検討状況)'!$W$1,MATCH(G31,'4.1(2)新規再エネ導入予定(FS調査、系統接続検討状況)'!G:G,0)-1,0),"//")</f>
        <v>//</v>
      </c>
      <c r="AE31" s="279" t="str">
        <f ca="1">_xlfn.IFNA(OFFSET('4.1(2)新規再エネ導入予定(合意形成)'!$AJ$1,MATCH(G31,'4.1(2)新規再エネ導入予定(合意形成)'!G:G,0)-1,0),"//")</f>
        <v>//</v>
      </c>
      <c r="AF31" s="257">
        <f t="shared" ca="1" si="4"/>
        <v>0</v>
      </c>
      <c r="AG31" s="131" t="str" cm="1">
        <f t="array" aca="1" ref="AG31" ca="1">IFERROR(_xlfn.IFS(COUNTIF($AB$8:$AC$167,G31)&gt;0,"",AF31&lt;=1,"D",AF31=2,"C",AF31=3,"B",AF31=4,"A"),"")</f>
        <v/>
      </c>
      <c r="AH31" s="257" t="str">
        <f ca="1">_xlfn.IFNA(OFFSET('4.1(2)新規再エネ導入予定(合意形成)'!$Z$1,MATCH($G31,'4.1(2)新規再エネ導入予定(合意形成)'!$G:$G,0)-1,0),"")</f>
        <v/>
      </c>
      <c r="AI31" s="131" t="str">
        <f t="shared" si="1"/>
        <v/>
      </c>
      <c r="AJ31" s="257" t="str">
        <f t="shared" si="2"/>
        <v/>
      </c>
      <c r="AK31" s="127" t="str">
        <f>IF(V31&lt;&gt;1,"",SUM($V$8:V31))</f>
        <v/>
      </c>
      <c r="AL31" s="257">
        <f t="shared" si="5"/>
        <v>1</v>
      </c>
    </row>
    <row r="32" spans="2:38" s="11" customFormat="1" ht="20">
      <c r="B32" s="21"/>
      <c r="C32" s="21"/>
      <c r="D32" s="36"/>
      <c r="E32" s="828"/>
      <c r="F32" s="788"/>
      <c r="G32" s="789"/>
      <c r="H32" s="790"/>
      <c r="I32" s="790"/>
      <c r="J32" s="791"/>
      <c r="K32" s="791"/>
      <c r="L32" s="903"/>
      <c r="M32" s="904"/>
      <c r="N32" s="738"/>
      <c r="O32" s="795"/>
      <c r="P32" s="904"/>
      <c r="Q32" s="738"/>
      <c r="R32" s="795"/>
      <c r="S32" s="793" t="str">
        <f t="shared" si="6"/>
        <v/>
      </c>
      <c r="T32" s="786"/>
      <c r="U32" s="116"/>
      <c r="V32" s="794" t="str">
        <f t="shared" si="8"/>
        <v/>
      </c>
      <c r="X32" s="127" t="s">
        <v>417</v>
      </c>
      <c r="Y32" s="257">
        <f t="shared" si="3"/>
        <v>25</v>
      </c>
      <c r="Z32" s="257" t="str">
        <f>IF(AA32&lt;&gt;"//",COUNTA($AA$8:AA32)-COUNTIF($AA$8:AA32,"//"),"")</f>
        <v/>
      </c>
      <c r="AA32" s="257" t="str">
        <f t="shared" si="0"/>
        <v>//</v>
      </c>
      <c r="AB32" s="257" t="str">
        <f ca="1">_xlfn.IFNA(IF(COUNTIF('4.1(2)新規再エネ導入予定(FS調査、系統接続検討状況)'!$G:$G,OFFSET($AA$7,MATCH($Y32,$Z$8:$Z$167,0),0))=0,OFFSET($AA$7,MATCH($Y32,$Z$8:$Z$167,0),0),""),"")</f>
        <v/>
      </c>
      <c r="AC32" s="257" t="str">
        <f ca="1">_xlfn.IFNA(IF(COUNTIF('4.1(2)新規再エネ導入予定(合意形成)'!$G:$G,OFFSET($AA$7,MATCH($Y32,$Z$8:$Z$167,0),0))=0,OFFSET($AA$7,MATCH($Y32,$Z$8:$Z$167,0),0),""),"")</f>
        <v/>
      </c>
      <c r="AD32" s="257" t="str">
        <f ca="1">_xlfn.IFNA(OFFSET('4.1(2)新規再エネ導入予定(FS調査、系統接続検討状況)'!$W$1,MATCH(G32,'4.1(2)新規再エネ導入予定(FS調査、系統接続検討状況)'!G:G,0)-1,0),"//")</f>
        <v>//</v>
      </c>
      <c r="AE32" s="279" t="str">
        <f ca="1">_xlfn.IFNA(OFFSET('4.1(2)新規再エネ導入予定(合意形成)'!$AJ$1,MATCH(G32,'4.1(2)新規再エネ導入予定(合意形成)'!G:G,0)-1,0),"//")</f>
        <v>//</v>
      </c>
      <c r="AF32" s="257">
        <f t="shared" ca="1" si="4"/>
        <v>0</v>
      </c>
      <c r="AG32" s="131" t="str" cm="1">
        <f t="array" aca="1" ref="AG32" ca="1">IFERROR(_xlfn.IFS(COUNTIF($AB$8:$AC$167,G32)&gt;0,"",AF32&lt;=1,"D",AF32=2,"C",AF32=3,"B",AF32=4,"A"),"")</f>
        <v/>
      </c>
      <c r="AH32" s="257" t="str">
        <f ca="1">_xlfn.IFNA(OFFSET('4.1(2)新規再エネ導入予定(合意形成)'!$Z$1,MATCH($G32,'4.1(2)新規再エネ導入予定(合意形成)'!$G:$G,0)-1,0),"")</f>
        <v/>
      </c>
      <c r="AI32" s="131" t="str">
        <f t="shared" si="1"/>
        <v/>
      </c>
      <c r="AJ32" s="257" t="str">
        <f t="shared" si="2"/>
        <v/>
      </c>
      <c r="AK32" s="127" t="str">
        <f>IF(V32&lt;&gt;1,"",SUM($V$8:V32))</f>
        <v/>
      </c>
      <c r="AL32" s="257">
        <f t="shared" si="5"/>
        <v>1</v>
      </c>
    </row>
    <row r="33" spans="2:38" s="11" customFormat="1" ht="20">
      <c r="B33" s="21"/>
      <c r="C33" s="21"/>
      <c r="D33" s="36"/>
      <c r="E33" s="828"/>
      <c r="F33" s="788"/>
      <c r="G33" s="789"/>
      <c r="H33" s="790"/>
      <c r="I33" s="790"/>
      <c r="J33" s="791"/>
      <c r="K33" s="791"/>
      <c r="L33" s="903"/>
      <c r="M33" s="904"/>
      <c r="N33" s="738"/>
      <c r="O33" s="795"/>
      <c r="P33" s="904"/>
      <c r="Q33" s="738"/>
      <c r="R33" s="795"/>
      <c r="S33" s="793" t="str">
        <f t="shared" si="6"/>
        <v/>
      </c>
      <c r="T33" s="786"/>
      <c r="U33" s="116"/>
      <c r="V33" s="794" t="str">
        <f t="shared" si="8"/>
        <v/>
      </c>
      <c r="X33" s="127" t="s">
        <v>417</v>
      </c>
      <c r="Y33" s="257">
        <f t="shared" si="3"/>
        <v>26</v>
      </c>
      <c r="Z33" s="257" t="str">
        <f>IF(AA33&lt;&gt;"//",COUNTA($AA$8:AA33)-COUNTIF($AA$8:AA33,"//"),"")</f>
        <v/>
      </c>
      <c r="AA33" s="257" t="str">
        <f t="shared" si="0"/>
        <v>//</v>
      </c>
      <c r="AB33" s="257" t="str">
        <f ca="1">_xlfn.IFNA(IF(COUNTIF('4.1(2)新規再エネ導入予定(FS調査、系統接続検討状況)'!$G:$G,OFFSET($AA$7,MATCH($Y33,$Z$8:$Z$167,0),0))=0,OFFSET($AA$7,MATCH($Y33,$Z$8:$Z$167,0),0),""),"")</f>
        <v/>
      </c>
      <c r="AC33" s="257" t="str">
        <f ca="1">_xlfn.IFNA(IF(COUNTIF('4.1(2)新規再エネ導入予定(合意形成)'!$G:$G,OFFSET($AA$7,MATCH($Y33,$Z$8:$Z$167,0),0))=0,OFFSET($AA$7,MATCH($Y33,$Z$8:$Z$167,0),0),""),"")</f>
        <v/>
      </c>
      <c r="AD33" s="257" t="str">
        <f ca="1">_xlfn.IFNA(OFFSET('4.1(2)新規再エネ導入予定(FS調査、系統接続検討状況)'!$W$1,MATCH(G33,'4.1(2)新規再エネ導入予定(FS調査、系統接続検討状況)'!G:G,0)-1,0),"//")</f>
        <v>//</v>
      </c>
      <c r="AE33" s="279" t="str">
        <f ca="1">_xlfn.IFNA(OFFSET('4.1(2)新規再エネ導入予定(合意形成)'!$AJ$1,MATCH(G33,'4.1(2)新規再エネ導入予定(合意形成)'!G:G,0)-1,0),"//")</f>
        <v>//</v>
      </c>
      <c r="AF33" s="257">
        <f t="shared" ca="1" si="4"/>
        <v>0</v>
      </c>
      <c r="AG33" s="131" t="str" cm="1">
        <f t="array" aca="1" ref="AG33" ca="1">IFERROR(_xlfn.IFS(COUNTIF($AB$8:$AC$167,G33)&gt;0,"",AF33&lt;=1,"D",AF33=2,"C",AF33=3,"B",AF33=4,"A"),"")</f>
        <v/>
      </c>
      <c r="AH33" s="257" t="str">
        <f ca="1">_xlfn.IFNA(OFFSET('4.1(2)新規再エネ導入予定(合意形成)'!$Z$1,MATCH($G33,'4.1(2)新規再エネ導入予定(合意形成)'!$G:$G,0)-1,0),"")</f>
        <v/>
      </c>
      <c r="AI33" s="131" t="str">
        <f t="shared" si="1"/>
        <v/>
      </c>
      <c r="AJ33" s="257" t="str">
        <f t="shared" si="2"/>
        <v/>
      </c>
      <c r="AK33" s="127" t="str">
        <f>IF(V33&lt;&gt;1,"",SUM($V$8:V33))</f>
        <v/>
      </c>
      <c r="AL33" s="257">
        <f t="shared" si="5"/>
        <v>1</v>
      </c>
    </row>
    <row r="34" spans="2:38" s="11" customFormat="1" ht="20">
      <c r="B34" s="21"/>
      <c r="C34" s="21"/>
      <c r="D34" s="36"/>
      <c r="E34" s="828"/>
      <c r="F34" s="788"/>
      <c r="G34" s="789"/>
      <c r="H34" s="790"/>
      <c r="I34" s="790"/>
      <c r="J34" s="791"/>
      <c r="K34" s="791"/>
      <c r="L34" s="903"/>
      <c r="M34" s="904"/>
      <c r="N34" s="738"/>
      <c r="O34" s="795"/>
      <c r="P34" s="904"/>
      <c r="Q34" s="738"/>
      <c r="R34" s="795"/>
      <c r="S34" s="793" t="str">
        <f t="shared" si="6"/>
        <v/>
      </c>
      <c r="T34" s="786"/>
      <c r="U34" s="116"/>
      <c r="V34" s="794" t="str">
        <f t="shared" si="8"/>
        <v/>
      </c>
      <c r="X34" s="127" t="s">
        <v>417</v>
      </c>
      <c r="Y34" s="257">
        <f t="shared" si="3"/>
        <v>27</v>
      </c>
      <c r="Z34" s="257" t="str">
        <f>IF(AA34&lt;&gt;"//",COUNTA($AA$8:AA34)-COUNTIF($AA$8:AA34,"//"),"")</f>
        <v/>
      </c>
      <c r="AA34" s="257" t="str">
        <f t="shared" si="0"/>
        <v>//</v>
      </c>
      <c r="AB34" s="257" t="str">
        <f ca="1">_xlfn.IFNA(IF(COUNTIF('4.1(2)新規再エネ導入予定(FS調査、系統接続検討状況)'!$G:$G,OFFSET($AA$7,MATCH($Y34,$Z$8:$Z$167,0),0))=0,OFFSET($AA$7,MATCH($Y34,$Z$8:$Z$167,0),0),""),"")</f>
        <v/>
      </c>
      <c r="AC34" s="257" t="str">
        <f ca="1">_xlfn.IFNA(IF(COUNTIF('4.1(2)新規再エネ導入予定(合意形成)'!$G:$G,OFFSET($AA$7,MATCH($Y34,$Z$8:$Z$167,0),0))=0,OFFSET($AA$7,MATCH($Y34,$Z$8:$Z$167,0),0),""),"")</f>
        <v/>
      </c>
      <c r="AD34" s="257" t="str">
        <f ca="1">_xlfn.IFNA(OFFSET('4.1(2)新規再エネ導入予定(FS調査、系統接続検討状況)'!$W$1,MATCH(G34,'4.1(2)新規再エネ導入予定(FS調査、系統接続検討状況)'!G:G,0)-1,0),"//")</f>
        <v>//</v>
      </c>
      <c r="AE34" s="279" t="str">
        <f ca="1">_xlfn.IFNA(OFFSET('4.1(2)新規再エネ導入予定(合意形成)'!$AJ$1,MATCH(G34,'4.1(2)新規再エネ導入予定(合意形成)'!G:G,0)-1,0),"//")</f>
        <v>//</v>
      </c>
      <c r="AF34" s="257">
        <f t="shared" ca="1" si="4"/>
        <v>0</v>
      </c>
      <c r="AG34" s="131" t="str" cm="1">
        <f t="array" aca="1" ref="AG34" ca="1">IFERROR(_xlfn.IFS(COUNTIF($AB$8:$AC$167,G34)&gt;0,"",AF34&lt;=1,"D",AF34=2,"C",AF34=3,"B",AF34=4,"A"),"")</f>
        <v/>
      </c>
      <c r="AH34" s="257" t="str">
        <f ca="1">_xlfn.IFNA(OFFSET('4.1(2)新規再エネ導入予定(合意形成)'!$Z$1,MATCH($G34,'4.1(2)新規再エネ導入予定(合意形成)'!$G:$G,0)-1,0),"")</f>
        <v/>
      </c>
      <c r="AI34" s="131" t="str">
        <f t="shared" si="1"/>
        <v/>
      </c>
      <c r="AJ34" s="257" t="str">
        <f t="shared" si="2"/>
        <v/>
      </c>
      <c r="AK34" s="127" t="str">
        <f>IF(V34&lt;&gt;1,"",SUM($V$8:V34))</f>
        <v/>
      </c>
      <c r="AL34" s="257">
        <f t="shared" si="5"/>
        <v>1</v>
      </c>
    </row>
    <row r="35" spans="2:38" s="11" customFormat="1" ht="20">
      <c r="B35" s="21"/>
      <c r="C35" s="21"/>
      <c r="D35" s="36"/>
      <c r="E35" s="828"/>
      <c r="F35" s="788"/>
      <c r="G35" s="789"/>
      <c r="H35" s="790"/>
      <c r="I35" s="790"/>
      <c r="J35" s="791"/>
      <c r="K35" s="791"/>
      <c r="L35" s="903"/>
      <c r="M35" s="904"/>
      <c r="N35" s="738"/>
      <c r="O35" s="795"/>
      <c r="P35" s="904"/>
      <c r="Q35" s="738"/>
      <c r="R35" s="795"/>
      <c r="S35" s="793" t="str">
        <f t="shared" si="6"/>
        <v/>
      </c>
      <c r="T35" s="786"/>
      <c r="U35" s="116"/>
      <c r="V35" s="794" t="str">
        <f t="shared" si="8"/>
        <v/>
      </c>
      <c r="X35" s="127" t="s">
        <v>417</v>
      </c>
      <c r="Y35" s="257">
        <f t="shared" si="3"/>
        <v>28</v>
      </c>
      <c r="Z35" s="257" t="str">
        <f>IF(AA35&lt;&gt;"//",COUNTA($AA$8:AA35)-COUNTIF($AA$8:AA35,"//"),"")</f>
        <v/>
      </c>
      <c r="AA35" s="257" t="str">
        <f t="shared" si="0"/>
        <v>//</v>
      </c>
      <c r="AB35" s="257" t="str">
        <f ca="1">_xlfn.IFNA(IF(COUNTIF('4.1(2)新規再エネ導入予定(FS調査、系統接続検討状況)'!$G:$G,OFFSET($AA$7,MATCH($Y35,$Z$8:$Z$167,0),0))=0,OFFSET($AA$7,MATCH($Y35,$Z$8:$Z$167,0),0),""),"")</f>
        <v/>
      </c>
      <c r="AC35" s="257" t="str">
        <f ca="1">_xlfn.IFNA(IF(COUNTIF('4.1(2)新規再エネ導入予定(合意形成)'!$G:$G,OFFSET($AA$7,MATCH($Y35,$Z$8:$Z$167,0),0))=0,OFFSET($AA$7,MATCH($Y35,$Z$8:$Z$167,0),0),""),"")</f>
        <v/>
      </c>
      <c r="AD35" s="257" t="str">
        <f ca="1">_xlfn.IFNA(OFFSET('4.1(2)新規再エネ導入予定(FS調査、系統接続検討状況)'!$W$1,MATCH(G35,'4.1(2)新規再エネ導入予定(FS調査、系統接続検討状況)'!G:G,0)-1,0),"//")</f>
        <v>//</v>
      </c>
      <c r="AE35" s="279" t="str">
        <f ca="1">_xlfn.IFNA(OFFSET('4.1(2)新規再エネ導入予定(合意形成)'!$AJ$1,MATCH(G35,'4.1(2)新規再エネ導入予定(合意形成)'!G:G,0)-1,0),"//")</f>
        <v>//</v>
      </c>
      <c r="AF35" s="257">
        <f t="shared" ca="1" si="4"/>
        <v>0</v>
      </c>
      <c r="AG35" s="131" t="str" cm="1">
        <f t="array" aca="1" ref="AG35" ca="1">IFERROR(_xlfn.IFS(COUNTIF($AB$8:$AC$167,G35)&gt;0,"",AF35&lt;=1,"D",AF35=2,"C",AF35=3,"B",AF35=4,"A"),"")</f>
        <v/>
      </c>
      <c r="AH35" s="257" t="str">
        <f ca="1">_xlfn.IFNA(OFFSET('4.1(2)新規再エネ導入予定(合意形成)'!$Z$1,MATCH($G35,'4.1(2)新規再エネ導入予定(合意形成)'!$G:$G,0)-1,0),"")</f>
        <v/>
      </c>
      <c r="AI35" s="131" t="str">
        <f t="shared" si="1"/>
        <v/>
      </c>
      <c r="AJ35" s="257" t="str">
        <f t="shared" si="2"/>
        <v/>
      </c>
      <c r="AK35" s="127" t="str">
        <f>IF(V35&lt;&gt;1,"",SUM($V$8:V35))</f>
        <v/>
      </c>
      <c r="AL35" s="257">
        <f t="shared" si="5"/>
        <v>1</v>
      </c>
    </row>
    <row r="36" spans="2:38" ht="20">
      <c r="D36" s="190"/>
      <c r="E36" s="829" t="s">
        <v>19</v>
      </c>
      <c r="F36" s="796"/>
      <c r="G36" s="776"/>
      <c r="H36" s="777"/>
      <c r="I36" s="777"/>
      <c r="J36" s="777"/>
      <c r="K36" s="777"/>
      <c r="L36" s="730"/>
      <c r="M36" s="733"/>
      <c r="N36" s="899" t="str">
        <f>IF(AND(COUNTBLANK(M36:M43)&lt;=3,COUNTA(M36:M43)=0),0,IF(SUM(M36:M43)=0,"",SUM(M36:M43)))</f>
        <v/>
      </c>
      <c r="O36" s="905"/>
      <c r="P36" s="736"/>
      <c r="Q36" s="899" t="str">
        <f>IF(AND(COUNTBLANK(P36:P43)&lt;=3,COUNTA(P36:P43)=0),0,IF(SUM(P36:P43)=0,"",SUM(P36:P43)))</f>
        <v/>
      </c>
      <c r="R36" s="778"/>
      <c r="S36" s="779" t="str">
        <f t="shared" si="6"/>
        <v/>
      </c>
      <c r="T36" s="771"/>
      <c r="V36" s="797"/>
      <c r="X36" s="224" t="s">
        <v>417</v>
      </c>
      <c r="Y36" s="177">
        <f t="shared" si="3"/>
        <v>29</v>
      </c>
      <c r="Z36" s="177" t="str">
        <f>IF(AA36&lt;&gt;"//",COUNTA($AA$8:AA36)-COUNTIF($AA$8:AA36,"//"),"")</f>
        <v/>
      </c>
      <c r="AA36" s="177" t="str">
        <f t="shared" si="0"/>
        <v>//</v>
      </c>
      <c r="AB36" s="177" t="str">
        <f ca="1">_xlfn.IFNA(IF(COUNTIF('4.1(2)新規再エネ導入予定(FS調査、系統接続検討状況)'!$G:$G,OFFSET($AA$7,MATCH($Y36,$Z$8:$Z$167,0),0))=0,OFFSET($AA$7,MATCH($Y36,$Z$8:$Z$167,0),0),""),"")</f>
        <v/>
      </c>
      <c r="AC36" s="177" t="str">
        <f ca="1">_xlfn.IFNA(IF(COUNTIF('4.1(2)新規再エネ導入予定(合意形成)'!$G:$G,OFFSET($AA$7,MATCH($Y36,$Z$8:$Z$167,0),0))=0,OFFSET($AA$7,MATCH($Y36,$Z$8:$Z$167,0),0),""),"")</f>
        <v/>
      </c>
      <c r="AD36" s="177" t="str">
        <f ca="1">_xlfn.IFNA(OFFSET('4.1(2)新規再エネ導入予定(FS調査、系統接続検討状況)'!$W$1,MATCH(G36,'4.1(2)新規再エネ導入予定(FS調査、系統接続検討状況)'!G:G,0)-1,0),"//")</f>
        <v>//</v>
      </c>
      <c r="AE36" s="264" t="str">
        <f ca="1">_xlfn.IFNA(OFFSET('4.1(2)新規再エネ導入予定(合意形成)'!$AJ$1,MATCH(G36,'4.1(2)新規再エネ導入予定(合意形成)'!G:G,0)-1,0),"//")</f>
        <v>//</v>
      </c>
      <c r="AF36" s="177">
        <f t="shared" ca="1" si="4"/>
        <v>0</v>
      </c>
      <c r="AG36" s="217" t="str" cm="1">
        <f t="array" aca="1" ref="AG36" ca="1">IFERROR(_xlfn.IFS(COUNTIF($AB$8:$AC$167,G36)&gt;0,"",AF36&lt;=1,"D",AF36=2,"C",AF36=3,"B",AF36=4,"A"),"")</f>
        <v/>
      </c>
      <c r="AH36" s="177" t="str">
        <f ca="1">_xlfn.IFNA(OFFSET('4.1(2)新規再エネ導入予定(合意形成)'!$Z$1,MATCH($G36,'4.1(2)新規再エネ導入予定(合意形成)'!$G:$G,0)-1,0),"")</f>
        <v/>
      </c>
      <c r="AI36" s="217" t="str">
        <f t="shared" si="1"/>
        <v/>
      </c>
      <c r="AJ36" s="177" t="str">
        <f t="shared" si="2"/>
        <v/>
      </c>
      <c r="AK36" s="224" t="str">
        <f>IF(V36&lt;&gt;1,"",SUM($V$8:V36))</f>
        <v/>
      </c>
      <c r="AL36" s="177">
        <f t="shared" si="5"/>
        <v>1</v>
      </c>
    </row>
    <row r="37" spans="2:38" s="11" customFormat="1" ht="20" hidden="1">
      <c r="B37" s="21"/>
      <c r="C37" s="21"/>
      <c r="D37" s="36"/>
      <c r="E37" s="828"/>
      <c r="F37" s="781"/>
      <c r="G37" s="782"/>
      <c r="H37" s="783"/>
      <c r="I37" s="783"/>
      <c r="J37" s="784"/>
      <c r="K37" s="784"/>
      <c r="L37" s="901"/>
      <c r="M37" s="902"/>
      <c r="N37" s="737"/>
      <c r="O37" s="798"/>
      <c r="P37" s="902"/>
      <c r="Q37" s="737"/>
      <c r="R37" s="798"/>
      <c r="S37" s="785" t="str">
        <f t="shared" si="6"/>
        <v/>
      </c>
      <c r="T37" s="786"/>
      <c r="U37" s="116"/>
      <c r="V37" s="787"/>
      <c r="X37" s="127" t="s">
        <v>417</v>
      </c>
      <c r="Y37" s="257">
        <f t="shared" si="3"/>
        <v>30</v>
      </c>
      <c r="Z37" s="257" t="str">
        <f>IF(AA37&lt;&gt;"//",COUNTA($AA$8:AA37)-COUNTIF($AA$8:AA37,"//"),"")</f>
        <v/>
      </c>
      <c r="AA37" s="257" t="str">
        <f t="shared" si="0"/>
        <v>//</v>
      </c>
      <c r="AB37" s="257" t="str">
        <f ca="1">_xlfn.IFNA(IF(COUNTIF('4.1(2)新規再エネ導入予定(FS調査、系統接続検討状況)'!$G:$G,OFFSET($AA$7,MATCH($Y37,$Z$8:$Z$167,0),0))=0,OFFSET($AA$7,MATCH($Y37,$Z$8:$Z$167,0),0),""),"")</f>
        <v/>
      </c>
      <c r="AC37" s="257" t="str">
        <f ca="1">_xlfn.IFNA(IF(COUNTIF('4.1(2)新規再エネ導入予定(合意形成)'!$G:$G,OFFSET($AA$7,MATCH($Y37,$Z$8:$Z$167,0),0))=0,OFFSET($AA$7,MATCH($Y37,$Z$8:$Z$167,0),0),""),"")</f>
        <v/>
      </c>
      <c r="AD37" s="257" t="str">
        <f ca="1">_xlfn.IFNA(OFFSET('4.1(2)新規再エネ導入予定(FS調査、系統接続検討状況)'!$W$1,MATCH(G37,'4.1(2)新規再エネ導入予定(FS調査、系統接続検討状況)'!G:G,0)-1,0),"//")</f>
        <v>//</v>
      </c>
      <c r="AE37" s="279" t="str">
        <f ca="1">_xlfn.IFNA(OFFSET('4.1(2)新規再エネ導入予定(合意形成)'!$AJ$1,MATCH(G37,'4.1(2)新規再エネ導入予定(合意形成)'!G:G,0)-1,0),"//")</f>
        <v>//</v>
      </c>
      <c r="AF37" s="257">
        <f t="shared" ca="1" si="4"/>
        <v>0</v>
      </c>
      <c r="AG37" s="131" t="str" cm="1">
        <f t="array" aca="1" ref="AG37" ca="1">IFERROR(_xlfn.IFS(COUNTIF($AB$8:$AC$167,G37)&gt;0,"",AF37&lt;=1,"D",AF37=2,"C",AF37=3,"B",AF37=4,"A"),"")</f>
        <v/>
      </c>
      <c r="AH37" s="257" t="str">
        <f ca="1">_xlfn.IFNA(OFFSET('4.1(2)新規再エネ導入予定(合意形成)'!$Z$1,MATCH($G37,'4.1(2)新規再エネ導入予定(合意形成)'!$G:$G,0)-1,0),"")</f>
        <v/>
      </c>
      <c r="AI37" s="131" t="str">
        <f t="shared" si="1"/>
        <v/>
      </c>
      <c r="AJ37" s="257" t="str">
        <f t="shared" si="2"/>
        <v/>
      </c>
      <c r="AK37" s="127" t="str">
        <f>IF(V37&lt;&gt;1,"",SUM($V$8:V37))</f>
        <v/>
      </c>
      <c r="AL37" s="257">
        <f t="shared" si="5"/>
        <v>1</v>
      </c>
    </row>
    <row r="38" spans="2:38" s="11" customFormat="1" ht="20">
      <c r="B38" s="21"/>
      <c r="C38" s="21"/>
      <c r="D38" s="36"/>
      <c r="E38" s="828"/>
      <c r="F38" s="788"/>
      <c r="G38" s="789"/>
      <c r="H38" s="790"/>
      <c r="I38" s="790"/>
      <c r="J38" s="791"/>
      <c r="K38" s="791"/>
      <c r="L38" s="903"/>
      <c r="M38" s="904"/>
      <c r="N38" s="738"/>
      <c r="O38" s="795"/>
      <c r="P38" s="904"/>
      <c r="Q38" s="738"/>
      <c r="R38" s="795"/>
      <c r="S38" s="793" t="str">
        <f t="shared" si="6"/>
        <v/>
      </c>
      <c r="T38" s="786"/>
      <c r="U38" s="116"/>
      <c r="V38" s="794" t="str">
        <f t="shared" si="8"/>
        <v/>
      </c>
      <c r="X38" s="127" t="s">
        <v>417</v>
      </c>
      <c r="Y38" s="257">
        <f t="shared" si="3"/>
        <v>31</v>
      </c>
      <c r="Z38" s="257" t="str">
        <f>IF(AA38&lt;&gt;"//",COUNTA($AA$8:AA38)-COUNTIF($AA$8:AA38,"//"),"")</f>
        <v/>
      </c>
      <c r="AA38" s="257" t="str">
        <f t="shared" si="0"/>
        <v>//</v>
      </c>
      <c r="AB38" s="257" t="str">
        <f ca="1">_xlfn.IFNA(IF(COUNTIF('4.1(2)新規再エネ導入予定(FS調査、系統接続検討状況)'!$G:$G,OFFSET($AA$7,MATCH($Y38,$Z$8:$Z$167,0),0))=0,OFFSET($AA$7,MATCH($Y38,$Z$8:$Z$167,0),0),""),"")</f>
        <v/>
      </c>
      <c r="AC38" s="257" t="str">
        <f ca="1">_xlfn.IFNA(IF(COUNTIF('4.1(2)新規再エネ導入予定(合意形成)'!$G:$G,OFFSET($AA$7,MATCH($Y38,$Z$8:$Z$167,0),0))=0,OFFSET($AA$7,MATCH($Y38,$Z$8:$Z$167,0),0),""),"")</f>
        <v/>
      </c>
      <c r="AD38" s="257" t="str">
        <f ca="1">_xlfn.IFNA(OFFSET('4.1(2)新規再エネ導入予定(FS調査、系統接続検討状況)'!$W$1,MATCH(G38,'4.1(2)新規再エネ導入予定(FS調査、系統接続検討状況)'!G:G,0)-1,0),"//")</f>
        <v>//</v>
      </c>
      <c r="AE38" s="279" t="str">
        <f ca="1">_xlfn.IFNA(OFFSET('4.1(2)新規再エネ導入予定(合意形成)'!$AJ$1,MATCH(G38,'4.1(2)新規再エネ導入予定(合意形成)'!G:G,0)-1,0),"//")</f>
        <v>//</v>
      </c>
      <c r="AF38" s="257">
        <f t="shared" ca="1" si="4"/>
        <v>0</v>
      </c>
      <c r="AG38" s="131" t="str" cm="1">
        <f t="array" aca="1" ref="AG38" ca="1">IFERROR(_xlfn.IFS(COUNTIF($AB$8:$AC$167,G38)&gt;0,"",AF38&lt;=1,"D",AF38=2,"C",AF38=3,"B",AF38=4,"A"),"")</f>
        <v/>
      </c>
      <c r="AH38" s="257" t="str">
        <f ca="1">_xlfn.IFNA(OFFSET('4.1(2)新規再エネ導入予定(合意形成)'!$Z$1,MATCH($G38,'4.1(2)新規再エネ導入予定(合意形成)'!$G:$G,0)-1,0),"")</f>
        <v/>
      </c>
      <c r="AI38" s="131" t="str">
        <f t="shared" si="1"/>
        <v/>
      </c>
      <c r="AJ38" s="257" t="str">
        <f t="shared" si="2"/>
        <v/>
      </c>
      <c r="AK38" s="127" t="str">
        <f>IF(V38&lt;&gt;1,"",SUM($V$8:V38))</f>
        <v/>
      </c>
      <c r="AL38" s="257">
        <f t="shared" si="5"/>
        <v>1</v>
      </c>
    </row>
    <row r="39" spans="2:38" s="11" customFormat="1" ht="20">
      <c r="B39" s="21"/>
      <c r="C39" s="21"/>
      <c r="D39" s="36"/>
      <c r="E39" s="828"/>
      <c r="F39" s="788"/>
      <c r="G39" s="789"/>
      <c r="H39" s="790"/>
      <c r="I39" s="790"/>
      <c r="J39" s="791"/>
      <c r="K39" s="791"/>
      <c r="L39" s="903"/>
      <c r="M39" s="904"/>
      <c r="N39" s="738"/>
      <c r="O39" s="795"/>
      <c r="P39" s="904"/>
      <c r="Q39" s="738"/>
      <c r="R39" s="795"/>
      <c r="S39" s="793" t="str">
        <f t="shared" si="6"/>
        <v/>
      </c>
      <c r="T39" s="786"/>
      <c r="U39" s="116"/>
      <c r="V39" s="794" t="str">
        <f t="shared" si="8"/>
        <v/>
      </c>
      <c r="X39" s="127" t="s">
        <v>417</v>
      </c>
      <c r="Y39" s="257">
        <f t="shared" si="3"/>
        <v>32</v>
      </c>
      <c r="Z39" s="257" t="str">
        <f>IF(AA39&lt;&gt;"//",COUNTA($AA$8:AA39)-COUNTIF($AA$8:AA39,"//"),"")</f>
        <v/>
      </c>
      <c r="AA39" s="257" t="str">
        <f t="shared" si="0"/>
        <v>//</v>
      </c>
      <c r="AB39" s="257" t="str">
        <f ca="1">_xlfn.IFNA(IF(COUNTIF('4.1(2)新規再エネ導入予定(FS調査、系統接続検討状況)'!$G:$G,OFFSET($AA$7,MATCH($Y39,$Z$8:$Z$167,0),0))=0,OFFSET($AA$7,MATCH($Y39,$Z$8:$Z$167,0),0),""),"")</f>
        <v/>
      </c>
      <c r="AC39" s="257" t="str">
        <f ca="1">_xlfn.IFNA(IF(COUNTIF('4.1(2)新規再エネ導入予定(合意形成)'!$G:$G,OFFSET($AA$7,MATCH($Y39,$Z$8:$Z$167,0),0))=0,OFFSET($AA$7,MATCH($Y39,$Z$8:$Z$167,0),0),""),"")</f>
        <v/>
      </c>
      <c r="AD39" s="257" t="str">
        <f ca="1">_xlfn.IFNA(OFFSET('4.1(2)新規再エネ導入予定(FS調査、系統接続検討状況)'!$W$1,MATCH(G39,'4.1(2)新規再エネ導入予定(FS調査、系統接続検討状況)'!G:G,0)-1,0),"//")</f>
        <v>//</v>
      </c>
      <c r="AE39" s="279" t="str">
        <f ca="1">_xlfn.IFNA(OFFSET('4.1(2)新規再エネ導入予定(合意形成)'!$AJ$1,MATCH(G39,'4.1(2)新規再エネ導入予定(合意形成)'!G:G,0)-1,0),"//")</f>
        <v>//</v>
      </c>
      <c r="AF39" s="257">
        <f t="shared" ca="1" si="4"/>
        <v>0</v>
      </c>
      <c r="AG39" s="131" t="str" cm="1">
        <f t="array" aca="1" ref="AG39" ca="1">IFERROR(_xlfn.IFS(COUNTIF($AB$8:$AC$167,G39)&gt;0,"",AF39&lt;=1,"D",AF39=2,"C",AF39=3,"B",AF39=4,"A"),"")</f>
        <v/>
      </c>
      <c r="AH39" s="257" t="str">
        <f ca="1">_xlfn.IFNA(OFFSET('4.1(2)新規再エネ導入予定(合意形成)'!$Z$1,MATCH($G39,'4.1(2)新規再エネ導入予定(合意形成)'!$G:$G,0)-1,0),"")</f>
        <v/>
      </c>
      <c r="AI39" s="131" t="str">
        <f t="shared" si="1"/>
        <v/>
      </c>
      <c r="AJ39" s="257" t="str">
        <f t="shared" si="2"/>
        <v/>
      </c>
      <c r="AK39" s="127" t="str">
        <f>IF(V39&lt;&gt;1,"",SUM($V$8:V39))</f>
        <v/>
      </c>
      <c r="AL39" s="257">
        <f t="shared" si="5"/>
        <v>1</v>
      </c>
    </row>
    <row r="40" spans="2:38" s="11" customFormat="1" ht="20">
      <c r="B40" s="21"/>
      <c r="C40" s="21"/>
      <c r="D40" s="36"/>
      <c r="E40" s="828"/>
      <c r="F40" s="788"/>
      <c r="G40" s="789"/>
      <c r="H40" s="790"/>
      <c r="I40" s="790"/>
      <c r="J40" s="791"/>
      <c r="K40" s="791"/>
      <c r="L40" s="903"/>
      <c r="M40" s="904"/>
      <c r="N40" s="738"/>
      <c r="O40" s="795"/>
      <c r="P40" s="904"/>
      <c r="Q40" s="738"/>
      <c r="R40" s="795"/>
      <c r="S40" s="793" t="str">
        <f t="shared" si="6"/>
        <v/>
      </c>
      <c r="T40" s="786"/>
      <c r="U40" s="116"/>
      <c r="V40" s="794" t="str">
        <f t="shared" si="8"/>
        <v/>
      </c>
      <c r="X40" s="127" t="s">
        <v>417</v>
      </c>
      <c r="Y40" s="257">
        <f t="shared" si="3"/>
        <v>33</v>
      </c>
      <c r="Z40" s="257" t="str">
        <f>IF(AA40&lt;&gt;"//",COUNTA($AA$8:AA40)-COUNTIF($AA$8:AA40,"//"),"")</f>
        <v/>
      </c>
      <c r="AA40" s="257" t="str">
        <f t="shared" ref="AA40:AA71" si="9">IF(OR(G40="",G40="施設番号"),"//",G40)</f>
        <v>//</v>
      </c>
      <c r="AB40" s="257" t="str">
        <f ca="1">_xlfn.IFNA(IF(COUNTIF('4.1(2)新規再エネ導入予定(FS調査、系統接続検討状況)'!$G:$G,OFFSET($AA$7,MATCH($Y40,$Z$8:$Z$167,0),0))=0,OFFSET($AA$7,MATCH($Y40,$Z$8:$Z$167,0),0),""),"")</f>
        <v/>
      </c>
      <c r="AC40" s="257" t="str">
        <f ca="1">_xlfn.IFNA(IF(COUNTIF('4.1(2)新規再エネ導入予定(合意形成)'!$G:$G,OFFSET($AA$7,MATCH($Y40,$Z$8:$Z$167,0),0))=0,OFFSET($AA$7,MATCH($Y40,$Z$8:$Z$167,0),0),""),"")</f>
        <v/>
      </c>
      <c r="AD40" s="257" t="str">
        <f ca="1">_xlfn.IFNA(OFFSET('4.1(2)新規再エネ導入予定(FS調査、系統接続検討状況)'!$W$1,MATCH(G40,'4.1(2)新規再エネ導入予定(FS調査、系統接続検討状況)'!G:G,0)-1,0),"//")</f>
        <v>//</v>
      </c>
      <c r="AE40" s="279" t="str">
        <f ca="1">_xlfn.IFNA(OFFSET('4.1(2)新規再エネ導入予定(合意形成)'!$AJ$1,MATCH(G40,'4.1(2)新規再エネ導入予定(合意形成)'!G:G,0)-1,0),"//")</f>
        <v>//</v>
      </c>
      <c r="AF40" s="257">
        <f t="shared" ca="1" si="4"/>
        <v>0</v>
      </c>
      <c r="AG40" s="131" t="str" cm="1">
        <f t="array" aca="1" ref="AG40" ca="1">IFERROR(_xlfn.IFS(COUNTIF($AB$8:$AC$167,G40)&gt;0,"",AF40&lt;=1,"D",AF40=2,"C",AF40=3,"B",AF40=4,"A"),"")</f>
        <v/>
      </c>
      <c r="AH40" s="257" t="str">
        <f ca="1">_xlfn.IFNA(OFFSET('4.1(2)新規再エネ導入予定(合意形成)'!$Z$1,MATCH($G40,'4.1(2)新規再エネ導入予定(合意形成)'!$G:$G,0)-1,0),"")</f>
        <v/>
      </c>
      <c r="AI40" s="131" t="str">
        <f t="shared" ref="AI40:AI71" si="10">IF(G40="","",AG40)</f>
        <v/>
      </c>
      <c r="AJ40" s="257" t="str">
        <f t="shared" si="2"/>
        <v/>
      </c>
      <c r="AK40" s="127" t="str">
        <f>IF(V40&lt;&gt;1,"",SUM($V$8:V40))</f>
        <v/>
      </c>
      <c r="AL40" s="257">
        <f t="shared" si="5"/>
        <v>1</v>
      </c>
    </row>
    <row r="41" spans="2:38" s="11" customFormat="1" ht="20">
      <c r="B41" s="21"/>
      <c r="C41" s="21"/>
      <c r="D41" s="36"/>
      <c r="E41" s="828"/>
      <c r="F41" s="788"/>
      <c r="G41" s="789"/>
      <c r="H41" s="790"/>
      <c r="I41" s="790"/>
      <c r="J41" s="791"/>
      <c r="K41" s="791"/>
      <c r="L41" s="903"/>
      <c r="M41" s="904"/>
      <c r="N41" s="738"/>
      <c r="O41" s="795"/>
      <c r="P41" s="904"/>
      <c r="Q41" s="738"/>
      <c r="R41" s="795"/>
      <c r="S41" s="793" t="str">
        <f t="shared" si="6"/>
        <v/>
      </c>
      <c r="T41" s="786"/>
      <c r="U41" s="116"/>
      <c r="V41" s="794" t="str">
        <f t="shared" si="8"/>
        <v/>
      </c>
      <c r="X41" s="127" t="s">
        <v>417</v>
      </c>
      <c r="Y41" s="257">
        <f t="shared" si="3"/>
        <v>34</v>
      </c>
      <c r="Z41" s="257" t="str">
        <f>IF(AA41&lt;&gt;"//",COUNTA($AA$8:AA41)-COUNTIF($AA$8:AA41,"//"),"")</f>
        <v/>
      </c>
      <c r="AA41" s="257" t="str">
        <f t="shared" si="9"/>
        <v>//</v>
      </c>
      <c r="AB41" s="257" t="str">
        <f ca="1">_xlfn.IFNA(IF(COUNTIF('4.1(2)新規再エネ導入予定(FS調査、系統接続検討状況)'!$G:$G,OFFSET($AA$7,MATCH($Y41,$Z$8:$Z$167,0),0))=0,OFFSET($AA$7,MATCH($Y41,$Z$8:$Z$167,0),0),""),"")</f>
        <v/>
      </c>
      <c r="AC41" s="257" t="str">
        <f ca="1">_xlfn.IFNA(IF(COUNTIF('4.1(2)新規再エネ導入予定(合意形成)'!$G:$G,OFFSET($AA$7,MATCH($Y41,$Z$8:$Z$167,0),0))=0,OFFSET($AA$7,MATCH($Y41,$Z$8:$Z$167,0),0),""),"")</f>
        <v/>
      </c>
      <c r="AD41" s="257" t="str">
        <f ca="1">_xlfn.IFNA(OFFSET('4.1(2)新規再エネ導入予定(FS調査、系統接続検討状況)'!$W$1,MATCH(G41,'4.1(2)新規再エネ導入予定(FS調査、系統接続検討状況)'!G:G,0)-1,0),"//")</f>
        <v>//</v>
      </c>
      <c r="AE41" s="279" t="str">
        <f ca="1">_xlfn.IFNA(OFFSET('4.1(2)新規再エネ導入予定(合意形成)'!$AJ$1,MATCH(G41,'4.1(2)新規再エネ導入予定(合意形成)'!G:G,0)-1,0),"//")</f>
        <v>//</v>
      </c>
      <c r="AF41" s="257">
        <f t="shared" ca="1" si="4"/>
        <v>0</v>
      </c>
      <c r="AG41" s="131" t="str" cm="1">
        <f t="array" aca="1" ref="AG41" ca="1">IFERROR(_xlfn.IFS(COUNTIF($AB$8:$AC$167,G41)&gt;0,"",AF41&lt;=1,"D",AF41=2,"C",AF41=3,"B",AF41=4,"A"),"")</f>
        <v/>
      </c>
      <c r="AH41" s="257" t="str">
        <f ca="1">_xlfn.IFNA(OFFSET('4.1(2)新規再エネ導入予定(合意形成)'!$Z$1,MATCH($G41,'4.1(2)新規再エネ導入予定(合意形成)'!$G:$G,0)-1,0),"")</f>
        <v/>
      </c>
      <c r="AI41" s="131" t="str">
        <f t="shared" si="10"/>
        <v/>
      </c>
      <c r="AJ41" s="257" t="str">
        <f t="shared" si="2"/>
        <v/>
      </c>
      <c r="AK41" s="127" t="str">
        <f>IF(V41&lt;&gt;1,"",SUM($V$8:V41))</f>
        <v/>
      </c>
      <c r="AL41" s="257">
        <f t="shared" si="5"/>
        <v>1</v>
      </c>
    </row>
    <row r="42" spans="2:38" s="11" customFormat="1" ht="20">
      <c r="B42" s="21"/>
      <c r="C42" s="21"/>
      <c r="D42" s="36"/>
      <c r="E42" s="828"/>
      <c r="F42" s="788"/>
      <c r="G42" s="789"/>
      <c r="H42" s="790"/>
      <c r="I42" s="790"/>
      <c r="J42" s="791"/>
      <c r="K42" s="791"/>
      <c r="L42" s="903"/>
      <c r="M42" s="904"/>
      <c r="N42" s="738"/>
      <c r="O42" s="795"/>
      <c r="P42" s="904"/>
      <c r="Q42" s="738"/>
      <c r="R42" s="795"/>
      <c r="S42" s="793" t="str">
        <f t="shared" ref="S42:S73" si="11">IF(G42="","",AG42)</f>
        <v/>
      </c>
      <c r="T42" s="786"/>
      <c r="U42" s="116"/>
      <c r="V42" s="794" t="str">
        <f t="shared" si="8"/>
        <v/>
      </c>
      <c r="X42" s="127" t="s">
        <v>417</v>
      </c>
      <c r="Y42" s="257">
        <f t="shared" si="3"/>
        <v>35</v>
      </c>
      <c r="Z42" s="257" t="str">
        <f>IF(AA42&lt;&gt;"//",COUNTA($AA$8:AA42)-COUNTIF($AA$8:AA42,"//"),"")</f>
        <v/>
      </c>
      <c r="AA42" s="257" t="str">
        <f t="shared" si="9"/>
        <v>//</v>
      </c>
      <c r="AB42" s="257" t="str">
        <f ca="1">_xlfn.IFNA(IF(COUNTIF('4.1(2)新規再エネ導入予定(FS調査、系統接続検討状況)'!$G:$G,OFFSET($AA$7,MATCH($Y42,$Z$8:$Z$167,0),0))=0,OFFSET($AA$7,MATCH($Y42,$Z$8:$Z$167,0),0),""),"")</f>
        <v/>
      </c>
      <c r="AC42" s="257" t="str">
        <f ca="1">_xlfn.IFNA(IF(COUNTIF('4.1(2)新規再エネ導入予定(合意形成)'!$G:$G,OFFSET($AA$7,MATCH($Y42,$Z$8:$Z$167,0),0))=0,OFFSET($AA$7,MATCH($Y42,$Z$8:$Z$167,0),0),""),"")</f>
        <v/>
      </c>
      <c r="AD42" s="257" t="str">
        <f ca="1">_xlfn.IFNA(OFFSET('4.1(2)新規再エネ導入予定(FS調査、系統接続検討状況)'!$W$1,MATCH(G42,'4.1(2)新規再エネ導入予定(FS調査、系統接続検討状況)'!G:G,0)-1,0),"//")</f>
        <v>//</v>
      </c>
      <c r="AE42" s="279" t="str">
        <f ca="1">_xlfn.IFNA(OFFSET('4.1(2)新規再エネ導入予定(合意形成)'!$AJ$1,MATCH(G42,'4.1(2)新規再エネ導入予定(合意形成)'!G:G,0)-1,0),"//")</f>
        <v>//</v>
      </c>
      <c r="AF42" s="257">
        <f t="shared" ca="1" si="4"/>
        <v>0</v>
      </c>
      <c r="AG42" s="131" t="str" cm="1">
        <f t="array" aca="1" ref="AG42" ca="1">IFERROR(_xlfn.IFS(COUNTIF($AB$8:$AC$167,G42)&gt;0,"",AF42&lt;=1,"D",AF42=2,"C",AF42=3,"B",AF42=4,"A"),"")</f>
        <v/>
      </c>
      <c r="AH42" s="257" t="str">
        <f ca="1">_xlfn.IFNA(OFFSET('4.1(2)新規再エネ導入予定(合意形成)'!$Z$1,MATCH($G42,'4.1(2)新規再エネ導入予定(合意形成)'!$G:$G,0)-1,0),"")</f>
        <v/>
      </c>
      <c r="AI42" s="131" t="str">
        <f t="shared" si="10"/>
        <v/>
      </c>
      <c r="AJ42" s="257" t="str">
        <f t="shared" si="2"/>
        <v/>
      </c>
      <c r="AK42" s="127" t="str">
        <f>IF(V42&lt;&gt;1,"",SUM($V$8:V42))</f>
        <v/>
      </c>
      <c r="AL42" s="257">
        <f t="shared" si="5"/>
        <v>1</v>
      </c>
    </row>
    <row r="43" spans="2:38" ht="20">
      <c r="D43" s="190"/>
      <c r="E43" s="829" t="s">
        <v>198</v>
      </c>
      <c r="F43" s="796"/>
      <c r="G43" s="776"/>
      <c r="H43" s="777"/>
      <c r="I43" s="777"/>
      <c r="J43" s="777"/>
      <c r="K43" s="777"/>
      <c r="L43" s="730"/>
      <c r="M43" s="733"/>
      <c r="N43" s="899" t="str">
        <f>IF(AND(COUNTBLANK(M43:M50)&lt;=3,COUNTA(M43:M50)=0),0,IF(SUM(M43:M50)=0,"",SUM(M43:M50)))</f>
        <v/>
      </c>
      <c r="O43" s="905"/>
      <c r="P43" s="736"/>
      <c r="Q43" s="899" t="str">
        <f>IF(AND(COUNTBLANK(P43:P50)&lt;=3,COUNTA(P43:P50)=0),0,IF(SUM(P43:P50)=0,"",SUM(P43:P50)))</f>
        <v/>
      </c>
      <c r="R43" s="778"/>
      <c r="S43" s="779" t="str">
        <f t="shared" si="11"/>
        <v/>
      </c>
      <c r="T43" s="771"/>
      <c r="V43" s="797"/>
      <c r="X43" s="224" t="s">
        <v>417</v>
      </c>
      <c r="Y43" s="177">
        <f t="shared" si="3"/>
        <v>36</v>
      </c>
      <c r="Z43" s="177" t="str">
        <f>IF(AA43&lt;&gt;"//",COUNTA($AA$8:AA43)-COUNTIF($AA$8:AA43,"//"),"")</f>
        <v/>
      </c>
      <c r="AA43" s="177" t="str">
        <f t="shared" si="9"/>
        <v>//</v>
      </c>
      <c r="AB43" s="177" t="str">
        <f ca="1">_xlfn.IFNA(IF(COUNTIF('4.1(2)新規再エネ導入予定(FS調査、系統接続検討状況)'!$G:$G,OFFSET($AA$7,MATCH($Y43,$Z$8:$Z$167,0),0))=0,OFFSET($AA$7,MATCH($Y43,$Z$8:$Z$167,0),0),""),"")</f>
        <v/>
      </c>
      <c r="AC43" s="177" t="str">
        <f ca="1">_xlfn.IFNA(IF(COUNTIF('4.1(2)新規再エネ導入予定(合意形成)'!$G:$G,OFFSET($AA$7,MATCH($Y43,$Z$8:$Z$167,0),0))=0,OFFSET($AA$7,MATCH($Y43,$Z$8:$Z$167,0),0),""),"")</f>
        <v/>
      </c>
      <c r="AD43" s="177" t="str">
        <f ca="1">_xlfn.IFNA(OFFSET('4.1(2)新規再エネ導入予定(FS調査、系統接続検討状況)'!$W$1,MATCH(G43,'4.1(2)新規再エネ導入予定(FS調査、系統接続検討状況)'!G:G,0)-1,0),"//")</f>
        <v>//</v>
      </c>
      <c r="AE43" s="264" t="str">
        <f ca="1">_xlfn.IFNA(OFFSET('4.1(2)新規再エネ導入予定(合意形成)'!$AJ$1,MATCH(G43,'4.1(2)新規再エネ導入予定(合意形成)'!G:G,0)-1,0),"//")</f>
        <v>//</v>
      </c>
      <c r="AF43" s="177">
        <f t="shared" ca="1" si="4"/>
        <v>0</v>
      </c>
      <c r="AG43" s="217" t="str" cm="1">
        <f t="array" aca="1" ref="AG43" ca="1">IFERROR(_xlfn.IFS(COUNTIF($AB$8:$AC$167,G43)&gt;0,"",AF43&lt;=1,"D",AF43=2,"C",AF43=3,"B",AF43=4,"A"),"")</f>
        <v/>
      </c>
      <c r="AH43" s="177" t="str">
        <f ca="1">_xlfn.IFNA(OFFSET('4.1(2)新規再エネ導入予定(合意形成)'!$Z$1,MATCH($G43,'4.1(2)新規再エネ導入予定(合意形成)'!$G:$G,0)-1,0),"")</f>
        <v/>
      </c>
      <c r="AI43" s="217" t="str">
        <f t="shared" si="10"/>
        <v/>
      </c>
      <c r="AJ43" s="177" t="str">
        <f t="shared" si="2"/>
        <v/>
      </c>
      <c r="AK43" s="224" t="str">
        <f>IF(V43&lt;&gt;1,"",SUM($V$8:V43))</f>
        <v/>
      </c>
      <c r="AL43" s="177">
        <f t="shared" si="5"/>
        <v>1</v>
      </c>
    </row>
    <row r="44" spans="2:38" s="11" customFormat="1" ht="20" hidden="1">
      <c r="B44" s="21"/>
      <c r="C44" s="21"/>
      <c r="D44" s="36"/>
      <c r="E44" s="828"/>
      <c r="F44" s="781"/>
      <c r="G44" s="782"/>
      <c r="H44" s="783"/>
      <c r="I44" s="783"/>
      <c r="J44" s="784"/>
      <c r="K44" s="784"/>
      <c r="L44" s="901"/>
      <c r="M44" s="902"/>
      <c r="N44" s="737"/>
      <c r="O44" s="798"/>
      <c r="P44" s="902"/>
      <c r="Q44" s="737"/>
      <c r="R44" s="798"/>
      <c r="S44" s="785" t="str">
        <f t="shared" si="11"/>
        <v/>
      </c>
      <c r="T44" s="786"/>
      <c r="U44" s="116"/>
      <c r="V44" s="787"/>
      <c r="X44" s="127" t="s">
        <v>417</v>
      </c>
      <c r="Y44" s="257">
        <f t="shared" si="3"/>
        <v>37</v>
      </c>
      <c r="Z44" s="257" t="str">
        <f>IF(AA44&lt;&gt;"//",COUNTA($AA$8:AA44)-COUNTIF($AA$8:AA44,"//"),"")</f>
        <v/>
      </c>
      <c r="AA44" s="257" t="str">
        <f t="shared" si="9"/>
        <v>//</v>
      </c>
      <c r="AB44" s="257" t="str">
        <f ca="1">_xlfn.IFNA(IF(COUNTIF('4.1(2)新規再エネ導入予定(FS調査、系統接続検討状況)'!$G:$G,OFFSET($AA$7,MATCH($Y44,$Z$8:$Z$167,0),0))=0,OFFSET($AA$7,MATCH($Y44,$Z$8:$Z$167,0),0),""),"")</f>
        <v/>
      </c>
      <c r="AC44" s="257" t="str">
        <f ca="1">_xlfn.IFNA(IF(COUNTIF('4.1(2)新規再エネ導入予定(合意形成)'!$G:$G,OFFSET($AA$7,MATCH($Y44,$Z$8:$Z$167,0),0))=0,OFFSET($AA$7,MATCH($Y44,$Z$8:$Z$167,0),0),""),"")</f>
        <v/>
      </c>
      <c r="AD44" s="257" t="str">
        <f ca="1">_xlfn.IFNA(OFFSET('4.1(2)新規再エネ導入予定(FS調査、系統接続検討状況)'!$W$1,MATCH(G44,'4.1(2)新規再エネ導入予定(FS調査、系統接続検討状況)'!G:G,0)-1,0),"//")</f>
        <v>//</v>
      </c>
      <c r="AE44" s="279" t="str">
        <f ca="1">_xlfn.IFNA(OFFSET('4.1(2)新規再エネ導入予定(合意形成)'!$AJ$1,MATCH(G44,'4.1(2)新規再エネ導入予定(合意形成)'!G:G,0)-1,0),"//")</f>
        <v>//</v>
      </c>
      <c r="AF44" s="257">
        <f t="shared" ca="1" si="4"/>
        <v>0</v>
      </c>
      <c r="AG44" s="131" t="str" cm="1">
        <f t="array" aca="1" ref="AG44" ca="1">IFERROR(_xlfn.IFS(COUNTIF($AB$8:$AC$167,G44)&gt;0,"",AF44&lt;=1,"D",AF44=2,"C",AF44=3,"B",AF44=4,"A"),"")</f>
        <v/>
      </c>
      <c r="AH44" s="257" t="str">
        <f ca="1">_xlfn.IFNA(OFFSET('4.1(2)新規再エネ導入予定(合意形成)'!$Z$1,MATCH($G44,'4.1(2)新規再エネ導入予定(合意形成)'!$G:$G,0)-1,0),"")</f>
        <v/>
      </c>
      <c r="AI44" s="131" t="str">
        <f t="shared" si="10"/>
        <v/>
      </c>
      <c r="AJ44" s="257" t="str">
        <f t="shared" si="2"/>
        <v/>
      </c>
      <c r="AK44" s="127" t="str">
        <f>IF(V44&lt;&gt;1,"",SUM($V$8:V44))</f>
        <v/>
      </c>
      <c r="AL44" s="257">
        <f t="shared" si="5"/>
        <v>1</v>
      </c>
    </row>
    <row r="45" spans="2:38" s="11" customFormat="1" ht="20">
      <c r="B45" s="21"/>
      <c r="C45" s="21"/>
      <c r="D45" s="36"/>
      <c r="E45" s="828"/>
      <c r="F45" s="788"/>
      <c r="G45" s="789"/>
      <c r="H45" s="790"/>
      <c r="I45" s="790"/>
      <c r="J45" s="791"/>
      <c r="K45" s="791"/>
      <c r="L45" s="903"/>
      <c r="M45" s="904"/>
      <c r="N45" s="738"/>
      <c r="O45" s="795"/>
      <c r="P45" s="904"/>
      <c r="Q45" s="738"/>
      <c r="R45" s="795"/>
      <c r="S45" s="793" t="str">
        <f t="shared" si="11"/>
        <v/>
      </c>
      <c r="T45" s="786"/>
      <c r="U45" s="116"/>
      <c r="V45" s="794" t="str">
        <f t="shared" si="8"/>
        <v/>
      </c>
      <c r="X45" s="127" t="s">
        <v>417</v>
      </c>
      <c r="Y45" s="257">
        <f t="shared" si="3"/>
        <v>38</v>
      </c>
      <c r="Z45" s="257" t="str">
        <f>IF(AA45&lt;&gt;"//",COUNTA($AA$8:AA45)-COUNTIF($AA$8:AA45,"//"),"")</f>
        <v/>
      </c>
      <c r="AA45" s="257" t="str">
        <f t="shared" si="9"/>
        <v>//</v>
      </c>
      <c r="AB45" s="257" t="str">
        <f ca="1">_xlfn.IFNA(IF(COUNTIF('4.1(2)新規再エネ導入予定(FS調査、系統接続検討状況)'!$G:$G,OFFSET($AA$7,MATCH($Y45,$Z$8:$Z$167,0),0))=0,OFFSET($AA$7,MATCH($Y45,$Z$8:$Z$167,0),0),""),"")</f>
        <v/>
      </c>
      <c r="AC45" s="257" t="str">
        <f ca="1">_xlfn.IFNA(IF(COUNTIF('4.1(2)新規再エネ導入予定(合意形成)'!$G:$G,OFFSET($AA$7,MATCH($Y45,$Z$8:$Z$167,0),0))=0,OFFSET($AA$7,MATCH($Y45,$Z$8:$Z$167,0),0),""),"")</f>
        <v/>
      </c>
      <c r="AD45" s="257" t="str">
        <f ca="1">_xlfn.IFNA(OFFSET('4.1(2)新規再エネ導入予定(FS調査、系統接続検討状況)'!$W$1,MATCH(G45,'4.1(2)新規再エネ導入予定(FS調査、系統接続検討状況)'!G:G,0)-1,0),"//")</f>
        <v>//</v>
      </c>
      <c r="AE45" s="279" t="str">
        <f ca="1">_xlfn.IFNA(OFFSET('4.1(2)新規再エネ導入予定(合意形成)'!$AJ$1,MATCH(G45,'4.1(2)新規再エネ導入予定(合意形成)'!G:G,0)-1,0),"//")</f>
        <v>//</v>
      </c>
      <c r="AF45" s="257">
        <f t="shared" ca="1" si="4"/>
        <v>0</v>
      </c>
      <c r="AG45" s="131" t="str" cm="1">
        <f t="array" aca="1" ref="AG45" ca="1">IFERROR(_xlfn.IFS(COUNTIF($AB$8:$AC$167,G45)&gt;0,"",AF45&lt;=1,"D",AF45=2,"C",AF45=3,"B",AF45=4,"A"),"")</f>
        <v/>
      </c>
      <c r="AH45" s="257" t="str">
        <f ca="1">_xlfn.IFNA(OFFSET('4.1(2)新規再エネ導入予定(合意形成)'!$Z$1,MATCH($G45,'4.1(2)新規再エネ導入予定(合意形成)'!$G:$G,0)-1,0),"")</f>
        <v/>
      </c>
      <c r="AI45" s="131" t="str">
        <f t="shared" si="10"/>
        <v/>
      </c>
      <c r="AJ45" s="257" t="str">
        <f t="shared" si="2"/>
        <v/>
      </c>
      <c r="AK45" s="127" t="str">
        <f>IF(V45&lt;&gt;1,"",SUM($V$8:V45))</f>
        <v/>
      </c>
      <c r="AL45" s="257">
        <f t="shared" si="5"/>
        <v>1</v>
      </c>
    </row>
    <row r="46" spans="2:38" s="11" customFormat="1" ht="20">
      <c r="B46" s="21"/>
      <c r="C46" s="21"/>
      <c r="D46" s="36"/>
      <c r="E46" s="828"/>
      <c r="F46" s="788"/>
      <c r="G46" s="789"/>
      <c r="H46" s="790"/>
      <c r="I46" s="790"/>
      <c r="J46" s="791"/>
      <c r="K46" s="791"/>
      <c r="L46" s="903"/>
      <c r="M46" s="904"/>
      <c r="N46" s="738"/>
      <c r="O46" s="795"/>
      <c r="P46" s="904"/>
      <c r="Q46" s="738"/>
      <c r="R46" s="795"/>
      <c r="S46" s="793" t="str">
        <f t="shared" si="11"/>
        <v/>
      </c>
      <c r="T46" s="786"/>
      <c r="U46" s="116"/>
      <c r="V46" s="794" t="str">
        <f t="shared" si="8"/>
        <v/>
      </c>
      <c r="X46" s="127" t="s">
        <v>417</v>
      </c>
      <c r="Y46" s="257">
        <f t="shared" si="3"/>
        <v>39</v>
      </c>
      <c r="Z46" s="257" t="str">
        <f>IF(AA46&lt;&gt;"//",COUNTA($AA$8:AA46)-COUNTIF($AA$8:AA46,"//"),"")</f>
        <v/>
      </c>
      <c r="AA46" s="257" t="str">
        <f t="shared" si="9"/>
        <v>//</v>
      </c>
      <c r="AB46" s="257" t="str">
        <f ca="1">_xlfn.IFNA(IF(COUNTIF('4.1(2)新規再エネ導入予定(FS調査、系統接続検討状況)'!$G:$G,OFFSET($AA$7,MATCH($Y46,$Z$8:$Z$167,0),0))=0,OFFSET($AA$7,MATCH($Y46,$Z$8:$Z$167,0),0),""),"")</f>
        <v/>
      </c>
      <c r="AC46" s="257" t="str">
        <f ca="1">_xlfn.IFNA(IF(COUNTIF('4.1(2)新規再エネ導入予定(合意形成)'!$G:$G,OFFSET($AA$7,MATCH($Y46,$Z$8:$Z$167,0),0))=0,OFFSET($AA$7,MATCH($Y46,$Z$8:$Z$167,0),0),""),"")</f>
        <v/>
      </c>
      <c r="AD46" s="257" t="str">
        <f ca="1">_xlfn.IFNA(OFFSET('4.1(2)新規再エネ導入予定(FS調査、系統接続検討状況)'!$W$1,MATCH(G46,'4.1(2)新規再エネ導入予定(FS調査、系統接続検討状況)'!G:G,0)-1,0),"//")</f>
        <v>//</v>
      </c>
      <c r="AE46" s="279" t="str">
        <f ca="1">_xlfn.IFNA(OFFSET('4.1(2)新規再エネ導入予定(合意形成)'!$AJ$1,MATCH(G46,'4.1(2)新規再エネ導入予定(合意形成)'!G:G,0)-1,0),"//")</f>
        <v>//</v>
      </c>
      <c r="AF46" s="257">
        <f t="shared" ca="1" si="4"/>
        <v>0</v>
      </c>
      <c r="AG46" s="131" t="str" cm="1">
        <f t="array" aca="1" ref="AG46" ca="1">IFERROR(_xlfn.IFS(COUNTIF($AB$8:$AC$167,G46)&gt;0,"",AF46&lt;=1,"D",AF46=2,"C",AF46=3,"B",AF46=4,"A"),"")</f>
        <v/>
      </c>
      <c r="AH46" s="257" t="str">
        <f ca="1">_xlfn.IFNA(OFFSET('4.1(2)新規再エネ導入予定(合意形成)'!$Z$1,MATCH($G46,'4.1(2)新規再エネ導入予定(合意形成)'!$G:$G,0)-1,0),"")</f>
        <v/>
      </c>
      <c r="AI46" s="131" t="str">
        <f t="shared" si="10"/>
        <v/>
      </c>
      <c r="AJ46" s="257" t="str">
        <f t="shared" si="2"/>
        <v/>
      </c>
      <c r="AK46" s="127" t="str">
        <f>IF(V46&lt;&gt;1,"",SUM($V$8:V46))</f>
        <v/>
      </c>
      <c r="AL46" s="257">
        <f t="shared" si="5"/>
        <v>1</v>
      </c>
    </row>
    <row r="47" spans="2:38" s="11" customFormat="1" ht="20">
      <c r="B47" s="21"/>
      <c r="C47" s="21"/>
      <c r="D47" s="36"/>
      <c r="E47" s="828"/>
      <c r="F47" s="788"/>
      <c r="G47" s="789"/>
      <c r="H47" s="790"/>
      <c r="I47" s="790"/>
      <c r="J47" s="791"/>
      <c r="K47" s="791"/>
      <c r="L47" s="903"/>
      <c r="M47" s="904"/>
      <c r="N47" s="738"/>
      <c r="O47" s="795"/>
      <c r="P47" s="904"/>
      <c r="Q47" s="738"/>
      <c r="R47" s="795"/>
      <c r="S47" s="793" t="str">
        <f t="shared" si="11"/>
        <v/>
      </c>
      <c r="T47" s="786"/>
      <c r="U47" s="116"/>
      <c r="V47" s="794" t="str">
        <f t="shared" si="8"/>
        <v/>
      </c>
      <c r="X47" s="127" t="s">
        <v>417</v>
      </c>
      <c r="Y47" s="257">
        <f t="shared" si="3"/>
        <v>40</v>
      </c>
      <c r="Z47" s="257" t="str">
        <f>IF(AA47&lt;&gt;"//",COUNTA($AA$8:AA47)-COUNTIF($AA$8:AA47,"//"),"")</f>
        <v/>
      </c>
      <c r="AA47" s="257" t="str">
        <f t="shared" si="9"/>
        <v>//</v>
      </c>
      <c r="AB47" s="257" t="str">
        <f ca="1">_xlfn.IFNA(IF(COUNTIF('4.1(2)新規再エネ導入予定(FS調査、系統接続検討状況)'!$G:$G,OFFSET($AA$7,MATCH($Y47,$Z$8:$Z$167,0),0))=0,OFFSET($AA$7,MATCH($Y47,$Z$8:$Z$167,0),0),""),"")</f>
        <v/>
      </c>
      <c r="AC47" s="257" t="str">
        <f ca="1">_xlfn.IFNA(IF(COUNTIF('4.1(2)新規再エネ導入予定(合意形成)'!$G:$G,OFFSET($AA$7,MATCH($Y47,$Z$8:$Z$167,0),0))=0,OFFSET($AA$7,MATCH($Y47,$Z$8:$Z$167,0),0),""),"")</f>
        <v/>
      </c>
      <c r="AD47" s="257" t="str">
        <f ca="1">_xlfn.IFNA(OFFSET('4.1(2)新規再エネ導入予定(FS調査、系統接続検討状況)'!$W$1,MATCH(G47,'4.1(2)新規再エネ導入予定(FS調査、系統接続検討状況)'!G:G,0)-1,0),"//")</f>
        <v>//</v>
      </c>
      <c r="AE47" s="279" t="str">
        <f ca="1">_xlfn.IFNA(OFFSET('4.1(2)新規再エネ導入予定(合意形成)'!$AJ$1,MATCH(G47,'4.1(2)新規再エネ導入予定(合意形成)'!G:G,0)-1,0),"//")</f>
        <v>//</v>
      </c>
      <c r="AF47" s="257">
        <f t="shared" ca="1" si="4"/>
        <v>0</v>
      </c>
      <c r="AG47" s="131" t="str" cm="1">
        <f t="array" aca="1" ref="AG47" ca="1">IFERROR(_xlfn.IFS(COUNTIF($AB$8:$AC$167,G47)&gt;0,"",AF47&lt;=1,"D",AF47=2,"C",AF47=3,"B",AF47=4,"A"),"")</f>
        <v/>
      </c>
      <c r="AH47" s="257" t="str">
        <f ca="1">_xlfn.IFNA(OFFSET('4.1(2)新規再エネ導入予定(合意形成)'!$Z$1,MATCH($G47,'4.1(2)新規再エネ導入予定(合意形成)'!$G:$G,0)-1,0),"")</f>
        <v/>
      </c>
      <c r="AI47" s="131" t="str">
        <f t="shared" si="10"/>
        <v/>
      </c>
      <c r="AJ47" s="257" t="str">
        <f t="shared" si="2"/>
        <v/>
      </c>
      <c r="AK47" s="127" t="str">
        <f>IF(V47&lt;&gt;1,"",SUM($V$8:V47))</f>
        <v/>
      </c>
      <c r="AL47" s="257">
        <f t="shared" si="5"/>
        <v>1</v>
      </c>
    </row>
    <row r="48" spans="2:38" s="11" customFormat="1" ht="20">
      <c r="B48" s="21"/>
      <c r="C48" s="21"/>
      <c r="D48" s="36"/>
      <c r="E48" s="828"/>
      <c r="F48" s="788"/>
      <c r="G48" s="789"/>
      <c r="H48" s="790"/>
      <c r="I48" s="790"/>
      <c r="J48" s="791"/>
      <c r="K48" s="791"/>
      <c r="L48" s="903"/>
      <c r="M48" s="904"/>
      <c r="N48" s="738"/>
      <c r="O48" s="795"/>
      <c r="P48" s="904"/>
      <c r="Q48" s="738"/>
      <c r="R48" s="795"/>
      <c r="S48" s="793" t="str">
        <f t="shared" si="11"/>
        <v/>
      </c>
      <c r="T48" s="786"/>
      <c r="U48" s="116"/>
      <c r="V48" s="794" t="str">
        <f t="shared" si="8"/>
        <v/>
      </c>
      <c r="X48" s="127" t="s">
        <v>417</v>
      </c>
      <c r="Y48" s="257">
        <f t="shared" si="3"/>
        <v>41</v>
      </c>
      <c r="Z48" s="257" t="str">
        <f>IF(AA48&lt;&gt;"//",COUNTA($AA$8:AA48)-COUNTIF($AA$8:AA48,"//"),"")</f>
        <v/>
      </c>
      <c r="AA48" s="257" t="str">
        <f t="shared" si="9"/>
        <v>//</v>
      </c>
      <c r="AB48" s="257" t="str">
        <f ca="1">_xlfn.IFNA(IF(COUNTIF('4.1(2)新規再エネ導入予定(FS調査、系統接続検討状況)'!$G:$G,OFFSET($AA$7,MATCH($Y48,$Z$8:$Z$167,0),0))=0,OFFSET($AA$7,MATCH($Y48,$Z$8:$Z$167,0),0),""),"")</f>
        <v/>
      </c>
      <c r="AC48" s="257" t="str">
        <f ca="1">_xlfn.IFNA(IF(COUNTIF('4.1(2)新規再エネ導入予定(合意形成)'!$G:$G,OFFSET($AA$7,MATCH($Y48,$Z$8:$Z$167,0),0))=0,OFFSET($AA$7,MATCH($Y48,$Z$8:$Z$167,0),0),""),"")</f>
        <v/>
      </c>
      <c r="AD48" s="257" t="str">
        <f ca="1">_xlfn.IFNA(OFFSET('4.1(2)新規再エネ導入予定(FS調査、系統接続検討状況)'!$W$1,MATCH(G48,'4.1(2)新規再エネ導入予定(FS調査、系統接続検討状況)'!G:G,0)-1,0),"//")</f>
        <v>//</v>
      </c>
      <c r="AE48" s="279" t="str">
        <f ca="1">_xlfn.IFNA(OFFSET('4.1(2)新規再エネ導入予定(合意形成)'!$AJ$1,MATCH(G48,'4.1(2)新規再エネ導入予定(合意形成)'!G:G,0)-1,0),"//")</f>
        <v>//</v>
      </c>
      <c r="AF48" s="257">
        <f t="shared" ca="1" si="4"/>
        <v>0</v>
      </c>
      <c r="AG48" s="131" t="str" cm="1">
        <f t="array" aca="1" ref="AG48" ca="1">IFERROR(_xlfn.IFS(COUNTIF($AB$8:$AC$167,G48)&gt;0,"",AF48&lt;=1,"D",AF48=2,"C",AF48=3,"B",AF48=4,"A"),"")</f>
        <v/>
      </c>
      <c r="AH48" s="257" t="str">
        <f ca="1">_xlfn.IFNA(OFFSET('4.1(2)新規再エネ導入予定(合意形成)'!$Z$1,MATCH($G48,'4.1(2)新規再エネ導入予定(合意形成)'!$G:$G,0)-1,0),"")</f>
        <v/>
      </c>
      <c r="AI48" s="131" t="str">
        <f t="shared" si="10"/>
        <v/>
      </c>
      <c r="AJ48" s="257" t="str">
        <f t="shared" si="2"/>
        <v/>
      </c>
      <c r="AK48" s="127" t="str">
        <f>IF(V48&lt;&gt;1,"",SUM($V$8:V48))</f>
        <v/>
      </c>
      <c r="AL48" s="257">
        <f t="shared" si="5"/>
        <v>1</v>
      </c>
    </row>
    <row r="49" spans="2:38" s="11" customFormat="1" ht="20">
      <c r="B49" s="21"/>
      <c r="C49" s="21"/>
      <c r="D49" s="36"/>
      <c r="E49" s="828"/>
      <c r="F49" s="788"/>
      <c r="G49" s="789"/>
      <c r="H49" s="790"/>
      <c r="I49" s="790"/>
      <c r="J49" s="791"/>
      <c r="K49" s="791"/>
      <c r="L49" s="903"/>
      <c r="M49" s="904"/>
      <c r="N49" s="738"/>
      <c r="O49" s="795"/>
      <c r="P49" s="904"/>
      <c r="Q49" s="738"/>
      <c r="R49" s="795"/>
      <c r="S49" s="793" t="str">
        <f t="shared" si="11"/>
        <v/>
      </c>
      <c r="T49" s="786"/>
      <c r="U49" s="116"/>
      <c r="V49" s="794" t="str">
        <f t="shared" si="8"/>
        <v/>
      </c>
      <c r="X49" s="127" t="s">
        <v>417</v>
      </c>
      <c r="Y49" s="257">
        <f t="shared" si="3"/>
        <v>42</v>
      </c>
      <c r="Z49" s="257" t="str">
        <f>IF(AA49&lt;&gt;"//",COUNTA($AA$8:AA49)-COUNTIF($AA$8:AA49,"//"),"")</f>
        <v/>
      </c>
      <c r="AA49" s="257" t="str">
        <f t="shared" si="9"/>
        <v>//</v>
      </c>
      <c r="AB49" s="257" t="str">
        <f ca="1">_xlfn.IFNA(IF(COUNTIF('4.1(2)新規再エネ導入予定(FS調査、系統接続検討状況)'!$G:$G,OFFSET($AA$7,MATCH($Y49,$Z$8:$Z$167,0),0))=0,OFFSET($AA$7,MATCH($Y49,$Z$8:$Z$167,0),0),""),"")</f>
        <v/>
      </c>
      <c r="AC49" s="257" t="str">
        <f ca="1">_xlfn.IFNA(IF(COUNTIF('4.1(2)新規再エネ導入予定(合意形成)'!$G:$G,OFFSET($AA$7,MATCH($Y49,$Z$8:$Z$167,0),0))=0,OFFSET($AA$7,MATCH($Y49,$Z$8:$Z$167,0),0),""),"")</f>
        <v/>
      </c>
      <c r="AD49" s="257" t="str">
        <f ca="1">_xlfn.IFNA(OFFSET('4.1(2)新規再エネ導入予定(FS調査、系統接続検討状況)'!$W$1,MATCH(G49,'4.1(2)新規再エネ導入予定(FS調査、系統接続検討状況)'!G:G,0)-1,0),"//")</f>
        <v>//</v>
      </c>
      <c r="AE49" s="279" t="str">
        <f ca="1">_xlfn.IFNA(OFFSET('4.1(2)新規再エネ導入予定(合意形成)'!$AJ$1,MATCH(G49,'4.1(2)新規再エネ導入予定(合意形成)'!G:G,0)-1,0),"//")</f>
        <v>//</v>
      </c>
      <c r="AF49" s="257">
        <f t="shared" ca="1" si="4"/>
        <v>0</v>
      </c>
      <c r="AG49" s="131" t="str" cm="1">
        <f t="array" aca="1" ref="AG49" ca="1">IFERROR(_xlfn.IFS(COUNTIF($AB$8:$AC$167,G49)&gt;0,"",AF49&lt;=1,"D",AF49=2,"C",AF49=3,"B",AF49=4,"A"),"")</f>
        <v/>
      </c>
      <c r="AH49" s="257" t="str">
        <f ca="1">_xlfn.IFNA(OFFSET('4.1(2)新規再エネ導入予定(合意形成)'!$Z$1,MATCH($G49,'4.1(2)新規再エネ導入予定(合意形成)'!$G:$G,0)-1,0),"")</f>
        <v/>
      </c>
      <c r="AI49" s="131" t="str">
        <f t="shared" si="10"/>
        <v/>
      </c>
      <c r="AJ49" s="257" t="str">
        <f t="shared" si="2"/>
        <v/>
      </c>
      <c r="AK49" s="127" t="str">
        <f>IF(V49&lt;&gt;1,"",SUM($V$8:V49))</f>
        <v/>
      </c>
      <c r="AL49" s="257">
        <f t="shared" si="5"/>
        <v>1</v>
      </c>
    </row>
    <row r="50" spans="2:38" ht="17.25" customHeight="1">
      <c r="D50" s="190"/>
      <c r="E50" s="829" t="s">
        <v>20</v>
      </c>
      <c r="F50" s="796"/>
      <c r="G50" s="776"/>
      <c r="H50" s="777"/>
      <c r="I50" s="777"/>
      <c r="J50" s="777"/>
      <c r="K50" s="777"/>
      <c r="L50" s="730"/>
      <c r="M50" s="733"/>
      <c r="N50" s="899" t="str">
        <f>IF(AND(COUNTBLANK(M50:M57)&lt;=3,COUNTA(M50:M57)=0),0,IF(SUM(M50:M57)=0,"",SUM(M50:M57)))</f>
        <v/>
      </c>
      <c r="O50" s="905"/>
      <c r="P50" s="736"/>
      <c r="Q50" s="899" t="str">
        <f>IF(AND(COUNTBLANK(P50:P57)&lt;=3,COUNTA(P50:P57)=0),0,IF(SUM(P50:P57)=0,"",SUM(P50:P57)))</f>
        <v/>
      </c>
      <c r="R50" s="778"/>
      <c r="S50" s="779" t="str">
        <f t="shared" si="11"/>
        <v/>
      </c>
      <c r="T50" s="771"/>
      <c r="V50" s="797"/>
      <c r="X50" s="224" t="s">
        <v>417</v>
      </c>
      <c r="Y50" s="177">
        <f t="shared" si="3"/>
        <v>43</v>
      </c>
      <c r="Z50" s="177" t="str">
        <f>IF(AA50&lt;&gt;"//",COUNTA($AA$8:AA50)-COUNTIF($AA$8:AA50,"//"),"")</f>
        <v/>
      </c>
      <c r="AA50" s="177" t="str">
        <f t="shared" si="9"/>
        <v>//</v>
      </c>
      <c r="AB50" s="177" t="str">
        <f ca="1">_xlfn.IFNA(IF(COUNTIF('4.1(2)新規再エネ導入予定(FS調査、系統接続検討状況)'!$G:$G,OFFSET($AA$7,MATCH($Y50,$Z$8:$Z$167,0),0))=0,OFFSET($AA$7,MATCH($Y50,$Z$8:$Z$167,0),0),""),"")</f>
        <v/>
      </c>
      <c r="AC50" s="177" t="str">
        <f ca="1">_xlfn.IFNA(IF(COUNTIF('4.1(2)新規再エネ導入予定(合意形成)'!$G:$G,OFFSET($AA$7,MATCH($Y50,$Z$8:$Z$167,0),0))=0,OFFSET($AA$7,MATCH($Y50,$Z$8:$Z$167,0),0),""),"")</f>
        <v/>
      </c>
      <c r="AD50" s="177" t="str">
        <f ca="1">_xlfn.IFNA(OFFSET('4.1(2)新規再エネ導入予定(FS調査、系統接続検討状況)'!$W$1,MATCH(G50,'4.1(2)新規再エネ導入予定(FS調査、系統接続検討状況)'!G:G,0)-1,0),"//")</f>
        <v>//</v>
      </c>
      <c r="AE50" s="264" t="str">
        <f ca="1">_xlfn.IFNA(OFFSET('4.1(2)新規再エネ導入予定(合意形成)'!$AJ$1,MATCH(G50,'4.1(2)新規再エネ導入予定(合意形成)'!G:G,0)-1,0),"//")</f>
        <v>//</v>
      </c>
      <c r="AF50" s="177">
        <f t="shared" ca="1" si="4"/>
        <v>0</v>
      </c>
      <c r="AG50" s="217" t="str" cm="1">
        <f t="array" aca="1" ref="AG50" ca="1">IFERROR(_xlfn.IFS(COUNTIF($AB$8:$AC$167,G50)&gt;0,"",AF50&lt;=1,"D",AF50=2,"C",AF50=3,"B",AF50=4,"A"),"")</f>
        <v/>
      </c>
      <c r="AH50" s="177" t="str">
        <f ca="1">_xlfn.IFNA(OFFSET('4.1(2)新規再エネ導入予定(合意形成)'!$Z$1,MATCH($G50,'4.1(2)新規再エネ導入予定(合意形成)'!$G:$G,0)-1,0),"")</f>
        <v/>
      </c>
      <c r="AI50" s="217" t="str">
        <f t="shared" si="10"/>
        <v/>
      </c>
      <c r="AJ50" s="177" t="str">
        <f t="shared" si="2"/>
        <v/>
      </c>
      <c r="AK50" s="224" t="str">
        <f>IF(V50&lt;&gt;1,"",SUM($V$8:V50))</f>
        <v/>
      </c>
      <c r="AL50" s="177">
        <f t="shared" si="5"/>
        <v>1</v>
      </c>
    </row>
    <row r="51" spans="2:38" s="11" customFormat="1" ht="20" hidden="1">
      <c r="B51" s="21"/>
      <c r="C51" s="21"/>
      <c r="D51" s="36"/>
      <c r="E51" s="828"/>
      <c r="F51" s="781"/>
      <c r="G51" s="782"/>
      <c r="H51" s="783"/>
      <c r="I51" s="783"/>
      <c r="J51" s="784"/>
      <c r="K51" s="784"/>
      <c r="L51" s="901"/>
      <c r="M51" s="902"/>
      <c r="N51" s="737"/>
      <c r="O51" s="798"/>
      <c r="P51" s="902"/>
      <c r="Q51" s="737"/>
      <c r="R51" s="798"/>
      <c r="S51" s="785" t="str">
        <f t="shared" si="11"/>
        <v/>
      </c>
      <c r="T51" s="786"/>
      <c r="U51" s="116"/>
      <c r="V51" s="787"/>
      <c r="X51" s="127" t="s">
        <v>417</v>
      </c>
      <c r="Y51" s="257">
        <f t="shared" si="3"/>
        <v>44</v>
      </c>
      <c r="Z51" s="257" t="str">
        <f>IF(AA51&lt;&gt;"//",COUNTA($AA$8:AA51)-COUNTIF($AA$8:AA51,"//"),"")</f>
        <v/>
      </c>
      <c r="AA51" s="257" t="str">
        <f t="shared" si="9"/>
        <v>//</v>
      </c>
      <c r="AB51" s="257" t="str">
        <f ca="1">_xlfn.IFNA(IF(COUNTIF('4.1(2)新規再エネ導入予定(FS調査、系統接続検討状況)'!$G:$G,OFFSET($AA$7,MATCH($Y51,$Z$8:$Z$167,0),0))=0,OFFSET($AA$7,MATCH($Y51,$Z$8:$Z$167,0),0),""),"")</f>
        <v/>
      </c>
      <c r="AC51" s="257" t="str">
        <f ca="1">_xlfn.IFNA(IF(COUNTIF('4.1(2)新規再エネ導入予定(合意形成)'!$G:$G,OFFSET($AA$7,MATCH($Y51,$Z$8:$Z$167,0),0))=0,OFFSET($AA$7,MATCH($Y51,$Z$8:$Z$167,0),0),""),"")</f>
        <v/>
      </c>
      <c r="AD51" s="257" t="str">
        <f ca="1">_xlfn.IFNA(OFFSET('4.1(2)新規再エネ導入予定(FS調査、系統接続検討状況)'!$W$1,MATCH(G51,'4.1(2)新規再エネ導入予定(FS調査、系統接続検討状況)'!G:G,0)-1,0),"//")</f>
        <v>//</v>
      </c>
      <c r="AE51" s="279" t="str">
        <f ca="1">_xlfn.IFNA(OFFSET('4.1(2)新規再エネ導入予定(合意形成)'!$AJ$1,MATCH(G51,'4.1(2)新規再エネ導入予定(合意形成)'!G:G,0)-1,0),"//")</f>
        <v>//</v>
      </c>
      <c r="AF51" s="257">
        <f t="shared" ca="1" si="4"/>
        <v>0</v>
      </c>
      <c r="AG51" s="131" t="str" cm="1">
        <f t="array" aca="1" ref="AG51" ca="1">IFERROR(_xlfn.IFS(COUNTIF($AB$8:$AC$167,G51)&gt;0,"",AF51&lt;=1,"D",AF51=2,"C",AF51=3,"B",AF51=4,"A"),"")</f>
        <v/>
      </c>
      <c r="AH51" s="257" t="str">
        <f ca="1">_xlfn.IFNA(OFFSET('4.1(2)新規再エネ導入予定(合意形成)'!$Z$1,MATCH($G51,'4.1(2)新規再エネ導入予定(合意形成)'!$G:$G,0)-1,0),"")</f>
        <v/>
      </c>
      <c r="AI51" s="131" t="str">
        <f t="shared" si="10"/>
        <v/>
      </c>
      <c r="AJ51" s="257" t="str">
        <f t="shared" si="2"/>
        <v/>
      </c>
      <c r="AK51" s="127" t="str">
        <f>IF(V51&lt;&gt;1,"",SUM($V$8:V51))</f>
        <v/>
      </c>
      <c r="AL51" s="257">
        <f t="shared" si="5"/>
        <v>1</v>
      </c>
    </row>
    <row r="52" spans="2:38" s="11" customFormat="1" ht="20">
      <c r="B52" s="21"/>
      <c r="C52" s="21"/>
      <c r="D52" s="36"/>
      <c r="E52" s="828"/>
      <c r="F52" s="788"/>
      <c r="G52" s="789"/>
      <c r="H52" s="790"/>
      <c r="I52" s="790"/>
      <c r="J52" s="791"/>
      <c r="K52" s="791"/>
      <c r="L52" s="903"/>
      <c r="M52" s="904"/>
      <c r="N52" s="738"/>
      <c r="O52" s="795"/>
      <c r="P52" s="904"/>
      <c r="Q52" s="738"/>
      <c r="R52" s="795"/>
      <c r="S52" s="793" t="str">
        <f t="shared" si="11"/>
        <v/>
      </c>
      <c r="T52" s="786"/>
      <c r="U52" s="116"/>
      <c r="V52" s="794" t="str">
        <f t="shared" si="8"/>
        <v/>
      </c>
      <c r="X52" s="127" t="s">
        <v>417</v>
      </c>
      <c r="Y52" s="257">
        <f t="shared" si="3"/>
        <v>45</v>
      </c>
      <c r="Z52" s="257" t="str">
        <f>IF(AA52&lt;&gt;"//",COUNTA($AA$8:AA52)-COUNTIF($AA$8:AA52,"//"),"")</f>
        <v/>
      </c>
      <c r="AA52" s="257" t="str">
        <f t="shared" si="9"/>
        <v>//</v>
      </c>
      <c r="AB52" s="257" t="str">
        <f ca="1">_xlfn.IFNA(IF(COUNTIF('4.1(2)新規再エネ導入予定(FS調査、系統接続検討状況)'!$G:$G,OFFSET($AA$7,MATCH($Y52,$Z$8:$Z$167,0),0))=0,OFFSET($AA$7,MATCH($Y52,$Z$8:$Z$167,0),0),""),"")</f>
        <v/>
      </c>
      <c r="AC52" s="257" t="str">
        <f ca="1">_xlfn.IFNA(IF(COUNTIF('4.1(2)新規再エネ導入予定(合意形成)'!$G:$G,OFFSET($AA$7,MATCH($Y52,$Z$8:$Z$167,0),0))=0,OFFSET($AA$7,MATCH($Y52,$Z$8:$Z$167,0),0),""),"")</f>
        <v/>
      </c>
      <c r="AD52" s="257" t="str">
        <f ca="1">_xlfn.IFNA(OFFSET('4.1(2)新規再エネ導入予定(FS調査、系統接続検討状況)'!$W$1,MATCH(G52,'4.1(2)新規再エネ導入予定(FS調査、系統接続検討状況)'!G:G,0)-1,0),"//")</f>
        <v>//</v>
      </c>
      <c r="AE52" s="279" t="str">
        <f ca="1">_xlfn.IFNA(OFFSET('4.1(2)新規再エネ導入予定(合意形成)'!$AJ$1,MATCH(G52,'4.1(2)新規再エネ導入予定(合意形成)'!G:G,0)-1,0),"//")</f>
        <v>//</v>
      </c>
      <c r="AF52" s="257">
        <f t="shared" ca="1" si="4"/>
        <v>0</v>
      </c>
      <c r="AG52" s="131" t="str" cm="1">
        <f t="array" aca="1" ref="AG52" ca="1">IFERROR(_xlfn.IFS(COUNTIF($AB$8:$AC$167,G52)&gt;0,"",AF52&lt;=1,"D",AF52=2,"C",AF52=3,"B",AF52=4,"A"),"")</f>
        <v/>
      </c>
      <c r="AH52" s="257" t="str">
        <f ca="1">_xlfn.IFNA(OFFSET('4.1(2)新規再エネ導入予定(合意形成)'!$Z$1,MATCH($G52,'4.1(2)新規再エネ導入予定(合意形成)'!$G:$G,0)-1,0),"")</f>
        <v/>
      </c>
      <c r="AI52" s="131" t="str">
        <f t="shared" si="10"/>
        <v/>
      </c>
      <c r="AJ52" s="257" t="str">
        <f t="shared" si="2"/>
        <v/>
      </c>
      <c r="AK52" s="127" t="str">
        <f>IF(V52&lt;&gt;1,"",SUM($V$8:V52))</f>
        <v/>
      </c>
      <c r="AL52" s="257">
        <f t="shared" si="5"/>
        <v>1</v>
      </c>
    </row>
    <row r="53" spans="2:38" s="11" customFormat="1" ht="20">
      <c r="B53" s="21"/>
      <c r="C53" s="21"/>
      <c r="D53" s="36"/>
      <c r="E53" s="828"/>
      <c r="F53" s="788"/>
      <c r="G53" s="789"/>
      <c r="H53" s="790"/>
      <c r="I53" s="790"/>
      <c r="J53" s="791"/>
      <c r="K53" s="791"/>
      <c r="L53" s="903"/>
      <c r="M53" s="904"/>
      <c r="N53" s="738"/>
      <c r="O53" s="795"/>
      <c r="P53" s="904"/>
      <c r="Q53" s="738"/>
      <c r="R53" s="795"/>
      <c r="S53" s="793" t="str">
        <f t="shared" si="11"/>
        <v/>
      </c>
      <c r="T53" s="786"/>
      <c r="U53" s="116"/>
      <c r="V53" s="794" t="str">
        <f t="shared" si="8"/>
        <v/>
      </c>
      <c r="X53" s="127" t="s">
        <v>417</v>
      </c>
      <c r="Y53" s="257">
        <f t="shared" si="3"/>
        <v>46</v>
      </c>
      <c r="Z53" s="257" t="str">
        <f>IF(AA53&lt;&gt;"//",COUNTA($AA$8:AA53)-COUNTIF($AA$8:AA53,"//"),"")</f>
        <v/>
      </c>
      <c r="AA53" s="257" t="str">
        <f t="shared" si="9"/>
        <v>//</v>
      </c>
      <c r="AB53" s="257" t="str">
        <f ca="1">_xlfn.IFNA(IF(COUNTIF('4.1(2)新規再エネ導入予定(FS調査、系統接続検討状況)'!$G:$G,OFFSET($AA$7,MATCH($Y53,$Z$8:$Z$167,0),0))=0,OFFSET($AA$7,MATCH($Y53,$Z$8:$Z$167,0),0),""),"")</f>
        <v/>
      </c>
      <c r="AC53" s="257" t="str">
        <f ca="1">_xlfn.IFNA(IF(COUNTIF('4.1(2)新規再エネ導入予定(合意形成)'!$G:$G,OFFSET($AA$7,MATCH($Y53,$Z$8:$Z$167,0),0))=0,OFFSET($AA$7,MATCH($Y53,$Z$8:$Z$167,0),0),""),"")</f>
        <v/>
      </c>
      <c r="AD53" s="257" t="str">
        <f ca="1">_xlfn.IFNA(OFFSET('4.1(2)新規再エネ導入予定(FS調査、系統接続検討状況)'!$W$1,MATCH(G53,'4.1(2)新規再エネ導入予定(FS調査、系統接続検討状況)'!G:G,0)-1,0),"//")</f>
        <v>//</v>
      </c>
      <c r="AE53" s="279" t="str">
        <f ca="1">_xlfn.IFNA(OFFSET('4.1(2)新規再エネ導入予定(合意形成)'!$AJ$1,MATCH(G53,'4.1(2)新規再エネ導入予定(合意形成)'!G:G,0)-1,0),"//")</f>
        <v>//</v>
      </c>
      <c r="AF53" s="257">
        <f t="shared" ca="1" si="4"/>
        <v>0</v>
      </c>
      <c r="AG53" s="131" t="str" cm="1">
        <f t="array" aca="1" ref="AG53" ca="1">IFERROR(_xlfn.IFS(COUNTIF($AB$8:$AC$167,G53)&gt;0,"",AF53&lt;=1,"D",AF53=2,"C",AF53=3,"B",AF53=4,"A"),"")</f>
        <v/>
      </c>
      <c r="AH53" s="257" t="str">
        <f ca="1">_xlfn.IFNA(OFFSET('4.1(2)新規再エネ導入予定(合意形成)'!$Z$1,MATCH($G53,'4.1(2)新規再エネ導入予定(合意形成)'!$G:$G,0)-1,0),"")</f>
        <v/>
      </c>
      <c r="AI53" s="131" t="str">
        <f t="shared" si="10"/>
        <v/>
      </c>
      <c r="AJ53" s="257" t="str">
        <f t="shared" si="2"/>
        <v/>
      </c>
      <c r="AK53" s="127" t="str">
        <f>IF(V53&lt;&gt;1,"",SUM($V$8:V53))</f>
        <v/>
      </c>
      <c r="AL53" s="257">
        <f t="shared" si="5"/>
        <v>1</v>
      </c>
    </row>
    <row r="54" spans="2:38" s="11" customFormat="1" ht="20">
      <c r="B54" s="21"/>
      <c r="C54" s="21"/>
      <c r="D54" s="36"/>
      <c r="E54" s="828"/>
      <c r="F54" s="788"/>
      <c r="G54" s="789"/>
      <c r="H54" s="790"/>
      <c r="I54" s="790"/>
      <c r="J54" s="791"/>
      <c r="K54" s="791"/>
      <c r="L54" s="903"/>
      <c r="M54" s="904"/>
      <c r="N54" s="738"/>
      <c r="O54" s="795"/>
      <c r="P54" s="904"/>
      <c r="Q54" s="738"/>
      <c r="R54" s="795"/>
      <c r="S54" s="793" t="str">
        <f t="shared" si="11"/>
        <v/>
      </c>
      <c r="T54" s="786"/>
      <c r="U54" s="116"/>
      <c r="V54" s="794" t="str">
        <f t="shared" si="8"/>
        <v/>
      </c>
      <c r="X54" s="127" t="s">
        <v>417</v>
      </c>
      <c r="Y54" s="257">
        <f t="shared" si="3"/>
        <v>47</v>
      </c>
      <c r="Z54" s="257" t="str">
        <f>IF(AA54&lt;&gt;"//",COUNTA($AA$8:AA54)-COUNTIF($AA$8:AA54,"//"),"")</f>
        <v/>
      </c>
      <c r="AA54" s="257" t="str">
        <f t="shared" si="9"/>
        <v>//</v>
      </c>
      <c r="AB54" s="257" t="str">
        <f ca="1">_xlfn.IFNA(IF(COUNTIF('4.1(2)新規再エネ導入予定(FS調査、系統接続検討状況)'!$G:$G,OFFSET($AA$7,MATCH($Y54,$Z$8:$Z$167,0),0))=0,OFFSET($AA$7,MATCH($Y54,$Z$8:$Z$167,0),0),""),"")</f>
        <v/>
      </c>
      <c r="AC54" s="257" t="str">
        <f ca="1">_xlfn.IFNA(IF(COUNTIF('4.1(2)新規再エネ導入予定(合意形成)'!$G:$G,OFFSET($AA$7,MATCH($Y54,$Z$8:$Z$167,0),0))=0,OFFSET($AA$7,MATCH($Y54,$Z$8:$Z$167,0),0),""),"")</f>
        <v/>
      </c>
      <c r="AD54" s="257" t="str">
        <f ca="1">_xlfn.IFNA(OFFSET('4.1(2)新規再エネ導入予定(FS調査、系統接続検討状況)'!$W$1,MATCH(G54,'4.1(2)新規再エネ導入予定(FS調査、系統接続検討状況)'!G:G,0)-1,0),"//")</f>
        <v>//</v>
      </c>
      <c r="AE54" s="279" t="str">
        <f ca="1">_xlfn.IFNA(OFFSET('4.1(2)新規再エネ導入予定(合意形成)'!$AJ$1,MATCH(G54,'4.1(2)新規再エネ導入予定(合意形成)'!G:G,0)-1,0),"//")</f>
        <v>//</v>
      </c>
      <c r="AF54" s="257">
        <f t="shared" ca="1" si="4"/>
        <v>0</v>
      </c>
      <c r="AG54" s="131" t="str" cm="1">
        <f t="array" aca="1" ref="AG54" ca="1">IFERROR(_xlfn.IFS(COUNTIF($AB$8:$AC$167,G54)&gt;0,"",AF54&lt;=1,"D",AF54=2,"C",AF54=3,"B",AF54=4,"A"),"")</f>
        <v/>
      </c>
      <c r="AH54" s="257" t="str">
        <f ca="1">_xlfn.IFNA(OFFSET('4.1(2)新規再エネ導入予定(合意形成)'!$Z$1,MATCH($G54,'4.1(2)新規再エネ導入予定(合意形成)'!$G:$G,0)-1,0),"")</f>
        <v/>
      </c>
      <c r="AI54" s="131" t="str">
        <f t="shared" si="10"/>
        <v/>
      </c>
      <c r="AJ54" s="257" t="str">
        <f t="shared" si="2"/>
        <v/>
      </c>
      <c r="AK54" s="127" t="str">
        <f>IF(V54&lt;&gt;1,"",SUM($V$8:V54))</f>
        <v/>
      </c>
      <c r="AL54" s="257">
        <f t="shared" si="5"/>
        <v>1</v>
      </c>
    </row>
    <row r="55" spans="2:38" s="11" customFormat="1" ht="20">
      <c r="B55" s="21"/>
      <c r="C55" s="21"/>
      <c r="D55" s="36"/>
      <c r="E55" s="828"/>
      <c r="F55" s="788"/>
      <c r="G55" s="789"/>
      <c r="H55" s="790"/>
      <c r="I55" s="790"/>
      <c r="J55" s="791"/>
      <c r="K55" s="791"/>
      <c r="L55" s="903"/>
      <c r="M55" s="904"/>
      <c r="N55" s="738"/>
      <c r="O55" s="795"/>
      <c r="P55" s="904"/>
      <c r="Q55" s="738"/>
      <c r="R55" s="795"/>
      <c r="S55" s="793" t="str">
        <f t="shared" si="11"/>
        <v/>
      </c>
      <c r="T55" s="786"/>
      <c r="U55" s="116"/>
      <c r="V55" s="794" t="str">
        <f t="shared" si="8"/>
        <v/>
      </c>
      <c r="X55" s="127" t="s">
        <v>417</v>
      </c>
      <c r="Y55" s="257">
        <f t="shared" si="3"/>
        <v>48</v>
      </c>
      <c r="Z55" s="257" t="str">
        <f>IF(AA55&lt;&gt;"//",COUNTA($AA$8:AA55)-COUNTIF($AA$8:AA55,"//"),"")</f>
        <v/>
      </c>
      <c r="AA55" s="257" t="str">
        <f t="shared" si="9"/>
        <v>//</v>
      </c>
      <c r="AB55" s="257" t="str">
        <f ca="1">_xlfn.IFNA(IF(COUNTIF('4.1(2)新規再エネ導入予定(FS調査、系統接続検討状況)'!$G:$G,OFFSET($AA$7,MATCH($Y55,$Z$8:$Z$167,0),0))=0,OFFSET($AA$7,MATCH($Y55,$Z$8:$Z$167,0),0),""),"")</f>
        <v/>
      </c>
      <c r="AC55" s="257" t="str">
        <f ca="1">_xlfn.IFNA(IF(COUNTIF('4.1(2)新規再エネ導入予定(合意形成)'!$G:$G,OFFSET($AA$7,MATCH($Y55,$Z$8:$Z$167,0),0))=0,OFFSET($AA$7,MATCH($Y55,$Z$8:$Z$167,0),0),""),"")</f>
        <v/>
      </c>
      <c r="AD55" s="257" t="str">
        <f ca="1">_xlfn.IFNA(OFFSET('4.1(2)新規再エネ導入予定(FS調査、系統接続検討状況)'!$W$1,MATCH(G55,'4.1(2)新規再エネ導入予定(FS調査、系統接続検討状況)'!G:G,0)-1,0),"//")</f>
        <v>//</v>
      </c>
      <c r="AE55" s="279" t="str">
        <f ca="1">_xlfn.IFNA(OFFSET('4.1(2)新規再エネ導入予定(合意形成)'!$AJ$1,MATCH(G55,'4.1(2)新規再エネ導入予定(合意形成)'!G:G,0)-1,0),"//")</f>
        <v>//</v>
      </c>
      <c r="AF55" s="257">
        <f t="shared" ca="1" si="4"/>
        <v>0</v>
      </c>
      <c r="AG55" s="131" t="str" cm="1">
        <f t="array" aca="1" ref="AG55" ca="1">IFERROR(_xlfn.IFS(COUNTIF($AB$8:$AC$167,G55)&gt;0,"",AF55&lt;=1,"D",AF55=2,"C",AF55=3,"B",AF55=4,"A"),"")</f>
        <v/>
      </c>
      <c r="AH55" s="257" t="str">
        <f ca="1">_xlfn.IFNA(OFFSET('4.1(2)新規再エネ導入予定(合意形成)'!$Z$1,MATCH($G55,'4.1(2)新規再エネ導入予定(合意形成)'!$G:$G,0)-1,0),"")</f>
        <v/>
      </c>
      <c r="AI55" s="131" t="str">
        <f t="shared" si="10"/>
        <v/>
      </c>
      <c r="AJ55" s="257" t="str">
        <f t="shared" si="2"/>
        <v/>
      </c>
      <c r="AK55" s="127" t="str">
        <f>IF(V55&lt;&gt;1,"",SUM($V$8:V55))</f>
        <v/>
      </c>
      <c r="AL55" s="257">
        <f t="shared" si="5"/>
        <v>1</v>
      </c>
    </row>
    <row r="56" spans="2:38" s="11" customFormat="1" ht="20">
      <c r="B56" s="21"/>
      <c r="C56" s="21"/>
      <c r="D56" s="36"/>
      <c r="E56" s="828"/>
      <c r="F56" s="788"/>
      <c r="G56" s="789"/>
      <c r="H56" s="790"/>
      <c r="I56" s="790"/>
      <c r="J56" s="791"/>
      <c r="K56" s="791"/>
      <c r="L56" s="903"/>
      <c r="M56" s="904"/>
      <c r="N56" s="738"/>
      <c r="O56" s="795"/>
      <c r="P56" s="904"/>
      <c r="Q56" s="738"/>
      <c r="R56" s="795"/>
      <c r="S56" s="793" t="str">
        <f t="shared" si="11"/>
        <v/>
      </c>
      <c r="T56" s="786"/>
      <c r="U56" s="116"/>
      <c r="V56" s="794" t="str">
        <f t="shared" si="8"/>
        <v/>
      </c>
      <c r="X56" s="127" t="s">
        <v>417</v>
      </c>
      <c r="Y56" s="257">
        <f t="shared" si="3"/>
        <v>49</v>
      </c>
      <c r="Z56" s="257" t="str">
        <f>IF(AA56&lt;&gt;"//",COUNTA($AA$8:AA56)-COUNTIF($AA$8:AA56,"//"),"")</f>
        <v/>
      </c>
      <c r="AA56" s="257" t="str">
        <f t="shared" si="9"/>
        <v>//</v>
      </c>
      <c r="AB56" s="257" t="str">
        <f ca="1">_xlfn.IFNA(IF(COUNTIF('4.1(2)新規再エネ導入予定(FS調査、系統接続検討状況)'!$G:$G,OFFSET($AA$7,MATCH($Y56,$Z$8:$Z$167,0),0))=0,OFFSET($AA$7,MATCH($Y56,$Z$8:$Z$167,0),0),""),"")</f>
        <v/>
      </c>
      <c r="AC56" s="257" t="str">
        <f ca="1">_xlfn.IFNA(IF(COUNTIF('4.1(2)新規再エネ導入予定(合意形成)'!$G:$G,OFFSET($AA$7,MATCH($Y56,$Z$8:$Z$167,0),0))=0,OFFSET($AA$7,MATCH($Y56,$Z$8:$Z$167,0),0),""),"")</f>
        <v/>
      </c>
      <c r="AD56" s="257" t="str">
        <f ca="1">_xlfn.IFNA(OFFSET('4.1(2)新規再エネ導入予定(FS調査、系統接続検討状況)'!$W$1,MATCH(G56,'4.1(2)新規再エネ導入予定(FS調査、系統接続検討状況)'!G:G,0)-1,0),"//")</f>
        <v>//</v>
      </c>
      <c r="AE56" s="279" t="str">
        <f ca="1">_xlfn.IFNA(OFFSET('4.1(2)新規再エネ導入予定(合意形成)'!$AJ$1,MATCH(G56,'4.1(2)新規再エネ導入予定(合意形成)'!G:G,0)-1,0),"//")</f>
        <v>//</v>
      </c>
      <c r="AF56" s="257">
        <f t="shared" ca="1" si="4"/>
        <v>0</v>
      </c>
      <c r="AG56" s="131" t="str" cm="1">
        <f t="array" aca="1" ref="AG56" ca="1">IFERROR(_xlfn.IFS(COUNTIF($AB$8:$AC$167,G56)&gt;0,"",AF56&lt;=1,"D",AF56=2,"C",AF56=3,"B",AF56=4,"A"),"")</f>
        <v/>
      </c>
      <c r="AH56" s="257" t="str">
        <f ca="1">_xlfn.IFNA(OFFSET('4.1(2)新規再エネ導入予定(合意形成)'!$Z$1,MATCH($G56,'4.1(2)新規再エネ導入予定(合意形成)'!$G:$G,0)-1,0),"")</f>
        <v/>
      </c>
      <c r="AI56" s="131" t="str">
        <f t="shared" si="10"/>
        <v/>
      </c>
      <c r="AJ56" s="257" t="str">
        <f t="shared" si="2"/>
        <v/>
      </c>
      <c r="AK56" s="127" t="str">
        <f>IF(V56&lt;&gt;1,"",SUM($V$8:V56))</f>
        <v/>
      </c>
      <c r="AL56" s="257">
        <f t="shared" si="5"/>
        <v>1</v>
      </c>
    </row>
    <row r="57" spans="2:38" ht="20">
      <c r="D57" s="190"/>
      <c r="E57" s="829" t="s">
        <v>21</v>
      </c>
      <c r="F57" s="796"/>
      <c r="G57" s="776"/>
      <c r="H57" s="777"/>
      <c r="I57" s="777"/>
      <c r="J57" s="777"/>
      <c r="K57" s="777"/>
      <c r="L57" s="730"/>
      <c r="M57" s="733"/>
      <c r="N57" s="899" t="str">
        <f>IF(AND(COUNTBLANK(M57:M64)&lt;=3,COUNTA(M57:M64)=0),0,IF(SUM(M57:M64)=0,"",SUM(M57:M64)))</f>
        <v/>
      </c>
      <c r="O57" s="905"/>
      <c r="P57" s="736"/>
      <c r="Q57" s="899" t="str">
        <f>IF(AND(COUNTBLANK(P57:P64)&lt;=3,COUNTA(P57:P64)=0),0,IF(SUM(P57:P64)=0,"",SUM(P57:P64)))</f>
        <v/>
      </c>
      <c r="R57" s="778"/>
      <c r="S57" s="779" t="str">
        <f t="shared" si="11"/>
        <v/>
      </c>
      <c r="T57" s="771"/>
      <c r="V57" s="797"/>
      <c r="X57" s="224" t="s">
        <v>417</v>
      </c>
      <c r="Y57" s="177">
        <f t="shared" si="3"/>
        <v>50</v>
      </c>
      <c r="Z57" s="177" t="str">
        <f>IF(AA57&lt;&gt;"//",COUNTA($AA$8:AA57)-COUNTIF($AA$8:AA57,"//"),"")</f>
        <v/>
      </c>
      <c r="AA57" s="177" t="str">
        <f t="shared" si="9"/>
        <v>//</v>
      </c>
      <c r="AB57" s="177" t="str">
        <f ca="1">_xlfn.IFNA(IF(COUNTIF('4.1(2)新規再エネ導入予定(FS調査、系統接続検討状況)'!$G:$G,OFFSET($AA$7,MATCH($Y57,$Z$8:$Z$167,0),0))=0,OFFSET($AA$7,MATCH($Y57,$Z$8:$Z$167,0),0),""),"")</f>
        <v/>
      </c>
      <c r="AC57" s="177" t="str">
        <f ca="1">_xlfn.IFNA(IF(COUNTIF('4.1(2)新規再エネ導入予定(合意形成)'!$G:$G,OFFSET($AA$7,MATCH($Y57,$Z$8:$Z$167,0),0))=0,OFFSET($AA$7,MATCH($Y57,$Z$8:$Z$167,0),0),""),"")</f>
        <v/>
      </c>
      <c r="AD57" s="177" t="str">
        <f ca="1">_xlfn.IFNA(OFFSET('4.1(2)新規再エネ導入予定(FS調査、系統接続検討状況)'!$W$1,MATCH(G57,'4.1(2)新規再エネ導入予定(FS調査、系統接続検討状況)'!G:G,0)-1,0),"//")</f>
        <v>//</v>
      </c>
      <c r="AE57" s="264" t="str">
        <f ca="1">_xlfn.IFNA(OFFSET('4.1(2)新規再エネ導入予定(合意形成)'!$AJ$1,MATCH(G57,'4.1(2)新規再エネ導入予定(合意形成)'!G:G,0)-1,0),"//")</f>
        <v>//</v>
      </c>
      <c r="AF57" s="177">
        <f t="shared" ca="1" si="4"/>
        <v>0</v>
      </c>
      <c r="AG57" s="217" t="str" cm="1">
        <f t="array" aca="1" ref="AG57" ca="1">IFERROR(_xlfn.IFS(COUNTIF($AB$8:$AC$167,G57)&gt;0,"",AF57&lt;=1,"D",AF57=2,"C",AF57=3,"B",AF57=4,"A"),"")</f>
        <v/>
      </c>
      <c r="AH57" s="177" t="str">
        <f ca="1">_xlfn.IFNA(OFFSET('4.1(2)新規再エネ導入予定(合意形成)'!$Z$1,MATCH($G57,'4.1(2)新規再エネ導入予定(合意形成)'!$G:$G,0)-1,0),"")</f>
        <v/>
      </c>
      <c r="AI57" s="217" t="str">
        <f t="shared" si="10"/>
        <v/>
      </c>
      <c r="AJ57" s="177" t="str">
        <f t="shared" si="2"/>
        <v/>
      </c>
      <c r="AK57" s="224" t="str">
        <f>IF(V57&lt;&gt;1,"",SUM($V$8:V57))</f>
        <v/>
      </c>
      <c r="AL57" s="177">
        <f t="shared" si="5"/>
        <v>1</v>
      </c>
    </row>
    <row r="58" spans="2:38" s="11" customFormat="1" ht="20" hidden="1">
      <c r="B58" s="21"/>
      <c r="C58" s="21"/>
      <c r="D58" s="36"/>
      <c r="E58" s="828"/>
      <c r="F58" s="781"/>
      <c r="G58" s="782"/>
      <c r="H58" s="783"/>
      <c r="I58" s="783"/>
      <c r="J58" s="784"/>
      <c r="K58" s="784"/>
      <c r="L58" s="901"/>
      <c r="M58" s="902"/>
      <c r="N58" s="737"/>
      <c r="O58" s="798"/>
      <c r="P58" s="902"/>
      <c r="Q58" s="737"/>
      <c r="R58" s="798"/>
      <c r="S58" s="785" t="str">
        <f t="shared" si="11"/>
        <v/>
      </c>
      <c r="T58" s="786"/>
      <c r="U58" s="116"/>
      <c r="V58" s="787"/>
      <c r="X58" s="127" t="s">
        <v>417</v>
      </c>
      <c r="Y58" s="257">
        <f t="shared" si="3"/>
        <v>51</v>
      </c>
      <c r="Z58" s="257" t="str">
        <f>IF(AA58&lt;&gt;"//",COUNTA($AA$8:AA58)-COUNTIF($AA$8:AA58,"//"),"")</f>
        <v/>
      </c>
      <c r="AA58" s="257" t="str">
        <f t="shared" si="9"/>
        <v>//</v>
      </c>
      <c r="AB58" s="257" t="str">
        <f ca="1">_xlfn.IFNA(IF(COUNTIF('4.1(2)新規再エネ導入予定(FS調査、系統接続検討状況)'!$G:$G,OFFSET($AA$7,MATCH($Y58,$Z$8:$Z$167,0),0))=0,OFFSET($AA$7,MATCH($Y58,$Z$8:$Z$167,0),0),""),"")</f>
        <v/>
      </c>
      <c r="AC58" s="257" t="str">
        <f ca="1">_xlfn.IFNA(IF(COUNTIF('4.1(2)新規再エネ導入予定(合意形成)'!$G:$G,OFFSET($AA$7,MATCH($Y58,$Z$8:$Z$167,0),0))=0,OFFSET($AA$7,MATCH($Y58,$Z$8:$Z$167,0),0),""),"")</f>
        <v/>
      </c>
      <c r="AD58" s="257" t="str">
        <f ca="1">_xlfn.IFNA(OFFSET('4.1(2)新規再エネ導入予定(FS調査、系統接続検討状況)'!$W$1,MATCH(G58,'4.1(2)新規再エネ導入予定(FS調査、系統接続検討状況)'!G:G,0)-1,0),"//")</f>
        <v>//</v>
      </c>
      <c r="AE58" s="279" t="str">
        <f ca="1">_xlfn.IFNA(OFFSET('4.1(2)新規再エネ導入予定(合意形成)'!$AJ$1,MATCH(G58,'4.1(2)新規再エネ導入予定(合意形成)'!G:G,0)-1,0),"//")</f>
        <v>//</v>
      </c>
      <c r="AF58" s="257">
        <f t="shared" ca="1" si="4"/>
        <v>0</v>
      </c>
      <c r="AG58" s="131" t="str" cm="1">
        <f t="array" aca="1" ref="AG58" ca="1">IFERROR(_xlfn.IFS(COUNTIF($AB$8:$AC$167,G58)&gt;0,"",AF58&lt;=1,"D",AF58=2,"C",AF58=3,"B",AF58=4,"A"),"")</f>
        <v/>
      </c>
      <c r="AH58" s="257" t="str">
        <f ca="1">_xlfn.IFNA(OFFSET('4.1(2)新規再エネ導入予定(合意形成)'!$Z$1,MATCH($G58,'4.1(2)新規再エネ導入予定(合意形成)'!$G:$G,0)-1,0),"")</f>
        <v/>
      </c>
      <c r="AI58" s="131" t="str">
        <f t="shared" si="10"/>
        <v/>
      </c>
      <c r="AJ58" s="257" t="str">
        <f t="shared" si="2"/>
        <v/>
      </c>
      <c r="AK58" s="127" t="str">
        <f>IF(V58&lt;&gt;1,"",SUM($V$8:V58))</f>
        <v/>
      </c>
      <c r="AL58" s="257">
        <f t="shared" si="5"/>
        <v>1</v>
      </c>
    </row>
    <row r="59" spans="2:38" s="11" customFormat="1" ht="20">
      <c r="B59" s="21"/>
      <c r="C59" s="21"/>
      <c r="D59" s="36"/>
      <c r="E59" s="828"/>
      <c r="F59" s="788"/>
      <c r="G59" s="789"/>
      <c r="H59" s="790"/>
      <c r="I59" s="790"/>
      <c r="J59" s="791"/>
      <c r="K59" s="791"/>
      <c r="L59" s="903"/>
      <c r="M59" s="904"/>
      <c r="N59" s="738"/>
      <c r="O59" s="795"/>
      <c r="P59" s="904"/>
      <c r="Q59" s="738"/>
      <c r="R59" s="795"/>
      <c r="S59" s="793" t="str">
        <f t="shared" si="11"/>
        <v/>
      </c>
      <c r="T59" s="786"/>
      <c r="U59" s="116"/>
      <c r="V59" s="794" t="str">
        <f t="shared" si="8"/>
        <v/>
      </c>
      <c r="X59" s="127" t="s">
        <v>417</v>
      </c>
      <c r="Y59" s="257">
        <f t="shared" si="3"/>
        <v>52</v>
      </c>
      <c r="Z59" s="257" t="str">
        <f>IF(AA59&lt;&gt;"//",COUNTA($AA$8:AA59)-COUNTIF($AA$8:AA59,"//"),"")</f>
        <v/>
      </c>
      <c r="AA59" s="257" t="str">
        <f t="shared" si="9"/>
        <v>//</v>
      </c>
      <c r="AB59" s="257" t="str">
        <f ca="1">_xlfn.IFNA(IF(COUNTIF('4.1(2)新規再エネ導入予定(FS調査、系統接続検討状況)'!$G:$G,OFFSET($AA$7,MATCH($Y59,$Z$8:$Z$167,0),0))=0,OFFSET($AA$7,MATCH($Y59,$Z$8:$Z$167,0),0),""),"")</f>
        <v/>
      </c>
      <c r="AC59" s="257" t="str">
        <f ca="1">_xlfn.IFNA(IF(COUNTIF('4.1(2)新規再エネ導入予定(合意形成)'!$G:$G,OFFSET($AA$7,MATCH($Y59,$Z$8:$Z$167,0),0))=0,OFFSET($AA$7,MATCH($Y59,$Z$8:$Z$167,0),0),""),"")</f>
        <v/>
      </c>
      <c r="AD59" s="257" t="str">
        <f ca="1">_xlfn.IFNA(OFFSET('4.1(2)新規再エネ導入予定(FS調査、系統接続検討状況)'!$W$1,MATCH(G59,'4.1(2)新規再エネ導入予定(FS調査、系統接続検討状況)'!G:G,0)-1,0),"//")</f>
        <v>//</v>
      </c>
      <c r="AE59" s="279" t="str">
        <f ca="1">_xlfn.IFNA(OFFSET('4.1(2)新規再エネ導入予定(合意形成)'!$AJ$1,MATCH(G59,'4.1(2)新規再エネ導入予定(合意形成)'!G:G,0)-1,0),"//")</f>
        <v>//</v>
      </c>
      <c r="AF59" s="257">
        <f t="shared" ca="1" si="4"/>
        <v>0</v>
      </c>
      <c r="AG59" s="131" t="str" cm="1">
        <f t="array" aca="1" ref="AG59" ca="1">IFERROR(_xlfn.IFS(COUNTIF($AB$8:$AC$167,G59)&gt;0,"",AF59&lt;=1,"D",AF59=2,"C",AF59=3,"B",AF59=4,"A"),"")</f>
        <v/>
      </c>
      <c r="AH59" s="257" t="str">
        <f ca="1">_xlfn.IFNA(OFFSET('4.1(2)新規再エネ導入予定(合意形成)'!$Z$1,MATCH($G59,'4.1(2)新規再エネ導入予定(合意形成)'!$G:$G,0)-1,0),"")</f>
        <v/>
      </c>
      <c r="AI59" s="131" t="str">
        <f t="shared" si="10"/>
        <v/>
      </c>
      <c r="AJ59" s="257" t="str">
        <f t="shared" si="2"/>
        <v/>
      </c>
      <c r="AK59" s="127" t="str">
        <f>IF(V59&lt;&gt;1,"",SUM($V$8:V59))</f>
        <v/>
      </c>
      <c r="AL59" s="257">
        <f t="shared" si="5"/>
        <v>1</v>
      </c>
    </row>
    <row r="60" spans="2:38" s="11" customFormat="1" ht="20">
      <c r="B60" s="21"/>
      <c r="C60" s="21"/>
      <c r="D60" s="36"/>
      <c r="E60" s="828"/>
      <c r="F60" s="788"/>
      <c r="G60" s="789"/>
      <c r="H60" s="790"/>
      <c r="I60" s="790"/>
      <c r="J60" s="791"/>
      <c r="K60" s="791"/>
      <c r="L60" s="731"/>
      <c r="M60" s="734"/>
      <c r="N60" s="738"/>
      <c r="O60" s="795"/>
      <c r="P60" s="904"/>
      <c r="Q60" s="738"/>
      <c r="R60" s="795"/>
      <c r="S60" s="793" t="str">
        <f t="shared" si="11"/>
        <v/>
      </c>
      <c r="T60" s="786"/>
      <c r="U60" s="116"/>
      <c r="V60" s="794" t="str">
        <f t="shared" si="8"/>
        <v/>
      </c>
      <c r="X60" s="127" t="s">
        <v>417</v>
      </c>
      <c r="Y60" s="257">
        <f t="shared" si="3"/>
        <v>53</v>
      </c>
      <c r="Z60" s="257" t="str">
        <f>IF(AA60&lt;&gt;"//",COUNTA($AA$8:AA60)-COUNTIF($AA$8:AA60,"//"),"")</f>
        <v/>
      </c>
      <c r="AA60" s="257" t="str">
        <f t="shared" si="9"/>
        <v>//</v>
      </c>
      <c r="AB60" s="257" t="str">
        <f ca="1">_xlfn.IFNA(IF(COUNTIF('4.1(2)新規再エネ導入予定(FS調査、系統接続検討状況)'!$G:$G,OFFSET($AA$7,MATCH($Y60,$Z$8:$Z$167,0),0))=0,OFFSET($AA$7,MATCH($Y60,$Z$8:$Z$167,0),0),""),"")</f>
        <v/>
      </c>
      <c r="AC60" s="257" t="str">
        <f ca="1">_xlfn.IFNA(IF(COUNTIF('4.1(2)新規再エネ導入予定(合意形成)'!$G:$G,OFFSET($AA$7,MATCH($Y60,$Z$8:$Z$167,0),0))=0,OFFSET($AA$7,MATCH($Y60,$Z$8:$Z$167,0),0),""),"")</f>
        <v/>
      </c>
      <c r="AD60" s="257" t="str">
        <f ca="1">_xlfn.IFNA(OFFSET('4.1(2)新規再エネ導入予定(FS調査、系統接続検討状況)'!$W$1,MATCH(G60,'4.1(2)新規再エネ導入予定(FS調査、系統接続検討状況)'!G:G,0)-1,0),"//")</f>
        <v>//</v>
      </c>
      <c r="AE60" s="279" t="str">
        <f ca="1">_xlfn.IFNA(OFFSET('4.1(2)新規再エネ導入予定(合意形成)'!$AJ$1,MATCH(G60,'4.1(2)新規再エネ導入予定(合意形成)'!G:G,0)-1,0),"//")</f>
        <v>//</v>
      </c>
      <c r="AF60" s="257">
        <f t="shared" ref="AF60:AF123" ca="1" si="12">IF(COUNTBLANK($AD60:$AE60)=0,MIN($AD60:$AE60),"")</f>
        <v>0</v>
      </c>
      <c r="AG60" s="131" t="str" cm="1">
        <f t="array" aca="1" ref="AG60" ca="1">IFERROR(_xlfn.IFS(COUNTIF($AB$8:$AC$167,G60)&gt;0,"",AF60&lt;=1,"D",AF60=2,"C",AF60=3,"B",AF60=4,"A"),"")</f>
        <v/>
      </c>
      <c r="AH60" s="257" t="str">
        <f ca="1">_xlfn.IFNA(OFFSET('4.1(2)新規再エネ導入予定(合意形成)'!$Z$1,MATCH($G60,'4.1(2)新規再エネ導入予定(合意形成)'!$G:$G,0)-1,0),"")</f>
        <v/>
      </c>
      <c r="AI60" s="131" t="str">
        <f t="shared" si="10"/>
        <v/>
      </c>
      <c r="AJ60" s="257" t="str">
        <f t="shared" si="2"/>
        <v/>
      </c>
      <c r="AK60" s="127" t="str">
        <f>IF(V60&lt;&gt;1,"",SUM($V$8:V60))</f>
        <v/>
      </c>
      <c r="AL60" s="257">
        <f t="shared" si="5"/>
        <v>1</v>
      </c>
    </row>
    <row r="61" spans="2:38" s="11" customFormat="1" ht="20">
      <c r="B61" s="21"/>
      <c r="C61" s="21"/>
      <c r="D61" s="36"/>
      <c r="E61" s="828"/>
      <c r="F61" s="788"/>
      <c r="G61" s="789"/>
      <c r="H61" s="790"/>
      <c r="I61" s="790"/>
      <c r="J61" s="791"/>
      <c r="K61" s="791"/>
      <c r="L61" s="731"/>
      <c r="M61" s="734"/>
      <c r="N61" s="738"/>
      <c r="O61" s="795"/>
      <c r="P61" s="904"/>
      <c r="Q61" s="738"/>
      <c r="R61" s="795"/>
      <c r="S61" s="793" t="str">
        <f t="shared" si="11"/>
        <v/>
      </c>
      <c r="T61" s="786"/>
      <c r="U61" s="116"/>
      <c r="V61" s="794" t="str">
        <f t="shared" si="8"/>
        <v/>
      </c>
      <c r="X61" s="127" t="s">
        <v>417</v>
      </c>
      <c r="Y61" s="257">
        <f t="shared" si="3"/>
        <v>54</v>
      </c>
      <c r="Z61" s="257" t="str">
        <f>IF(AA61&lt;&gt;"//",COUNTA($AA$8:AA61)-COUNTIF($AA$8:AA61,"//"),"")</f>
        <v/>
      </c>
      <c r="AA61" s="257" t="str">
        <f t="shared" si="9"/>
        <v>//</v>
      </c>
      <c r="AB61" s="257" t="str">
        <f ca="1">_xlfn.IFNA(IF(COUNTIF('4.1(2)新規再エネ導入予定(FS調査、系統接続検討状況)'!$G:$G,OFFSET($AA$7,MATCH($Y61,$Z$8:$Z$167,0),0))=0,OFFSET($AA$7,MATCH($Y61,$Z$8:$Z$167,0),0),""),"")</f>
        <v/>
      </c>
      <c r="AC61" s="257" t="str">
        <f ca="1">_xlfn.IFNA(IF(COUNTIF('4.1(2)新規再エネ導入予定(合意形成)'!$G:$G,OFFSET($AA$7,MATCH($Y61,$Z$8:$Z$167,0),0))=0,OFFSET($AA$7,MATCH($Y61,$Z$8:$Z$167,0),0),""),"")</f>
        <v/>
      </c>
      <c r="AD61" s="257" t="str">
        <f ca="1">_xlfn.IFNA(OFFSET('4.1(2)新規再エネ導入予定(FS調査、系統接続検討状況)'!$W$1,MATCH(G61,'4.1(2)新規再エネ導入予定(FS調査、系統接続検討状況)'!G:G,0)-1,0),"//")</f>
        <v>//</v>
      </c>
      <c r="AE61" s="279" t="str">
        <f ca="1">_xlfn.IFNA(OFFSET('4.1(2)新規再エネ導入予定(合意形成)'!$AJ$1,MATCH(G61,'4.1(2)新規再エネ導入予定(合意形成)'!G:G,0)-1,0),"//")</f>
        <v>//</v>
      </c>
      <c r="AF61" s="257">
        <f t="shared" ca="1" si="12"/>
        <v>0</v>
      </c>
      <c r="AG61" s="131" t="str" cm="1">
        <f t="array" aca="1" ref="AG61" ca="1">IFERROR(_xlfn.IFS(COUNTIF($AB$8:$AC$167,G61)&gt;0,"",AF61&lt;=1,"D",AF61=2,"C",AF61=3,"B",AF61=4,"A"),"")</f>
        <v/>
      </c>
      <c r="AH61" s="257" t="str">
        <f ca="1">_xlfn.IFNA(OFFSET('4.1(2)新規再エネ導入予定(合意形成)'!$Z$1,MATCH($G61,'4.1(2)新規再エネ導入予定(合意形成)'!$G:$G,0)-1,0),"")</f>
        <v/>
      </c>
      <c r="AI61" s="131" t="str">
        <f t="shared" si="10"/>
        <v/>
      </c>
      <c r="AJ61" s="257" t="str">
        <f t="shared" si="2"/>
        <v/>
      </c>
      <c r="AK61" s="127" t="str">
        <f>IF(V61&lt;&gt;1,"",SUM($V$8:V61))</f>
        <v/>
      </c>
      <c r="AL61" s="257">
        <f t="shared" si="5"/>
        <v>1</v>
      </c>
    </row>
    <row r="62" spans="2:38" s="11" customFormat="1" ht="20">
      <c r="B62" s="21"/>
      <c r="C62" s="21"/>
      <c r="D62" s="36"/>
      <c r="E62" s="828"/>
      <c r="F62" s="788"/>
      <c r="G62" s="789"/>
      <c r="H62" s="790"/>
      <c r="I62" s="790"/>
      <c r="J62" s="791"/>
      <c r="K62" s="791"/>
      <c r="L62" s="906"/>
      <c r="M62" s="904"/>
      <c r="N62" s="738"/>
      <c r="O62" s="795"/>
      <c r="P62" s="904"/>
      <c r="Q62" s="738"/>
      <c r="R62" s="795"/>
      <c r="S62" s="793" t="str">
        <f t="shared" si="11"/>
        <v/>
      </c>
      <c r="T62" s="786"/>
      <c r="U62" s="116"/>
      <c r="V62" s="794" t="str">
        <f t="shared" si="8"/>
        <v/>
      </c>
      <c r="X62" s="127" t="s">
        <v>417</v>
      </c>
      <c r="Y62" s="257">
        <f t="shared" si="3"/>
        <v>55</v>
      </c>
      <c r="Z62" s="257" t="str">
        <f>IF(AA62&lt;&gt;"//",COUNTA($AA$8:AA62)-COUNTIF($AA$8:AA62,"//"),"")</f>
        <v/>
      </c>
      <c r="AA62" s="257" t="str">
        <f t="shared" si="9"/>
        <v>//</v>
      </c>
      <c r="AB62" s="257" t="str">
        <f ca="1">_xlfn.IFNA(IF(COUNTIF('4.1(2)新規再エネ導入予定(FS調査、系統接続検討状況)'!$G:$G,OFFSET($AA$7,MATCH($Y62,$Z$8:$Z$167,0),0))=0,OFFSET($AA$7,MATCH($Y62,$Z$8:$Z$167,0),0),""),"")</f>
        <v/>
      </c>
      <c r="AC62" s="257" t="str">
        <f ca="1">_xlfn.IFNA(IF(COUNTIF('4.1(2)新規再エネ導入予定(合意形成)'!$G:$G,OFFSET($AA$7,MATCH($Y62,$Z$8:$Z$167,0),0))=0,OFFSET($AA$7,MATCH($Y62,$Z$8:$Z$167,0),0),""),"")</f>
        <v/>
      </c>
      <c r="AD62" s="257" t="str">
        <f ca="1">_xlfn.IFNA(OFFSET('4.1(2)新規再エネ導入予定(FS調査、系統接続検討状況)'!$W$1,MATCH(G62,'4.1(2)新規再エネ導入予定(FS調査、系統接続検討状況)'!G:G,0)-1,0),"//")</f>
        <v>//</v>
      </c>
      <c r="AE62" s="279" t="str">
        <f ca="1">_xlfn.IFNA(OFFSET('4.1(2)新規再エネ導入予定(合意形成)'!$AJ$1,MATCH(G62,'4.1(2)新規再エネ導入予定(合意形成)'!G:G,0)-1,0),"//")</f>
        <v>//</v>
      </c>
      <c r="AF62" s="257">
        <f t="shared" ca="1" si="12"/>
        <v>0</v>
      </c>
      <c r="AG62" s="131" t="str" cm="1">
        <f t="array" aca="1" ref="AG62" ca="1">IFERROR(_xlfn.IFS(COUNTIF($AB$8:$AC$167,G62)&gt;0,"",AF62&lt;=1,"D",AF62=2,"C",AF62=3,"B",AF62=4,"A"),"")</f>
        <v/>
      </c>
      <c r="AH62" s="257" t="str">
        <f ca="1">_xlfn.IFNA(OFFSET('4.1(2)新規再エネ導入予定(合意形成)'!$Z$1,MATCH($G62,'4.1(2)新規再エネ導入予定(合意形成)'!$G:$G,0)-1,0),"")</f>
        <v/>
      </c>
      <c r="AI62" s="131" t="str">
        <f t="shared" si="10"/>
        <v/>
      </c>
      <c r="AJ62" s="257" t="str">
        <f t="shared" si="2"/>
        <v/>
      </c>
      <c r="AK62" s="127" t="str">
        <f>IF(V62&lt;&gt;1,"",SUM($V$8:V62))</f>
        <v/>
      </c>
      <c r="AL62" s="257">
        <f t="shared" si="5"/>
        <v>1</v>
      </c>
    </row>
    <row r="63" spans="2:38" s="11" customFormat="1" ht="20">
      <c r="B63" s="21"/>
      <c r="C63" s="21"/>
      <c r="D63" s="36"/>
      <c r="E63" s="828"/>
      <c r="F63" s="788"/>
      <c r="G63" s="789"/>
      <c r="H63" s="790"/>
      <c r="I63" s="790"/>
      <c r="J63" s="791"/>
      <c r="K63" s="791"/>
      <c r="L63" s="731"/>
      <c r="M63" s="734"/>
      <c r="N63" s="738"/>
      <c r="O63" s="795"/>
      <c r="P63" s="904"/>
      <c r="Q63" s="738"/>
      <c r="R63" s="795"/>
      <c r="S63" s="793" t="str">
        <f t="shared" si="11"/>
        <v/>
      </c>
      <c r="T63" s="786"/>
      <c r="U63" s="116"/>
      <c r="V63" s="794" t="str">
        <f t="shared" si="8"/>
        <v/>
      </c>
      <c r="X63" s="127" t="s">
        <v>417</v>
      </c>
      <c r="Y63" s="257">
        <f t="shared" si="3"/>
        <v>56</v>
      </c>
      <c r="Z63" s="257" t="str">
        <f>IF(AA63&lt;&gt;"//",COUNTA($AA$8:AA63)-COUNTIF($AA$8:AA63,"//"),"")</f>
        <v/>
      </c>
      <c r="AA63" s="257" t="str">
        <f t="shared" si="9"/>
        <v>//</v>
      </c>
      <c r="AB63" s="257" t="str">
        <f ca="1">_xlfn.IFNA(IF(COUNTIF('4.1(2)新規再エネ導入予定(FS調査、系統接続検討状況)'!$G:$G,OFFSET($AA$7,MATCH($Y63,$Z$8:$Z$167,0),0))=0,OFFSET($AA$7,MATCH($Y63,$Z$8:$Z$167,0),0),""),"")</f>
        <v/>
      </c>
      <c r="AC63" s="257" t="str">
        <f ca="1">_xlfn.IFNA(IF(COUNTIF('4.1(2)新規再エネ導入予定(合意形成)'!$G:$G,OFFSET($AA$7,MATCH($Y63,$Z$8:$Z$167,0),0))=0,OFFSET($AA$7,MATCH($Y63,$Z$8:$Z$167,0),0),""),"")</f>
        <v/>
      </c>
      <c r="AD63" s="257" t="str">
        <f ca="1">_xlfn.IFNA(OFFSET('4.1(2)新規再エネ導入予定(FS調査、系統接続検討状況)'!$W$1,MATCH(G63,'4.1(2)新規再エネ導入予定(FS調査、系統接続検討状況)'!G:G,0)-1,0),"//")</f>
        <v>//</v>
      </c>
      <c r="AE63" s="279" t="str">
        <f ca="1">_xlfn.IFNA(OFFSET('4.1(2)新規再エネ導入予定(合意形成)'!$AJ$1,MATCH(G63,'4.1(2)新規再エネ導入予定(合意形成)'!G:G,0)-1,0),"//")</f>
        <v>//</v>
      </c>
      <c r="AF63" s="257">
        <f t="shared" ca="1" si="12"/>
        <v>0</v>
      </c>
      <c r="AG63" s="131" t="str" cm="1">
        <f t="array" aca="1" ref="AG63" ca="1">IFERROR(_xlfn.IFS(COUNTIF($AB$8:$AC$167,G63)&gt;0,"",AF63&lt;=1,"D",AF63=2,"C",AF63=3,"B",AF63=4,"A"),"")</f>
        <v/>
      </c>
      <c r="AH63" s="257" t="str">
        <f ca="1">_xlfn.IFNA(OFFSET('4.1(2)新規再エネ導入予定(合意形成)'!$Z$1,MATCH($G63,'4.1(2)新規再エネ導入予定(合意形成)'!$G:$G,0)-1,0),"")</f>
        <v/>
      </c>
      <c r="AI63" s="131" t="str">
        <f t="shared" si="10"/>
        <v/>
      </c>
      <c r="AJ63" s="257" t="str">
        <f t="shared" si="2"/>
        <v/>
      </c>
      <c r="AK63" s="127" t="str">
        <f>IF(V63&lt;&gt;1,"",SUM($V$8:V63))</f>
        <v/>
      </c>
      <c r="AL63" s="257">
        <f t="shared" si="5"/>
        <v>1</v>
      </c>
    </row>
    <row r="64" spans="2:38" ht="18" customHeight="1">
      <c r="D64" s="190"/>
      <c r="E64" s="829" t="s">
        <v>22</v>
      </c>
      <c r="F64" s="796"/>
      <c r="G64" s="776"/>
      <c r="H64" s="777"/>
      <c r="I64" s="777"/>
      <c r="J64" s="777"/>
      <c r="K64" s="777"/>
      <c r="L64" s="730"/>
      <c r="M64" s="733"/>
      <c r="N64" s="899" t="str">
        <f>IF(AND(COUNTBLANK(M64:M71)&lt;=3,COUNTA(M64:M71)=0),0,IF(SUM(M64:M71)=0,"",SUM(M64:M71)))</f>
        <v/>
      </c>
      <c r="O64" s="905"/>
      <c r="P64" s="736"/>
      <c r="Q64" s="899" t="str">
        <f>IF(AND(COUNTBLANK(P64:P71)&lt;=3,COUNTA(P64:P71)=0),0,IF(SUM(P64:P71)=0,"",SUM(P64:P71)))</f>
        <v/>
      </c>
      <c r="R64" s="778"/>
      <c r="S64" s="779" t="str">
        <f t="shared" si="11"/>
        <v/>
      </c>
      <c r="T64" s="771"/>
      <c r="V64" s="797"/>
      <c r="X64" s="224" t="s">
        <v>417</v>
      </c>
      <c r="Y64" s="177">
        <f t="shared" si="3"/>
        <v>57</v>
      </c>
      <c r="Z64" s="177" t="str">
        <f>IF(AA64&lt;&gt;"//",COUNTA($AA$8:AA64)-COUNTIF($AA$8:AA64,"//"),"")</f>
        <v/>
      </c>
      <c r="AA64" s="177" t="str">
        <f t="shared" si="9"/>
        <v>//</v>
      </c>
      <c r="AB64" s="177" t="str">
        <f ca="1">_xlfn.IFNA(IF(COUNTIF('4.1(2)新規再エネ導入予定(FS調査、系統接続検討状況)'!$G:$G,OFFSET($AA$7,MATCH($Y64,$Z$8:$Z$167,0),0))=0,OFFSET($AA$7,MATCH($Y64,$Z$8:$Z$167,0),0),""),"")</f>
        <v/>
      </c>
      <c r="AC64" s="177" t="str">
        <f ca="1">_xlfn.IFNA(IF(COUNTIF('4.1(2)新規再エネ導入予定(合意形成)'!$G:$G,OFFSET($AA$7,MATCH($Y64,$Z$8:$Z$167,0),0))=0,OFFSET($AA$7,MATCH($Y64,$Z$8:$Z$167,0),0),""),"")</f>
        <v/>
      </c>
      <c r="AD64" s="177" t="str">
        <f ca="1">_xlfn.IFNA(OFFSET('4.1(2)新規再エネ導入予定(FS調査、系統接続検討状況)'!$W$1,MATCH(G64,'4.1(2)新規再エネ導入予定(FS調査、系統接続検討状況)'!G:G,0)-1,0),"//")</f>
        <v>//</v>
      </c>
      <c r="AE64" s="264" t="str">
        <f ca="1">_xlfn.IFNA(OFFSET('4.1(2)新規再エネ導入予定(合意形成)'!$AJ$1,MATCH(G64,'4.1(2)新規再エネ導入予定(合意形成)'!G:G,0)-1,0),"//")</f>
        <v>//</v>
      </c>
      <c r="AF64" s="177">
        <f t="shared" ca="1" si="12"/>
        <v>0</v>
      </c>
      <c r="AG64" s="217" t="str" cm="1">
        <f t="array" aca="1" ref="AG64" ca="1">IFERROR(_xlfn.IFS(COUNTIF($AB$8:$AC$167,G64)&gt;0,"",AF64&lt;=1,"D",AF64=2,"C",AF64=3,"B",AF64=4,"A"),"")</f>
        <v/>
      </c>
      <c r="AH64" s="177" t="str">
        <f ca="1">_xlfn.IFNA(OFFSET('4.1(2)新規再エネ導入予定(合意形成)'!$Z$1,MATCH($G64,'4.1(2)新規再エネ導入予定(合意形成)'!$G:$G,0)-1,0),"")</f>
        <v/>
      </c>
      <c r="AI64" s="217" t="str">
        <f t="shared" si="10"/>
        <v/>
      </c>
      <c r="AJ64" s="177" t="str">
        <f t="shared" si="2"/>
        <v/>
      </c>
      <c r="AK64" s="224" t="str">
        <f>IF(V64&lt;&gt;1,"",SUM($V$8:V64))</f>
        <v/>
      </c>
      <c r="AL64" s="177">
        <f t="shared" si="5"/>
        <v>1</v>
      </c>
    </row>
    <row r="65" spans="2:38" s="11" customFormat="1" ht="20" hidden="1">
      <c r="B65" s="21"/>
      <c r="C65" s="21"/>
      <c r="D65" s="36"/>
      <c r="E65" s="828"/>
      <c r="F65" s="781"/>
      <c r="G65" s="782"/>
      <c r="H65" s="783"/>
      <c r="I65" s="783"/>
      <c r="J65" s="784"/>
      <c r="K65" s="784"/>
      <c r="L65" s="901"/>
      <c r="M65" s="902"/>
      <c r="N65" s="737"/>
      <c r="O65" s="798"/>
      <c r="P65" s="902"/>
      <c r="Q65" s="737"/>
      <c r="R65" s="798"/>
      <c r="S65" s="785" t="str">
        <f t="shared" si="11"/>
        <v/>
      </c>
      <c r="T65" s="786"/>
      <c r="U65" s="116"/>
      <c r="V65" s="787"/>
      <c r="X65" s="127" t="s">
        <v>417</v>
      </c>
      <c r="Y65" s="257">
        <f t="shared" si="3"/>
        <v>58</v>
      </c>
      <c r="Z65" s="257" t="str">
        <f>IF(AA65&lt;&gt;"//",COUNTA($AA$8:AA65)-COUNTIF($AA$8:AA65,"//"),"")</f>
        <v/>
      </c>
      <c r="AA65" s="257" t="str">
        <f t="shared" si="9"/>
        <v>//</v>
      </c>
      <c r="AB65" s="257" t="str">
        <f ca="1">_xlfn.IFNA(IF(COUNTIF('4.1(2)新規再エネ導入予定(FS調査、系統接続検討状況)'!$G:$G,OFFSET($AA$7,MATCH($Y65,$Z$8:$Z$167,0),0))=0,OFFSET($AA$7,MATCH($Y65,$Z$8:$Z$167,0),0),""),"")</f>
        <v/>
      </c>
      <c r="AC65" s="257" t="str">
        <f ca="1">_xlfn.IFNA(IF(COUNTIF('4.1(2)新規再エネ導入予定(合意形成)'!$G:$G,OFFSET($AA$7,MATCH($Y65,$Z$8:$Z$167,0),0))=0,OFFSET($AA$7,MATCH($Y65,$Z$8:$Z$167,0),0),""),"")</f>
        <v/>
      </c>
      <c r="AD65" s="257" t="str">
        <f ca="1">_xlfn.IFNA(OFFSET('4.1(2)新規再エネ導入予定(FS調査、系統接続検討状況)'!$W$1,MATCH(G65,'4.1(2)新規再エネ導入予定(FS調査、系統接続検討状況)'!G:G,0)-1,0),"//")</f>
        <v>//</v>
      </c>
      <c r="AE65" s="279" t="str">
        <f ca="1">_xlfn.IFNA(OFFSET('4.1(2)新規再エネ導入予定(合意形成)'!$AJ$1,MATCH(G65,'4.1(2)新規再エネ導入予定(合意形成)'!G:G,0)-1,0),"//")</f>
        <v>//</v>
      </c>
      <c r="AF65" s="257">
        <f t="shared" ca="1" si="12"/>
        <v>0</v>
      </c>
      <c r="AG65" s="131" t="str" cm="1">
        <f t="array" aca="1" ref="AG65" ca="1">IFERROR(_xlfn.IFS(COUNTIF($AB$8:$AC$167,G65)&gt;0,"",AF65&lt;=1,"D",AF65=2,"C",AF65=3,"B",AF65=4,"A"),"")</f>
        <v/>
      </c>
      <c r="AH65" s="257" t="str">
        <f ca="1">_xlfn.IFNA(OFFSET('4.1(2)新規再エネ導入予定(合意形成)'!$Z$1,MATCH($G65,'4.1(2)新規再エネ導入予定(合意形成)'!$G:$G,0)-1,0),"")</f>
        <v/>
      </c>
      <c r="AI65" s="131" t="str">
        <f t="shared" si="10"/>
        <v/>
      </c>
      <c r="AJ65" s="257" t="str">
        <f t="shared" si="2"/>
        <v/>
      </c>
      <c r="AK65" s="127" t="str">
        <f>IF(V65&lt;&gt;1,"",SUM($V$8:V65))</f>
        <v/>
      </c>
      <c r="AL65" s="257">
        <f t="shared" si="5"/>
        <v>1</v>
      </c>
    </row>
    <row r="66" spans="2:38" s="11" customFormat="1" ht="20">
      <c r="B66" s="21"/>
      <c r="C66" s="21"/>
      <c r="D66" s="36"/>
      <c r="E66" s="828"/>
      <c r="F66" s="788"/>
      <c r="G66" s="789"/>
      <c r="H66" s="790"/>
      <c r="I66" s="790"/>
      <c r="J66" s="791"/>
      <c r="K66" s="791"/>
      <c r="L66" s="903"/>
      <c r="M66" s="904"/>
      <c r="N66" s="738"/>
      <c r="O66" s="795"/>
      <c r="P66" s="904"/>
      <c r="Q66" s="738"/>
      <c r="R66" s="795"/>
      <c r="S66" s="793" t="str">
        <f t="shared" si="11"/>
        <v/>
      </c>
      <c r="T66" s="786"/>
      <c r="U66" s="116"/>
      <c r="V66" s="794" t="str">
        <f t="shared" si="8"/>
        <v/>
      </c>
      <c r="X66" s="127" t="s">
        <v>417</v>
      </c>
      <c r="Y66" s="257">
        <f t="shared" si="3"/>
        <v>59</v>
      </c>
      <c r="Z66" s="257" t="str">
        <f>IF(AA66&lt;&gt;"//",COUNTA($AA$8:AA66)-COUNTIF($AA$8:AA66,"//"),"")</f>
        <v/>
      </c>
      <c r="AA66" s="257" t="str">
        <f t="shared" si="9"/>
        <v>//</v>
      </c>
      <c r="AB66" s="257" t="str">
        <f ca="1">_xlfn.IFNA(IF(COUNTIF('4.1(2)新規再エネ導入予定(FS調査、系統接続検討状況)'!$G:$G,OFFSET($AA$7,MATCH($Y66,$Z$8:$Z$167,0),0))=0,OFFSET($AA$7,MATCH($Y66,$Z$8:$Z$167,0),0),""),"")</f>
        <v/>
      </c>
      <c r="AC66" s="257" t="str">
        <f ca="1">_xlfn.IFNA(IF(COUNTIF('4.1(2)新規再エネ導入予定(合意形成)'!$G:$G,OFFSET($AA$7,MATCH($Y66,$Z$8:$Z$167,0),0))=0,OFFSET($AA$7,MATCH($Y66,$Z$8:$Z$167,0),0),""),"")</f>
        <v/>
      </c>
      <c r="AD66" s="257" t="str">
        <f ca="1">_xlfn.IFNA(OFFSET('4.1(2)新規再エネ導入予定(FS調査、系統接続検討状況)'!$W$1,MATCH(G66,'4.1(2)新規再エネ導入予定(FS調査、系統接続検討状況)'!G:G,0)-1,0),"//")</f>
        <v>//</v>
      </c>
      <c r="AE66" s="279" t="str">
        <f ca="1">_xlfn.IFNA(OFFSET('4.1(2)新規再エネ導入予定(合意形成)'!$AJ$1,MATCH(G66,'4.1(2)新規再エネ導入予定(合意形成)'!G:G,0)-1,0),"//")</f>
        <v>//</v>
      </c>
      <c r="AF66" s="257">
        <f t="shared" ca="1" si="12"/>
        <v>0</v>
      </c>
      <c r="AG66" s="131" t="str" cm="1">
        <f t="array" aca="1" ref="AG66" ca="1">IFERROR(_xlfn.IFS(COUNTIF($AB$8:$AC$167,G66)&gt;0,"",AF66&lt;=1,"D",AF66=2,"C",AF66=3,"B",AF66=4,"A"),"")</f>
        <v/>
      </c>
      <c r="AH66" s="257" t="str">
        <f ca="1">_xlfn.IFNA(OFFSET('4.1(2)新規再エネ導入予定(合意形成)'!$Z$1,MATCH($G66,'4.1(2)新規再エネ導入予定(合意形成)'!$G:$G,0)-1,0),"")</f>
        <v/>
      </c>
      <c r="AI66" s="131" t="str">
        <f t="shared" si="10"/>
        <v/>
      </c>
      <c r="AJ66" s="257" t="str">
        <f t="shared" si="2"/>
        <v/>
      </c>
      <c r="AK66" s="127" t="str">
        <f>IF(V66&lt;&gt;1,"",SUM($V$8:V66))</f>
        <v/>
      </c>
      <c r="AL66" s="257">
        <f t="shared" si="5"/>
        <v>1</v>
      </c>
    </row>
    <row r="67" spans="2:38" s="11" customFormat="1" ht="20">
      <c r="B67" s="21"/>
      <c r="C67" s="21"/>
      <c r="D67" s="36"/>
      <c r="E67" s="828"/>
      <c r="F67" s="788"/>
      <c r="G67" s="789"/>
      <c r="H67" s="790"/>
      <c r="I67" s="790"/>
      <c r="J67" s="791"/>
      <c r="K67" s="791"/>
      <c r="L67" s="731"/>
      <c r="M67" s="734"/>
      <c r="N67" s="738"/>
      <c r="O67" s="795"/>
      <c r="P67" s="904"/>
      <c r="Q67" s="738"/>
      <c r="R67" s="795"/>
      <c r="S67" s="793" t="str">
        <f t="shared" si="11"/>
        <v/>
      </c>
      <c r="T67" s="786"/>
      <c r="U67" s="116"/>
      <c r="V67" s="794" t="str">
        <f t="shared" si="8"/>
        <v/>
      </c>
      <c r="X67" s="127" t="s">
        <v>417</v>
      </c>
      <c r="Y67" s="257">
        <f t="shared" si="3"/>
        <v>60</v>
      </c>
      <c r="Z67" s="257" t="str">
        <f>IF(AA67&lt;&gt;"//",COUNTA($AA$8:AA67)-COUNTIF($AA$8:AA67,"//"),"")</f>
        <v/>
      </c>
      <c r="AA67" s="257" t="str">
        <f t="shared" si="9"/>
        <v>//</v>
      </c>
      <c r="AB67" s="257" t="str">
        <f ca="1">_xlfn.IFNA(IF(COUNTIF('4.1(2)新規再エネ導入予定(FS調査、系統接続検討状況)'!$G:$G,OFFSET($AA$7,MATCH($Y67,$Z$8:$Z$167,0),0))=0,OFFSET($AA$7,MATCH($Y67,$Z$8:$Z$167,0),0),""),"")</f>
        <v/>
      </c>
      <c r="AC67" s="257" t="str">
        <f ca="1">_xlfn.IFNA(IF(COUNTIF('4.1(2)新規再エネ導入予定(合意形成)'!$G:$G,OFFSET($AA$7,MATCH($Y67,$Z$8:$Z$167,0),0))=0,OFFSET($AA$7,MATCH($Y67,$Z$8:$Z$167,0),0),""),"")</f>
        <v/>
      </c>
      <c r="AD67" s="257" t="str">
        <f ca="1">_xlfn.IFNA(OFFSET('4.1(2)新規再エネ導入予定(FS調査、系統接続検討状況)'!$W$1,MATCH(G67,'4.1(2)新規再エネ導入予定(FS調査、系統接続検討状況)'!G:G,0)-1,0),"//")</f>
        <v>//</v>
      </c>
      <c r="AE67" s="279" t="str">
        <f ca="1">_xlfn.IFNA(OFFSET('4.1(2)新規再エネ導入予定(合意形成)'!$AJ$1,MATCH(G67,'4.1(2)新規再エネ導入予定(合意形成)'!G:G,0)-1,0),"//")</f>
        <v>//</v>
      </c>
      <c r="AF67" s="257">
        <f t="shared" ca="1" si="12"/>
        <v>0</v>
      </c>
      <c r="AG67" s="131" t="str" cm="1">
        <f t="array" aca="1" ref="AG67" ca="1">IFERROR(_xlfn.IFS(COUNTIF($AB$8:$AC$167,G67)&gt;0,"",AF67&lt;=1,"D",AF67=2,"C",AF67=3,"B",AF67=4,"A"),"")</f>
        <v/>
      </c>
      <c r="AH67" s="257" t="str">
        <f ca="1">_xlfn.IFNA(OFFSET('4.1(2)新規再エネ導入予定(合意形成)'!$Z$1,MATCH($G67,'4.1(2)新規再エネ導入予定(合意形成)'!$G:$G,0)-1,0),"")</f>
        <v/>
      </c>
      <c r="AI67" s="131" t="str">
        <f t="shared" si="10"/>
        <v/>
      </c>
      <c r="AJ67" s="257" t="str">
        <f t="shared" si="2"/>
        <v/>
      </c>
      <c r="AK67" s="127" t="str">
        <f>IF(V67&lt;&gt;1,"",SUM($V$8:V67))</f>
        <v/>
      </c>
      <c r="AL67" s="257">
        <f t="shared" si="5"/>
        <v>1</v>
      </c>
    </row>
    <row r="68" spans="2:38" s="11" customFormat="1" ht="20">
      <c r="B68" s="21"/>
      <c r="C68" s="21"/>
      <c r="D68" s="36"/>
      <c r="E68" s="828"/>
      <c r="F68" s="788"/>
      <c r="G68" s="789"/>
      <c r="H68" s="790"/>
      <c r="I68" s="790"/>
      <c r="J68" s="791"/>
      <c r="K68" s="791"/>
      <c r="L68" s="731"/>
      <c r="M68" s="734"/>
      <c r="N68" s="738"/>
      <c r="O68" s="795"/>
      <c r="P68" s="904"/>
      <c r="Q68" s="738"/>
      <c r="R68" s="795"/>
      <c r="S68" s="793" t="str">
        <f t="shared" si="11"/>
        <v/>
      </c>
      <c r="T68" s="786"/>
      <c r="U68" s="116"/>
      <c r="V68" s="794" t="str">
        <f t="shared" si="8"/>
        <v/>
      </c>
      <c r="X68" s="127" t="s">
        <v>417</v>
      </c>
      <c r="Y68" s="257">
        <f t="shared" si="3"/>
        <v>61</v>
      </c>
      <c r="Z68" s="257" t="str">
        <f>IF(AA68&lt;&gt;"//",COUNTA($AA$8:AA68)-COUNTIF($AA$8:AA68,"//"),"")</f>
        <v/>
      </c>
      <c r="AA68" s="257" t="str">
        <f t="shared" si="9"/>
        <v>//</v>
      </c>
      <c r="AB68" s="257" t="str">
        <f ca="1">_xlfn.IFNA(IF(COUNTIF('4.1(2)新規再エネ導入予定(FS調査、系統接続検討状況)'!$G:$G,OFFSET($AA$7,MATCH($Y68,$Z$8:$Z$167,0),0))=0,OFFSET($AA$7,MATCH($Y68,$Z$8:$Z$167,0),0),""),"")</f>
        <v/>
      </c>
      <c r="AC68" s="257" t="str">
        <f ca="1">_xlfn.IFNA(IF(COUNTIF('4.1(2)新規再エネ導入予定(合意形成)'!$G:$G,OFFSET($AA$7,MATCH($Y68,$Z$8:$Z$167,0),0))=0,OFFSET($AA$7,MATCH($Y68,$Z$8:$Z$167,0),0),""),"")</f>
        <v/>
      </c>
      <c r="AD68" s="257" t="str">
        <f ca="1">_xlfn.IFNA(OFFSET('4.1(2)新規再エネ導入予定(FS調査、系統接続検討状況)'!$W$1,MATCH(G68,'4.1(2)新規再エネ導入予定(FS調査、系統接続検討状況)'!G:G,0)-1,0),"//")</f>
        <v>//</v>
      </c>
      <c r="AE68" s="279" t="str">
        <f ca="1">_xlfn.IFNA(OFFSET('4.1(2)新規再エネ導入予定(合意形成)'!$AJ$1,MATCH(G68,'4.1(2)新規再エネ導入予定(合意形成)'!G:G,0)-1,0),"//")</f>
        <v>//</v>
      </c>
      <c r="AF68" s="257">
        <f t="shared" ca="1" si="12"/>
        <v>0</v>
      </c>
      <c r="AG68" s="131" t="str" cm="1">
        <f t="array" aca="1" ref="AG68" ca="1">IFERROR(_xlfn.IFS(COUNTIF($AB$8:$AC$167,G68)&gt;0,"",AF68&lt;=1,"D",AF68=2,"C",AF68=3,"B",AF68=4,"A"),"")</f>
        <v/>
      </c>
      <c r="AH68" s="257" t="str">
        <f ca="1">_xlfn.IFNA(OFFSET('4.1(2)新規再エネ導入予定(合意形成)'!$Z$1,MATCH($G68,'4.1(2)新規再エネ導入予定(合意形成)'!$G:$G,0)-1,0),"")</f>
        <v/>
      </c>
      <c r="AI68" s="131" t="str">
        <f t="shared" si="10"/>
        <v/>
      </c>
      <c r="AJ68" s="257" t="str">
        <f t="shared" si="2"/>
        <v/>
      </c>
      <c r="AK68" s="127" t="str">
        <f>IF(V68&lt;&gt;1,"",SUM($V$8:V68))</f>
        <v/>
      </c>
      <c r="AL68" s="257">
        <f t="shared" si="5"/>
        <v>1</v>
      </c>
    </row>
    <row r="69" spans="2:38" s="11" customFormat="1" ht="20">
      <c r="B69" s="21"/>
      <c r="C69" s="21"/>
      <c r="D69" s="36"/>
      <c r="E69" s="828"/>
      <c r="F69" s="788"/>
      <c r="G69" s="789"/>
      <c r="H69" s="790"/>
      <c r="I69" s="790"/>
      <c r="J69" s="791"/>
      <c r="K69" s="791"/>
      <c r="L69" s="906"/>
      <c r="M69" s="904"/>
      <c r="N69" s="738"/>
      <c r="O69" s="795"/>
      <c r="P69" s="904"/>
      <c r="Q69" s="738"/>
      <c r="R69" s="795"/>
      <c r="S69" s="793" t="str">
        <f t="shared" si="11"/>
        <v/>
      </c>
      <c r="T69" s="786"/>
      <c r="U69" s="116"/>
      <c r="V69" s="794" t="str">
        <f t="shared" si="8"/>
        <v/>
      </c>
      <c r="X69" s="127" t="s">
        <v>417</v>
      </c>
      <c r="Y69" s="257">
        <f t="shared" si="3"/>
        <v>62</v>
      </c>
      <c r="Z69" s="257" t="str">
        <f>IF(AA69&lt;&gt;"//",COUNTA($AA$8:AA69)-COUNTIF($AA$8:AA69,"//"),"")</f>
        <v/>
      </c>
      <c r="AA69" s="257" t="str">
        <f t="shared" si="9"/>
        <v>//</v>
      </c>
      <c r="AB69" s="257" t="str">
        <f ca="1">_xlfn.IFNA(IF(COUNTIF('4.1(2)新規再エネ導入予定(FS調査、系統接続検討状況)'!$G:$G,OFFSET($AA$7,MATCH($Y69,$Z$8:$Z$167,0),0))=0,OFFSET($AA$7,MATCH($Y69,$Z$8:$Z$167,0),0),""),"")</f>
        <v/>
      </c>
      <c r="AC69" s="257" t="str">
        <f ca="1">_xlfn.IFNA(IF(COUNTIF('4.1(2)新規再エネ導入予定(合意形成)'!$G:$G,OFFSET($AA$7,MATCH($Y69,$Z$8:$Z$167,0),0))=0,OFFSET($AA$7,MATCH($Y69,$Z$8:$Z$167,0),0),""),"")</f>
        <v/>
      </c>
      <c r="AD69" s="257" t="str">
        <f ca="1">_xlfn.IFNA(OFFSET('4.1(2)新規再エネ導入予定(FS調査、系統接続検討状況)'!$W$1,MATCH(G69,'4.1(2)新規再エネ導入予定(FS調査、系統接続検討状況)'!G:G,0)-1,0),"//")</f>
        <v>//</v>
      </c>
      <c r="AE69" s="279" t="str">
        <f ca="1">_xlfn.IFNA(OFFSET('4.1(2)新規再エネ導入予定(合意形成)'!$AJ$1,MATCH(G69,'4.1(2)新規再エネ導入予定(合意形成)'!G:G,0)-1,0),"//")</f>
        <v>//</v>
      </c>
      <c r="AF69" s="257">
        <f t="shared" ca="1" si="12"/>
        <v>0</v>
      </c>
      <c r="AG69" s="131" t="str" cm="1">
        <f t="array" aca="1" ref="AG69" ca="1">IFERROR(_xlfn.IFS(COUNTIF($AB$8:$AC$167,G69)&gt;0,"",AF69&lt;=1,"D",AF69=2,"C",AF69=3,"B",AF69=4,"A"),"")</f>
        <v/>
      </c>
      <c r="AH69" s="257" t="str">
        <f ca="1">_xlfn.IFNA(OFFSET('4.1(2)新規再エネ導入予定(合意形成)'!$Z$1,MATCH($G69,'4.1(2)新規再エネ導入予定(合意形成)'!$G:$G,0)-1,0),"")</f>
        <v/>
      </c>
      <c r="AI69" s="131" t="str">
        <f t="shared" si="10"/>
        <v/>
      </c>
      <c r="AJ69" s="257" t="str">
        <f t="shared" si="2"/>
        <v/>
      </c>
      <c r="AK69" s="127" t="str">
        <f>IF(V69&lt;&gt;1,"",SUM($V$8:V69))</f>
        <v/>
      </c>
      <c r="AL69" s="257">
        <f t="shared" si="5"/>
        <v>1</v>
      </c>
    </row>
    <row r="70" spans="2:38" s="11" customFormat="1" ht="20">
      <c r="B70" s="21"/>
      <c r="C70" s="21"/>
      <c r="D70" s="36"/>
      <c r="E70" s="828"/>
      <c r="F70" s="788"/>
      <c r="G70" s="789"/>
      <c r="H70" s="790"/>
      <c r="I70" s="790"/>
      <c r="J70" s="791"/>
      <c r="K70" s="791"/>
      <c r="L70" s="731"/>
      <c r="M70" s="734"/>
      <c r="N70" s="738"/>
      <c r="O70" s="795"/>
      <c r="P70" s="904"/>
      <c r="Q70" s="738"/>
      <c r="R70" s="795"/>
      <c r="S70" s="793" t="str">
        <f t="shared" si="11"/>
        <v/>
      </c>
      <c r="T70" s="786"/>
      <c r="U70" s="116"/>
      <c r="V70" s="794" t="str">
        <f t="shared" ref="V70:V91" si="13">IF(H70&lt;&gt;"",1,"")</f>
        <v/>
      </c>
      <c r="X70" s="127" t="s">
        <v>417</v>
      </c>
      <c r="Y70" s="257">
        <f t="shared" si="3"/>
        <v>63</v>
      </c>
      <c r="Z70" s="257" t="str">
        <f>IF(AA70&lt;&gt;"//",COUNTA($AA$8:AA70)-COUNTIF($AA$8:AA70,"//"),"")</f>
        <v/>
      </c>
      <c r="AA70" s="257" t="str">
        <f t="shared" si="9"/>
        <v>//</v>
      </c>
      <c r="AB70" s="257" t="str">
        <f ca="1">_xlfn.IFNA(IF(COUNTIF('4.1(2)新規再エネ導入予定(FS調査、系統接続検討状況)'!$G:$G,OFFSET($AA$7,MATCH($Y70,$Z$8:$Z$167,0),0))=0,OFFSET($AA$7,MATCH($Y70,$Z$8:$Z$167,0),0),""),"")</f>
        <v/>
      </c>
      <c r="AC70" s="257" t="str">
        <f ca="1">_xlfn.IFNA(IF(COUNTIF('4.1(2)新規再エネ導入予定(合意形成)'!$G:$G,OFFSET($AA$7,MATCH($Y70,$Z$8:$Z$167,0),0))=0,OFFSET($AA$7,MATCH($Y70,$Z$8:$Z$167,0),0),""),"")</f>
        <v/>
      </c>
      <c r="AD70" s="257" t="str">
        <f ca="1">_xlfn.IFNA(OFFSET('4.1(2)新規再エネ導入予定(FS調査、系統接続検討状況)'!$W$1,MATCH(G70,'4.1(2)新規再エネ導入予定(FS調査、系統接続検討状況)'!G:G,0)-1,0),"//")</f>
        <v>//</v>
      </c>
      <c r="AE70" s="279" t="str">
        <f ca="1">_xlfn.IFNA(OFFSET('4.1(2)新規再エネ導入予定(合意形成)'!$AJ$1,MATCH(G70,'4.1(2)新規再エネ導入予定(合意形成)'!G:G,0)-1,0),"//")</f>
        <v>//</v>
      </c>
      <c r="AF70" s="257">
        <f t="shared" ca="1" si="12"/>
        <v>0</v>
      </c>
      <c r="AG70" s="131" t="str" cm="1">
        <f t="array" aca="1" ref="AG70" ca="1">IFERROR(_xlfn.IFS(COUNTIF($AB$8:$AC$167,G70)&gt;0,"",AF70&lt;=1,"D",AF70=2,"C",AF70=3,"B",AF70=4,"A"),"")</f>
        <v/>
      </c>
      <c r="AH70" s="257" t="str">
        <f ca="1">_xlfn.IFNA(OFFSET('4.1(2)新規再エネ導入予定(合意形成)'!$Z$1,MATCH($G70,'4.1(2)新規再エネ導入予定(合意形成)'!$G:$G,0)-1,0),"")</f>
        <v/>
      </c>
      <c r="AI70" s="131" t="str">
        <f t="shared" si="10"/>
        <v/>
      </c>
      <c r="AJ70" s="257" t="str">
        <f t="shared" si="2"/>
        <v/>
      </c>
      <c r="AK70" s="127" t="str">
        <f>IF(V70&lt;&gt;1,"",SUM($V$8:V70))</f>
        <v/>
      </c>
      <c r="AL70" s="257">
        <f t="shared" si="5"/>
        <v>1</v>
      </c>
    </row>
    <row r="71" spans="2:38" ht="20">
      <c r="D71" s="190"/>
      <c r="E71" s="829" t="s">
        <v>23</v>
      </c>
      <c r="F71" s="796"/>
      <c r="G71" s="776"/>
      <c r="H71" s="777"/>
      <c r="I71" s="777"/>
      <c r="J71" s="777"/>
      <c r="K71" s="777"/>
      <c r="L71" s="730"/>
      <c r="M71" s="733"/>
      <c r="N71" s="899" t="str">
        <f>IF(AND(COUNTBLANK(M71:M78)&lt;=3,COUNTA(M71:M78)=0),0,IF(SUM(M71:M78)=0,"",SUM(M71:M78)))</f>
        <v/>
      </c>
      <c r="O71" s="905"/>
      <c r="P71" s="736"/>
      <c r="Q71" s="899" t="str">
        <f>IF(AND(COUNTBLANK(P71:P78)&lt;=3,COUNTA(P71:P78)=0),0,IF(SUM(P71:P78)=0,"",SUM(P71:P78)))</f>
        <v/>
      </c>
      <c r="R71" s="778"/>
      <c r="S71" s="779" t="str">
        <f t="shared" si="11"/>
        <v/>
      </c>
      <c r="T71" s="771"/>
      <c r="V71" s="797"/>
      <c r="X71" s="224" t="s">
        <v>417</v>
      </c>
      <c r="Y71" s="177">
        <f t="shared" ref="Y71:Y134" si="14">ROW()-ROW($Y$7)</f>
        <v>64</v>
      </c>
      <c r="Z71" s="177" t="str">
        <f>IF(AA71&lt;&gt;"//",COUNTA($AA$8:AA71)-COUNTIF($AA$8:AA71,"//"),"")</f>
        <v/>
      </c>
      <c r="AA71" s="177" t="str">
        <f t="shared" si="9"/>
        <v>//</v>
      </c>
      <c r="AB71" s="177" t="str">
        <f ca="1">_xlfn.IFNA(IF(COUNTIF('4.1(2)新規再エネ導入予定(FS調査、系統接続検討状況)'!$G:$G,OFFSET($AA$7,MATCH($Y71,$Z$8:$Z$167,0),0))=0,OFFSET($AA$7,MATCH($Y71,$Z$8:$Z$167,0),0),""),"")</f>
        <v/>
      </c>
      <c r="AC71" s="177" t="str">
        <f ca="1">_xlfn.IFNA(IF(COUNTIF('4.1(2)新規再エネ導入予定(合意形成)'!$G:$G,OFFSET($AA$7,MATCH($Y71,$Z$8:$Z$167,0),0))=0,OFFSET($AA$7,MATCH($Y71,$Z$8:$Z$167,0),0),""),"")</f>
        <v/>
      </c>
      <c r="AD71" s="177" t="str">
        <f ca="1">_xlfn.IFNA(OFFSET('4.1(2)新規再エネ導入予定(FS調査、系統接続検討状況)'!$W$1,MATCH(G71,'4.1(2)新規再エネ導入予定(FS調査、系統接続検討状況)'!G:G,0)-1,0),"//")</f>
        <v>//</v>
      </c>
      <c r="AE71" s="264" t="str">
        <f ca="1">_xlfn.IFNA(OFFSET('4.1(2)新規再エネ導入予定(合意形成)'!$AJ$1,MATCH(G71,'4.1(2)新規再エネ導入予定(合意形成)'!G:G,0)-1,0),"//")</f>
        <v>//</v>
      </c>
      <c r="AF71" s="177">
        <f t="shared" ca="1" si="12"/>
        <v>0</v>
      </c>
      <c r="AG71" s="217" t="str" cm="1">
        <f t="array" aca="1" ref="AG71" ca="1">IFERROR(_xlfn.IFS(COUNTIF($AB$8:$AC$167,G71)&gt;0,"",AF71&lt;=1,"D",AF71=2,"C",AF71=3,"B",AF71=4,"A"),"")</f>
        <v/>
      </c>
      <c r="AH71" s="177" t="str">
        <f ca="1">_xlfn.IFNA(OFFSET('4.1(2)新規再エネ導入予定(合意形成)'!$Z$1,MATCH($G71,'4.1(2)新規再エネ導入予定(合意形成)'!$G:$G,0)-1,0),"")</f>
        <v/>
      </c>
      <c r="AI71" s="217" t="str">
        <f t="shared" si="10"/>
        <v/>
      </c>
      <c r="AJ71" s="177" t="str">
        <f t="shared" si="2"/>
        <v/>
      </c>
      <c r="AK71" s="224" t="str">
        <f>IF(V71&lt;&gt;1,"",SUM($V$8:V71))</f>
        <v/>
      </c>
      <c r="AL71" s="177">
        <f t="shared" si="5"/>
        <v>1</v>
      </c>
    </row>
    <row r="72" spans="2:38" s="11" customFormat="1" ht="20" hidden="1">
      <c r="B72" s="21"/>
      <c r="C72" s="21"/>
      <c r="D72" s="36"/>
      <c r="E72" s="828"/>
      <c r="F72" s="781"/>
      <c r="G72" s="782"/>
      <c r="H72" s="783"/>
      <c r="I72" s="783"/>
      <c r="J72" s="784"/>
      <c r="K72" s="784"/>
      <c r="L72" s="901"/>
      <c r="M72" s="902"/>
      <c r="N72" s="737"/>
      <c r="O72" s="798"/>
      <c r="P72" s="902"/>
      <c r="Q72" s="737"/>
      <c r="R72" s="798"/>
      <c r="S72" s="785" t="str">
        <f t="shared" si="11"/>
        <v/>
      </c>
      <c r="T72" s="786"/>
      <c r="U72" s="116"/>
      <c r="V72" s="787"/>
      <c r="X72" s="127" t="s">
        <v>417</v>
      </c>
      <c r="Y72" s="257">
        <f t="shared" si="14"/>
        <v>65</v>
      </c>
      <c r="Z72" s="257" t="str">
        <f>IF(AA72&lt;&gt;"//",COUNTA($AA$8:AA72)-COUNTIF($AA$8:AA72,"//"),"")</f>
        <v/>
      </c>
      <c r="AA72" s="257" t="str">
        <f t="shared" ref="AA72:AA103" si="15">IF(OR(G72="",G72="施設番号"),"//",G72)</f>
        <v>//</v>
      </c>
      <c r="AB72" s="257" t="str">
        <f ca="1">_xlfn.IFNA(IF(COUNTIF('4.1(2)新規再エネ導入予定(FS調査、系統接続検討状況)'!$G:$G,OFFSET($AA$7,MATCH($Y72,$Z$8:$Z$167,0),0))=0,OFFSET($AA$7,MATCH($Y72,$Z$8:$Z$167,0),0),""),"")</f>
        <v/>
      </c>
      <c r="AC72" s="257" t="str">
        <f ca="1">_xlfn.IFNA(IF(COUNTIF('4.1(2)新規再エネ導入予定(合意形成)'!$G:$G,OFFSET($AA$7,MATCH($Y72,$Z$8:$Z$167,0),0))=0,OFFSET($AA$7,MATCH($Y72,$Z$8:$Z$167,0),0),""),"")</f>
        <v/>
      </c>
      <c r="AD72" s="257" t="str">
        <f ca="1">_xlfn.IFNA(OFFSET('4.1(2)新規再エネ導入予定(FS調査、系統接続検討状況)'!$W$1,MATCH(G72,'4.1(2)新規再エネ導入予定(FS調査、系統接続検討状況)'!G:G,0)-1,0),"//")</f>
        <v>//</v>
      </c>
      <c r="AE72" s="279" t="str">
        <f ca="1">_xlfn.IFNA(OFFSET('4.1(2)新規再エネ導入予定(合意形成)'!$AJ$1,MATCH(G72,'4.1(2)新規再エネ導入予定(合意形成)'!G:G,0)-1,0),"//")</f>
        <v>//</v>
      </c>
      <c r="AF72" s="257">
        <f t="shared" ca="1" si="12"/>
        <v>0</v>
      </c>
      <c r="AG72" s="131" t="str" cm="1">
        <f t="array" aca="1" ref="AG72" ca="1">IFERROR(_xlfn.IFS(COUNTIF($AB$8:$AC$167,G72)&gt;0,"",AF72&lt;=1,"D",AF72=2,"C",AF72=3,"B",AF72=4,"A"),"")</f>
        <v/>
      </c>
      <c r="AH72" s="257" t="str">
        <f ca="1">_xlfn.IFNA(OFFSET('4.1(2)新規再エネ導入予定(合意形成)'!$Z$1,MATCH($G72,'4.1(2)新規再エネ導入予定(合意形成)'!$G:$G,0)-1,0),"")</f>
        <v/>
      </c>
      <c r="AI72" s="131" t="str">
        <f t="shared" ref="AI72:AI103" si="16">IF(G72="","",AG72)</f>
        <v/>
      </c>
      <c r="AJ72" s="257" t="str">
        <f t="shared" ref="AJ72:AJ135" si="17">IF(D72="【その他発電】","",IF(H72&lt;&gt;"",1,""))</f>
        <v/>
      </c>
      <c r="AK72" s="127" t="str">
        <f>IF(V72&lt;&gt;1,"",SUM($V$8:V72))</f>
        <v/>
      </c>
      <c r="AL72" s="257">
        <f t="shared" si="5"/>
        <v>1</v>
      </c>
    </row>
    <row r="73" spans="2:38" s="11" customFormat="1" ht="20">
      <c r="B73" s="21"/>
      <c r="C73" s="21"/>
      <c r="D73" s="36"/>
      <c r="E73" s="828"/>
      <c r="F73" s="788"/>
      <c r="G73" s="789"/>
      <c r="H73" s="790"/>
      <c r="I73" s="790"/>
      <c r="J73" s="791"/>
      <c r="K73" s="791"/>
      <c r="L73" s="903"/>
      <c r="M73" s="904"/>
      <c r="N73" s="738"/>
      <c r="O73" s="795"/>
      <c r="P73" s="904"/>
      <c r="Q73" s="738"/>
      <c r="R73" s="795"/>
      <c r="S73" s="793" t="str">
        <f t="shared" si="11"/>
        <v/>
      </c>
      <c r="T73" s="786"/>
      <c r="U73" s="116"/>
      <c r="V73" s="794" t="str">
        <f t="shared" si="13"/>
        <v/>
      </c>
      <c r="X73" s="127" t="s">
        <v>417</v>
      </c>
      <c r="Y73" s="257">
        <f t="shared" si="14"/>
        <v>66</v>
      </c>
      <c r="Z73" s="257" t="str">
        <f>IF(AA73&lt;&gt;"//",COUNTA($AA$8:AA73)-COUNTIF($AA$8:AA73,"//"),"")</f>
        <v/>
      </c>
      <c r="AA73" s="257" t="str">
        <f t="shared" si="15"/>
        <v>//</v>
      </c>
      <c r="AB73" s="257" t="str">
        <f ca="1">_xlfn.IFNA(IF(COUNTIF('4.1(2)新規再エネ導入予定(FS調査、系統接続検討状況)'!$G:$G,OFFSET($AA$7,MATCH($Y73,$Z$8:$Z$167,0),0))=0,OFFSET($AA$7,MATCH($Y73,$Z$8:$Z$167,0),0),""),"")</f>
        <v/>
      </c>
      <c r="AC73" s="257" t="str">
        <f ca="1">_xlfn.IFNA(IF(COUNTIF('4.1(2)新規再エネ導入予定(合意形成)'!$G:$G,OFFSET($AA$7,MATCH($Y73,$Z$8:$Z$167,0),0))=0,OFFSET($AA$7,MATCH($Y73,$Z$8:$Z$167,0),0),""),"")</f>
        <v/>
      </c>
      <c r="AD73" s="257" t="str">
        <f ca="1">_xlfn.IFNA(OFFSET('4.1(2)新規再エネ導入予定(FS調査、系統接続検討状況)'!$W$1,MATCH(G73,'4.1(2)新規再エネ導入予定(FS調査、系統接続検討状況)'!G:G,0)-1,0),"//")</f>
        <v>//</v>
      </c>
      <c r="AE73" s="279" t="str">
        <f ca="1">_xlfn.IFNA(OFFSET('4.1(2)新規再エネ導入予定(合意形成)'!$AJ$1,MATCH(G73,'4.1(2)新規再エネ導入予定(合意形成)'!G:G,0)-1,0),"//")</f>
        <v>//</v>
      </c>
      <c r="AF73" s="257">
        <f t="shared" ca="1" si="12"/>
        <v>0</v>
      </c>
      <c r="AG73" s="131" t="str" cm="1">
        <f t="array" aca="1" ref="AG73" ca="1">IFERROR(_xlfn.IFS(COUNTIF($AB$8:$AC$167,G73)&gt;0,"",AF73&lt;=1,"D",AF73=2,"C",AF73=3,"B",AF73=4,"A"),"")</f>
        <v/>
      </c>
      <c r="AH73" s="257" t="str">
        <f ca="1">_xlfn.IFNA(OFFSET('4.1(2)新規再エネ導入予定(合意形成)'!$Z$1,MATCH($G73,'4.1(2)新規再エネ導入予定(合意形成)'!$G:$G,0)-1,0),"")</f>
        <v/>
      </c>
      <c r="AI73" s="131" t="str">
        <f t="shared" si="16"/>
        <v/>
      </c>
      <c r="AJ73" s="257" t="str">
        <f t="shared" si="17"/>
        <v/>
      </c>
      <c r="AK73" s="127" t="str">
        <f>IF(V73&lt;&gt;1,"",SUM($V$8:V73))</f>
        <v/>
      </c>
      <c r="AL73" s="257">
        <f t="shared" ref="AL73:AL136" si="18">IF(S73="設備導入の実現可能性",1,IF(AND(S73=AI73,V73=AJ73),1,0))</f>
        <v>1</v>
      </c>
    </row>
    <row r="74" spans="2:38" s="11" customFormat="1" ht="20">
      <c r="B74" s="21"/>
      <c r="C74" s="21"/>
      <c r="D74" s="36"/>
      <c r="E74" s="828"/>
      <c r="F74" s="788"/>
      <c r="G74" s="789"/>
      <c r="H74" s="790"/>
      <c r="I74" s="790"/>
      <c r="J74" s="791"/>
      <c r="K74" s="791"/>
      <c r="L74" s="731"/>
      <c r="M74" s="734"/>
      <c r="N74" s="738"/>
      <c r="O74" s="795"/>
      <c r="P74" s="904"/>
      <c r="Q74" s="738"/>
      <c r="R74" s="795"/>
      <c r="S74" s="793" t="str">
        <f t="shared" ref="S74:S91" si="19">IF(G74="","",AG74)</f>
        <v/>
      </c>
      <c r="T74" s="786"/>
      <c r="U74" s="116"/>
      <c r="V74" s="794" t="str">
        <f t="shared" si="13"/>
        <v/>
      </c>
      <c r="X74" s="127" t="s">
        <v>417</v>
      </c>
      <c r="Y74" s="257">
        <f t="shared" si="14"/>
        <v>67</v>
      </c>
      <c r="Z74" s="257" t="str">
        <f>IF(AA74&lt;&gt;"//",COUNTA($AA$8:AA74)-COUNTIF($AA$8:AA74,"//"),"")</f>
        <v/>
      </c>
      <c r="AA74" s="257" t="str">
        <f t="shared" si="15"/>
        <v>//</v>
      </c>
      <c r="AB74" s="257" t="str">
        <f ca="1">_xlfn.IFNA(IF(COUNTIF('4.1(2)新規再エネ導入予定(FS調査、系統接続検討状況)'!$G:$G,OFFSET($AA$7,MATCH($Y74,$Z$8:$Z$167,0),0))=0,OFFSET($AA$7,MATCH($Y74,$Z$8:$Z$167,0),0),""),"")</f>
        <v/>
      </c>
      <c r="AC74" s="257" t="str">
        <f ca="1">_xlfn.IFNA(IF(COUNTIF('4.1(2)新規再エネ導入予定(合意形成)'!$G:$G,OFFSET($AA$7,MATCH($Y74,$Z$8:$Z$167,0),0))=0,OFFSET($AA$7,MATCH($Y74,$Z$8:$Z$167,0),0),""),"")</f>
        <v/>
      </c>
      <c r="AD74" s="257" t="str">
        <f ca="1">_xlfn.IFNA(OFFSET('4.1(2)新規再エネ導入予定(FS調査、系統接続検討状況)'!$W$1,MATCH(G74,'4.1(2)新規再エネ導入予定(FS調査、系統接続検討状況)'!G:G,0)-1,0),"//")</f>
        <v>//</v>
      </c>
      <c r="AE74" s="279" t="str">
        <f ca="1">_xlfn.IFNA(OFFSET('4.1(2)新規再エネ導入予定(合意形成)'!$AJ$1,MATCH(G74,'4.1(2)新規再エネ導入予定(合意形成)'!G:G,0)-1,0),"//")</f>
        <v>//</v>
      </c>
      <c r="AF74" s="257">
        <f t="shared" ca="1" si="12"/>
        <v>0</v>
      </c>
      <c r="AG74" s="131" t="str" cm="1">
        <f t="array" aca="1" ref="AG74" ca="1">IFERROR(_xlfn.IFS(COUNTIF($AB$8:$AC$167,G74)&gt;0,"",AF74&lt;=1,"D",AF74=2,"C",AF74=3,"B",AF74=4,"A"),"")</f>
        <v/>
      </c>
      <c r="AH74" s="257" t="str">
        <f ca="1">_xlfn.IFNA(OFFSET('4.1(2)新規再エネ導入予定(合意形成)'!$Z$1,MATCH($G74,'4.1(2)新規再エネ導入予定(合意形成)'!$G:$G,0)-1,0),"")</f>
        <v/>
      </c>
      <c r="AI74" s="131" t="str">
        <f t="shared" si="16"/>
        <v/>
      </c>
      <c r="AJ74" s="257" t="str">
        <f t="shared" si="17"/>
        <v/>
      </c>
      <c r="AK74" s="127" t="str">
        <f>IF(V74&lt;&gt;1,"",SUM($V$8:V74))</f>
        <v/>
      </c>
      <c r="AL74" s="257">
        <f t="shared" si="18"/>
        <v>1</v>
      </c>
    </row>
    <row r="75" spans="2:38" s="11" customFormat="1" ht="20">
      <c r="B75" s="21"/>
      <c r="C75" s="21"/>
      <c r="D75" s="36"/>
      <c r="E75" s="828"/>
      <c r="F75" s="788"/>
      <c r="G75" s="789"/>
      <c r="H75" s="790"/>
      <c r="I75" s="790"/>
      <c r="J75" s="791"/>
      <c r="K75" s="791"/>
      <c r="L75" s="731"/>
      <c r="M75" s="734"/>
      <c r="N75" s="738"/>
      <c r="O75" s="795"/>
      <c r="P75" s="904"/>
      <c r="Q75" s="738"/>
      <c r="R75" s="795"/>
      <c r="S75" s="793" t="str">
        <f t="shared" si="19"/>
        <v/>
      </c>
      <c r="T75" s="786"/>
      <c r="U75" s="116"/>
      <c r="V75" s="794" t="str">
        <f t="shared" si="13"/>
        <v/>
      </c>
      <c r="X75" s="127" t="s">
        <v>417</v>
      </c>
      <c r="Y75" s="257">
        <f t="shared" si="14"/>
        <v>68</v>
      </c>
      <c r="Z75" s="257" t="str">
        <f>IF(AA75&lt;&gt;"//",COUNTA($AA$8:AA75)-COUNTIF($AA$8:AA75,"//"),"")</f>
        <v/>
      </c>
      <c r="AA75" s="257" t="str">
        <f t="shared" si="15"/>
        <v>//</v>
      </c>
      <c r="AB75" s="257" t="str">
        <f ca="1">_xlfn.IFNA(IF(COUNTIF('4.1(2)新規再エネ導入予定(FS調査、系統接続検討状況)'!$G:$G,OFFSET($AA$7,MATCH($Y75,$Z$8:$Z$167,0),0))=0,OFFSET($AA$7,MATCH($Y75,$Z$8:$Z$167,0),0),""),"")</f>
        <v/>
      </c>
      <c r="AC75" s="257" t="str">
        <f ca="1">_xlfn.IFNA(IF(COUNTIF('4.1(2)新規再エネ導入予定(合意形成)'!$G:$G,OFFSET($AA$7,MATCH($Y75,$Z$8:$Z$167,0),0))=0,OFFSET($AA$7,MATCH($Y75,$Z$8:$Z$167,0),0),""),"")</f>
        <v/>
      </c>
      <c r="AD75" s="257" t="str">
        <f ca="1">_xlfn.IFNA(OFFSET('4.1(2)新規再エネ導入予定(FS調査、系統接続検討状況)'!$W$1,MATCH(G75,'4.1(2)新規再エネ導入予定(FS調査、系統接続検討状況)'!G:G,0)-1,0),"//")</f>
        <v>//</v>
      </c>
      <c r="AE75" s="279" t="str">
        <f ca="1">_xlfn.IFNA(OFFSET('4.1(2)新規再エネ導入予定(合意形成)'!$AJ$1,MATCH(G75,'4.1(2)新規再エネ導入予定(合意形成)'!G:G,0)-1,0),"//")</f>
        <v>//</v>
      </c>
      <c r="AF75" s="257">
        <f t="shared" ca="1" si="12"/>
        <v>0</v>
      </c>
      <c r="AG75" s="131" t="str" cm="1">
        <f t="array" aca="1" ref="AG75" ca="1">IFERROR(_xlfn.IFS(COUNTIF($AB$8:$AC$167,G75)&gt;0,"",AF75&lt;=1,"D",AF75=2,"C",AF75=3,"B",AF75=4,"A"),"")</f>
        <v/>
      </c>
      <c r="AH75" s="257" t="str">
        <f ca="1">_xlfn.IFNA(OFFSET('4.1(2)新規再エネ導入予定(合意形成)'!$Z$1,MATCH($G75,'4.1(2)新規再エネ導入予定(合意形成)'!$G:$G,0)-1,0),"")</f>
        <v/>
      </c>
      <c r="AI75" s="131" t="str">
        <f t="shared" si="16"/>
        <v/>
      </c>
      <c r="AJ75" s="257" t="str">
        <f t="shared" si="17"/>
        <v/>
      </c>
      <c r="AK75" s="127" t="str">
        <f>IF(V75&lt;&gt;1,"",SUM($V$8:V75))</f>
        <v/>
      </c>
      <c r="AL75" s="257">
        <f t="shared" si="18"/>
        <v>1</v>
      </c>
    </row>
    <row r="76" spans="2:38" s="11" customFormat="1" ht="20">
      <c r="B76" s="21"/>
      <c r="C76" s="21"/>
      <c r="D76" s="36"/>
      <c r="E76" s="828"/>
      <c r="F76" s="788"/>
      <c r="G76" s="789"/>
      <c r="H76" s="790"/>
      <c r="I76" s="790"/>
      <c r="J76" s="791"/>
      <c r="K76" s="791"/>
      <c r="L76" s="906"/>
      <c r="M76" s="904"/>
      <c r="N76" s="738"/>
      <c r="O76" s="795"/>
      <c r="P76" s="904"/>
      <c r="Q76" s="738"/>
      <c r="R76" s="795"/>
      <c r="S76" s="793" t="str">
        <f t="shared" si="19"/>
        <v/>
      </c>
      <c r="T76" s="786"/>
      <c r="U76" s="116"/>
      <c r="V76" s="794" t="str">
        <f t="shared" si="13"/>
        <v/>
      </c>
      <c r="X76" s="127" t="s">
        <v>417</v>
      </c>
      <c r="Y76" s="257">
        <f t="shared" si="14"/>
        <v>69</v>
      </c>
      <c r="Z76" s="257" t="str">
        <f>IF(AA76&lt;&gt;"//",COUNTA($AA$8:AA76)-COUNTIF($AA$8:AA76,"//"),"")</f>
        <v/>
      </c>
      <c r="AA76" s="257" t="str">
        <f t="shared" si="15"/>
        <v>//</v>
      </c>
      <c r="AB76" s="257" t="str">
        <f ca="1">_xlfn.IFNA(IF(COUNTIF('4.1(2)新規再エネ導入予定(FS調査、系統接続検討状況)'!$G:$G,OFFSET($AA$7,MATCH($Y76,$Z$8:$Z$167,0),0))=0,OFFSET($AA$7,MATCH($Y76,$Z$8:$Z$167,0),0),""),"")</f>
        <v/>
      </c>
      <c r="AC76" s="257" t="str">
        <f ca="1">_xlfn.IFNA(IF(COUNTIF('4.1(2)新規再エネ導入予定(合意形成)'!$G:$G,OFFSET($AA$7,MATCH($Y76,$Z$8:$Z$167,0),0))=0,OFFSET($AA$7,MATCH($Y76,$Z$8:$Z$167,0),0),""),"")</f>
        <v/>
      </c>
      <c r="AD76" s="257" t="str">
        <f ca="1">_xlfn.IFNA(OFFSET('4.1(2)新規再エネ導入予定(FS調査、系統接続検討状況)'!$W$1,MATCH(G76,'4.1(2)新規再エネ導入予定(FS調査、系統接続検討状況)'!G:G,0)-1,0),"//")</f>
        <v>//</v>
      </c>
      <c r="AE76" s="279" t="str">
        <f ca="1">_xlfn.IFNA(OFFSET('4.1(2)新規再エネ導入予定(合意形成)'!$AJ$1,MATCH(G76,'4.1(2)新規再エネ導入予定(合意形成)'!G:G,0)-1,0),"//")</f>
        <v>//</v>
      </c>
      <c r="AF76" s="257">
        <f t="shared" ca="1" si="12"/>
        <v>0</v>
      </c>
      <c r="AG76" s="131" t="str" cm="1">
        <f t="array" aca="1" ref="AG76" ca="1">IFERROR(_xlfn.IFS(COUNTIF($AB$8:$AC$167,G76)&gt;0,"",AF76&lt;=1,"D",AF76=2,"C",AF76=3,"B",AF76=4,"A"),"")</f>
        <v/>
      </c>
      <c r="AH76" s="257" t="str">
        <f ca="1">_xlfn.IFNA(OFFSET('4.1(2)新規再エネ導入予定(合意形成)'!$Z$1,MATCH($G76,'4.1(2)新規再エネ導入予定(合意形成)'!$G:$G,0)-1,0),"")</f>
        <v/>
      </c>
      <c r="AI76" s="131" t="str">
        <f t="shared" si="16"/>
        <v/>
      </c>
      <c r="AJ76" s="257" t="str">
        <f t="shared" si="17"/>
        <v/>
      </c>
      <c r="AK76" s="127" t="str">
        <f>IF(V76&lt;&gt;1,"",SUM($V$8:V76))</f>
        <v/>
      </c>
      <c r="AL76" s="257">
        <f t="shared" si="18"/>
        <v>1</v>
      </c>
    </row>
    <row r="77" spans="2:38" s="11" customFormat="1" ht="20">
      <c r="B77" s="21"/>
      <c r="C77" s="21"/>
      <c r="D77" s="36"/>
      <c r="E77" s="828"/>
      <c r="F77" s="788"/>
      <c r="G77" s="789"/>
      <c r="H77" s="790"/>
      <c r="I77" s="790"/>
      <c r="J77" s="791"/>
      <c r="K77" s="791"/>
      <c r="L77" s="731"/>
      <c r="M77" s="734"/>
      <c r="N77" s="738"/>
      <c r="O77" s="795"/>
      <c r="P77" s="904"/>
      <c r="Q77" s="738"/>
      <c r="R77" s="795"/>
      <c r="S77" s="793" t="str">
        <f t="shared" si="19"/>
        <v/>
      </c>
      <c r="T77" s="786"/>
      <c r="U77" s="116"/>
      <c r="V77" s="794" t="str">
        <f t="shared" si="13"/>
        <v/>
      </c>
      <c r="X77" s="127" t="s">
        <v>417</v>
      </c>
      <c r="Y77" s="257">
        <f t="shared" si="14"/>
        <v>70</v>
      </c>
      <c r="Z77" s="257" t="str">
        <f>IF(AA77&lt;&gt;"//",COUNTA($AA$8:AA77)-COUNTIF($AA$8:AA77,"//"),"")</f>
        <v/>
      </c>
      <c r="AA77" s="257" t="str">
        <f t="shared" si="15"/>
        <v>//</v>
      </c>
      <c r="AB77" s="257" t="str">
        <f ca="1">_xlfn.IFNA(IF(COUNTIF('4.1(2)新規再エネ導入予定(FS調査、系統接続検討状況)'!$G:$G,OFFSET($AA$7,MATCH($Y77,$Z$8:$Z$167,0),0))=0,OFFSET($AA$7,MATCH($Y77,$Z$8:$Z$167,0),0),""),"")</f>
        <v/>
      </c>
      <c r="AC77" s="257" t="str">
        <f ca="1">_xlfn.IFNA(IF(COUNTIF('4.1(2)新規再エネ導入予定(合意形成)'!$G:$G,OFFSET($AA$7,MATCH($Y77,$Z$8:$Z$167,0),0))=0,OFFSET($AA$7,MATCH($Y77,$Z$8:$Z$167,0),0),""),"")</f>
        <v/>
      </c>
      <c r="AD77" s="257" t="str">
        <f ca="1">_xlfn.IFNA(OFFSET('4.1(2)新規再エネ導入予定(FS調査、系統接続検討状況)'!$W$1,MATCH(G77,'4.1(2)新規再エネ導入予定(FS調査、系統接続検討状況)'!G:G,0)-1,0),"//")</f>
        <v>//</v>
      </c>
      <c r="AE77" s="279" t="str">
        <f ca="1">_xlfn.IFNA(OFFSET('4.1(2)新規再エネ導入予定(合意形成)'!$AJ$1,MATCH(G77,'4.1(2)新規再エネ導入予定(合意形成)'!G:G,0)-1,0),"//")</f>
        <v>//</v>
      </c>
      <c r="AF77" s="257">
        <f t="shared" ca="1" si="12"/>
        <v>0</v>
      </c>
      <c r="AG77" s="131" t="str" cm="1">
        <f t="array" aca="1" ref="AG77" ca="1">IFERROR(_xlfn.IFS(COUNTIF($AB$8:$AC$167,G77)&gt;0,"",AF77&lt;=1,"D",AF77=2,"C",AF77=3,"B",AF77=4,"A"),"")</f>
        <v/>
      </c>
      <c r="AH77" s="257" t="str">
        <f ca="1">_xlfn.IFNA(OFFSET('4.1(2)新規再エネ導入予定(合意形成)'!$Z$1,MATCH($G77,'4.1(2)新規再エネ導入予定(合意形成)'!$G:$G,0)-1,0),"")</f>
        <v/>
      </c>
      <c r="AI77" s="131" t="str">
        <f t="shared" si="16"/>
        <v/>
      </c>
      <c r="AJ77" s="257" t="str">
        <f t="shared" si="17"/>
        <v/>
      </c>
      <c r="AK77" s="127" t="str">
        <f>IF(V77&lt;&gt;1,"",SUM($V$8:V77))</f>
        <v/>
      </c>
      <c r="AL77" s="257">
        <f t="shared" si="18"/>
        <v>1</v>
      </c>
    </row>
    <row r="78" spans="2:38" ht="20">
      <c r="D78" s="190"/>
      <c r="E78" s="829" t="s">
        <v>24</v>
      </c>
      <c r="F78" s="796"/>
      <c r="G78" s="776"/>
      <c r="H78" s="777"/>
      <c r="I78" s="777"/>
      <c r="J78" s="777"/>
      <c r="K78" s="777"/>
      <c r="L78" s="730"/>
      <c r="M78" s="733"/>
      <c r="N78" s="899" t="str">
        <f>IF(AND(COUNTBLANK(M78:M85)&lt;=3,COUNTA(M78:M85)=0),0,IF(SUM(M78:M85)=0,"",SUM(M78:M85)))</f>
        <v/>
      </c>
      <c r="O78" s="905"/>
      <c r="P78" s="736"/>
      <c r="Q78" s="899" t="str">
        <f>IF(AND(COUNTBLANK(P78:P85)&lt;=3,COUNTA(P78:P85)=0),0,IF(SUM(P78:P85)=0,"",SUM(P78:P85)))</f>
        <v/>
      </c>
      <c r="R78" s="778"/>
      <c r="S78" s="779" t="str">
        <f t="shared" si="19"/>
        <v/>
      </c>
      <c r="T78" s="771"/>
      <c r="V78" s="797"/>
      <c r="X78" s="224" t="s">
        <v>417</v>
      </c>
      <c r="Y78" s="177">
        <f t="shared" si="14"/>
        <v>71</v>
      </c>
      <c r="Z78" s="177" t="str">
        <f>IF(AA78&lt;&gt;"//",COUNTA($AA$8:AA78)-COUNTIF($AA$8:AA78,"//"),"")</f>
        <v/>
      </c>
      <c r="AA78" s="177" t="str">
        <f t="shared" si="15"/>
        <v>//</v>
      </c>
      <c r="AB78" s="177" t="str">
        <f ca="1">_xlfn.IFNA(IF(COUNTIF('4.1(2)新規再エネ導入予定(FS調査、系統接続検討状況)'!$G:$G,OFFSET($AA$7,MATCH($Y78,$Z$8:$Z$167,0),0))=0,OFFSET($AA$7,MATCH($Y78,$Z$8:$Z$167,0),0),""),"")</f>
        <v/>
      </c>
      <c r="AC78" s="177" t="str">
        <f ca="1">_xlfn.IFNA(IF(COUNTIF('4.1(2)新規再エネ導入予定(合意形成)'!$G:$G,OFFSET($AA$7,MATCH($Y78,$Z$8:$Z$167,0),0))=0,OFFSET($AA$7,MATCH($Y78,$Z$8:$Z$167,0),0),""),"")</f>
        <v/>
      </c>
      <c r="AD78" s="177" t="str">
        <f ca="1">_xlfn.IFNA(OFFSET('4.1(2)新規再エネ導入予定(FS調査、系統接続検討状況)'!$W$1,MATCH(G78,'4.1(2)新規再エネ導入予定(FS調査、系統接続検討状況)'!G:G,0)-1,0),"//")</f>
        <v>//</v>
      </c>
      <c r="AE78" s="264" t="str">
        <f ca="1">_xlfn.IFNA(OFFSET('4.1(2)新規再エネ導入予定(合意形成)'!$AJ$1,MATCH(G78,'4.1(2)新規再エネ導入予定(合意形成)'!G:G,0)-1,0),"//")</f>
        <v>//</v>
      </c>
      <c r="AF78" s="177">
        <f t="shared" ca="1" si="12"/>
        <v>0</v>
      </c>
      <c r="AG78" s="217" t="str" cm="1">
        <f t="array" aca="1" ref="AG78" ca="1">IFERROR(_xlfn.IFS(COUNTIF($AB$8:$AC$167,G78)&gt;0,"",AF78&lt;=1,"D",AF78=2,"C",AF78=3,"B",AF78=4,"A"),"")</f>
        <v/>
      </c>
      <c r="AH78" s="177" t="str">
        <f ca="1">_xlfn.IFNA(OFFSET('4.1(2)新規再エネ導入予定(合意形成)'!$Z$1,MATCH($G78,'4.1(2)新規再エネ導入予定(合意形成)'!$G:$G,0)-1,0),"")</f>
        <v/>
      </c>
      <c r="AI78" s="217" t="str">
        <f t="shared" si="16"/>
        <v/>
      </c>
      <c r="AJ78" s="177" t="str">
        <f t="shared" si="17"/>
        <v/>
      </c>
      <c r="AK78" s="224" t="str">
        <f>IF(V78&lt;&gt;1,"",SUM($V$8:V78))</f>
        <v/>
      </c>
      <c r="AL78" s="177">
        <f t="shared" si="18"/>
        <v>1</v>
      </c>
    </row>
    <row r="79" spans="2:38" s="11" customFormat="1" ht="20" hidden="1">
      <c r="B79" s="21"/>
      <c r="C79" s="21"/>
      <c r="D79" s="36"/>
      <c r="E79" s="828"/>
      <c r="F79" s="781"/>
      <c r="G79" s="782"/>
      <c r="H79" s="783"/>
      <c r="I79" s="783"/>
      <c r="J79" s="784"/>
      <c r="K79" s="784"/>
      <c r="L79" s="901"/>
      <c r="M79" s="902"/>
      <c r="N79" s="737"/>
      <c r="O79" s="798"/>
      <c r="P79" s="902"/>
      <c r="Q79" s="737"/>
      <c r="R79" s="798"/>
      <c r="S79" s="785" t="str">
        <f t="shared" si="19"/>
        <v/>
      </c>
      <c r="T79" s="786"/>
      <c r="U79" s="116"/>
      <c r="V79" s="787"/>
      <c r="X79" s="127" t="s">
        <v>417</v>
      </c>
      <c r="Y79" s="257">
        <f t="shared" si="14"/>
        <v>72</v>
      </c>
      <c r="Z79" s="257" t="str">
        <f>IF(AA79&lt;&gt;"//",COUNTA($AA$8:AA79)-COUNTIF($AA$8:AA79,"//"),"")</f>
        <v/>
      </c>
      <c r="AA79" s="257" t="str">
        <f t="shared" si="15"/>
        <v>//</v>
      </c>
      <c r="AB79" s="257" t="str">
        <f ca="1">_xlfn.IFNA(IF(COUNTIF('4.1(2)新規再エネ導入予定(FS調査、系統接続検討状況)'!$G:$G,OFFSET($AA$7,MATCH($Y79,$Z$8:$Z$167,0),0))=0,OFFSET($AA$7,MATCH($Y79,$Z$8:$Z$167,0),0),""),"")</f>
        <v/>
      </c>
      <c r="AC79" s="257" t="str">
        <f ca="1">_xlfn.IFNA(IF(COUNTIF('4.1(2)新規再エネ導入予定(合意形成)'!$G:$G,OFFSET($AA$7,MATCH($Y79,$Z$8:$Z$167,0),0))=0,OFFSET($AA$7,MATCH($Y79,$Z$8:$Z$167,0),0),""),"")</f>
        <v/>
      </c>
      <c r="AD79" s="257" t="str">
        <f ca="1">_xlfn.IFNA(OFFSET('4.1(2)新規再エネ導入予定(FS調査、系統接続検討状況)'!$W$1,MATCH(G79,'4.1(2)新規再エネ導入予定(FS調査、系統接続検討状況)'!G:G,0)-1,0),"//")</f>
        <v>//</v>
      </c>
      <c r="AE79" s="279" t="str">
        <f ca="1">_xlfn.IFNA(OFFSET('4.1(2)新規再エネ導入予定(合意形成)'!$AJ$1,MATCH(G79,'4.1(2)新規再エネ導入予定(合意形成)'!G:G,0)-1,0),"//")</f>
        <v>//</v>
      </c>
      <c r="AF79" s="257">
        <f t="shared" ca="1" si="12"/>
        <v>0</v>
      </c>
      <c r="AG79" s="131" t="str" cm="1">
        <f t="array" aca="1" ref="AG79" ca="1">IFERROR(_xlfn.IFS(COUNTIF($AB$8:$AC$167,G79)&gt;0,"",AF79&lt;=1,"D",AF79=2,"C",AF79=3,"B",AF79=4,"A"),"")</f>
        <v/>
      </c>
      <c r="AH79" s="257" t="str">
        <f ca="1">_xlfn.IFNA(OFFSET('4.1(2)新規再エネ導入予定(合意形成)'!$Z$1,MATCH($G79,'4.1(2)新規再エネ導入予定(合意形成)'!$G:$G,0)-1,0),"")</f>
        <v/>
      </c>
      <c r="AI79" s="131" t="str">
        <f t="shared" si="16"/>
        <v/>
      </c>
      <c r="AJ79" s="257" t="str">
        <f t="shared" si="17"/>
        <v/>
      </c>
      <c r="AK79" s="127" t="str">
        <f>IF(V79&lt;&gt;1,"",SUM($V$8:V79))</f>
        <v/>
      </c>
      <c r="AL79" s="257">
        <f t="shared" si="18"/>
        <v>1</v>
      </c>
    </row>
    <row r="80" spans="2:38" s="11" customFormat="1" ht="20">
      <c r="B80" s="21"/>
      <c r="C80" s="21"/>
      <c r="D80" s="36"/>
      <c r="E80" s="828"/>
      <c r="F80" s="788"/>
      <c r="G80" s="789"/>
      <c r="H80" s="790"/>
      <c r="I80" s="790"/>
      <c r="J80" s="791"/>
      <c r="K80" s="791"/>
      <c r="L80" s="903"/>
      <c r="M80" s="904"/>
      <c r="N80" s="738"/>
      <c r="O80" s="795"/>
      <c r="P80" s="904"/>
      <c r="Q80" s="738"/>
      <c r="R80" s="795"/>
      <c r="S80" s="793" t="str">
        <f t="shared" si="19"/>
        <v/>
      </c>
      <c r="T80" s="786"/>
      <c r="U80" s="116"/>
      <c r="V80" s="794" t="str">
        <f t="shared" si="13"/>
        <v/>
      </c>
      <c r="X80" s="127" t="s">
        <v>417</v>
      </c>
      <c r="Y80" s="257">
        <f t="shared" si="14"/>
        <v>73</v>
      </c>
      <c r="Z80" s="257" t="str">
        <f>IF(AA80&lt;&gt;"//",COUNTA($AA$8:AA80)-COUNTIF($AA$8:AA80,"//"),"")</f>
        <v/>
      </c>
      <c r="AA80" s="257" t="str">
        <f t="shared" si="15"/>
        <v>//</v>
      </c>
      <c r="AB80" s="257" t="str">
        <f ca="1">_xlfn.IFNA(IF(COUNTIF('4.1(2)新規再エネ導入予定(FS調査、系統接続検討状況)'!$G:$G,OFFSET($AA$7,MATCH($Y80,$Z$8:$Z$167,0),0))=0,OFFSET($AA$7,MATCH($Y80,$Z$8:$Z$167,0),0),""),"")</f>
        <v/>
      </c>
      <c r="AC80" s="257" t="str">
        <f ca="1">_xlfn.IFNA(IF(COUNTIF('4.1(2)新規再エネ導入予定(合意形成)'!$G:$G,OFFSET($AA$7,MATCH($Y80,$Z$8:$Z$167,0),0))=0,OFFSET($AA$7,MATCH($Y80,$Z$8:$Z$167,0),0),""),"")</f>
        <v/>
      </c>
      <c r="AD80" s="257" t="str">
        <f ca="1">_xlfn.IFNA(OFFSET('4.1(2)新規再エネ導入予定(FS調査、系統接続検討状況)'!$W$1,MATCH(G80,'4.1(2)新規再エネ導入予定(FS調査、系統接続検討状況)'!G:G,0)-1,0),"//")</f>
        <v>//</v>
      </c>
      <c r="AE80" s="279" t="str">
        <f ca="1">_xlfn.IFNA(OFFSET('4.1(2)新規再エネ導入予定(合意形成)'!$AJ$1,MATCH(G80,'4.1(2)新規再エネ導入予定(合意形成)'!G:G,0)-1,0),"//")</f>
        <v>//</v>
      </c>
      <c r="AF80" s="257">
        <f t="shared" ca="1" si="12"/>
        <v>0</v>
      </c>
      <c r="AG80" s="131" t="str" cm="1">
        <f t="array" aca="1" ref="AG80" ca="1">IFERROR(_xlfn.IFS(COUNTIF($AB$8:$AC$167,G80)&gt;0,"",AF80&lt;=1,"D",AF80=2,"C",AF80=3,"B",AF80=4,"A"),"")</f>
        <v/>
      </c>
      <c r="AH80" s="257" t="str">
        <f ca="1">_xlfn.IFNA(OFFSET('4.1(2)新規再エネ導入予定(合意形成)'!$Z$1,MATCH($G80,'4.1(2)新規再エネ導入予定(合意形成)'!$G:$G,0)-1,0),"")</f>
        <v/>
      </c>
      <c r="AI80" s="131" t="str">
        <f t="shared" si="16"/>
        <v/>
      </c>
      <c r="AJ80" s="257" t="str">
        <f t="shared" si="17"/>
        <v/>
      </c>
      <c r="AK80" s="127" t="str">
        <f>IF(V80&lt;&gt;1,"",SUM($V$8:V80))</f>
        <v/>
      </c>
      <c r="AL80" s="257">
        <f t="shared" si="18"/>
        <v>1</v>
      </c>
    </row>
    <row r="81" spans="2:38" s="11" customFormat="1" ht="20">
      <c r="B81" s="21"/>
      <c r="C81" s="21"/>
      <c r="D81" s="36"/>
      <c r="E81" s="828"/>
      <c r="F81" s="788"/>
      <c r="G81" s="789"/>
      <c r="H81" s="790"/>
      <c r="I81" s="790"/>
      <c r="J81" s="791"/>
      <c r="K81" s="791"/>
      <c r="L81" s="731"/>
      <c r="M81" s="734"/>
      <c r="N81" s="738"/>
      <c r="O81" s="795"/>
      <c r="P81" s="904"/>
      <c r="Q81" s="738"/>
      <c r="R81" s="795"/>
      <c r="S81" s="793" t="str">
        <f t="shared" si="19"/>
        <v/>
      </c>
      <c r="T81" s="786"/>
      <c r="U81" s="116"/>
      <c r="V81" s="794" t="str">
        <f t="shared" si="13"/>
        <v/>
      </c>
      <c r="X81" s="127" t="s">
        <v>417</v>
      </c>
      <c r="Y81" s="257">
        <f t="shared" si="14"/>
        <v>74</v>
      </c>
      <c r="Z81" s="257" t="str">
        <f>IF(AA81&lt;&gt;"//",COUNTA($AA$8:AA81)-COUNTIF($AA$8:AA81,"//"),"")</f>
        <v/>
      </c>
      <c r="AA81" s="257" t="str">
        <f t="shared" si="15"/>
        <v>//</v>
      </c>
      <c r="AB81" s="257" t="str">
        <f ca="1">_xlfn.IFNA(IF(COUNTIF('4.1(2)新規再エネ導入予定(FS調査、系統接続検討状況)'!$G:$G,OFFSET($AA$7,MATCH($Y81,$Z$8:$Z$167,0),0))=0,OFFSET($AA$7,MATCH($Y81,$Z$8:$Z$167,0),0),""),"")</f>
        <v/>
      </c>
      <c r="AC81" s="257" t="str">
        <f ca="1">_xlfn.IFNA(IF(COUNTIF('4.1(2)新規再エネ導入予定(合意形成)'!$G:$G,OFFSET($AA$7,MATCH($Y81,$Z$8:$Z$167,0),0))=0,OFFSET($AA$7,MATCH($Y81,$Z$8:$Z$167,0),0),""),"")</f>
        <v/>
      </c>
      <c r="AD81" s="257" t="str">
        <f ca="1">_xlfn.IFNA(OFFSET('4.1(2)新規再エネ導入予定(FS調査、系統接続検討状況)'!$W$1,MATCH(G81,'4.1(2)新規再エネ導入予定(FS調査、系統接続検討状況)'!G:G,0)-1,0),"//")</f>
        <v>//</v>
      </c>
      <c r="AE81" s="279" t="str">
        <f ca="1">_xlfn.IFNA(OFFSET('4.1(2)新規再エネ導入予定(合意形成)'!$AJ$1,MATCH(G81,'4.1(2)新規再エネ導入予定(合意形成)'!G:G,0)-1,0),"//")</f>
        <v>//</v>
      </c>
      <c r="AF81" s="257">
        <f t="shared" ca="1" si="12"/>
        <v>0</v>
      </c>
      <c r="AG81" s="131" t="str" cm="1">
        <f t="array" aca="1" ref="AG81" ca="1">IFERROR(_xlfn.IFS(COUNTIF($AB$8:$AC$167,G81)&gt;0,"",AF81&lt;=1,"D",AF81=2,"C",AF81=3,"B",AF81=4,"A"),"")</f>
        <v/>
      </c>
      <c r="AH81" s="257" t="str">
        <f ca="1">_xlfn.IFNA(OFFSET('4.1(2)新規再エネ導入予定(合意形成)'!$Z$1,MATCH($G81,'4.1(2)新規再エネ導入予定(合意形成)'!$G:$G,0)-1,0),"")</f>
        <v/>
      </c>
      <c r="AI81" s="131" t="str">
        <f t="shared" si="16"/>
        <v/>
      </c>
      <c r="AJ81" s="257" t="str">
        <f t="shared" si="17"/>
        <v/>
      </c>
      <c r="AK81" s="127" t="str">
        <f>IF(V81&lt;&gt;1,"",SUM($V$8:V81))</f>
        <v/>
      </c>
      <c r="AL81" s="257">
        <f t="shared" si="18"/>
        <v>1</v>
      </c>
    </row>
    <row r="82" spans="2:38" s="11" customFormat="1" ht="20">
      <c r="B82" s="21"/>
      <c r="C82" s="21"/>
      <c r="D82" s="36"/>
      <c r="E82" s="828"/>
      <c r="F82" s="788"/>
      <c r="G82" s="789"/>
      <c r="H82" s="790"/>
      <c r="I82" s="790"/>
      <c r="J82" s="791"/>
      <c r="K82" s="791"/>
      <c r="L82" s="731"/>
      <c r="M82" s="734"/>
      <c r="N82" s="738"/>
      <c r="O82" s="795"/>
      <c r="P82" s="904"/>
      <c r="Q82" s="738"/>
      <c r="R82" s="795"/>
      <c r="S82" s="793" t="str">
        <f t="shared" si="19"/>
        <v/>
      </c>
      <c r="T82" s="786"/>
      <c r="U82" s="116"/>
      <c r="V82" s="794" t="str">
        <f t="shared" si="13"/>
        <v/>
      </c>
      <c r="X82" s="127" t="s">
        <v>417</v>
      </c>
      <c r="Y82" s="257">
        <f t="shared" si="14"/>
        <v>75</v>
      </c>
      <c r="Z82" s="257" t="str">
        <f>IF(AA82&lt;&gt;"//",COUNTA($AA$8:AA82)-COUNTIF($AA$8:AA82,"//"),"")</f>
        <v/>
      </c>
      <c r="AA82" s="257" t="str">
        <f t="shared" si="15"/>
        <v>//</v>
      </c>
      <c r="AB82" s="257" t="str">
        <f ca="1">_xlfn.IFNA(IF(COUNTIF('4.1(2)新規再エネ導入予定(FS調査、系統接続検討状況)'!$G:$G,OFFSET($AA$7,MATCH($Y82,$Z$8:$Z$167,0),0))=0,OFFSET($AA$7,MATCH($Y82,$Z$8:$Z$167,0),0),""),"")</f>
        <v/>
      </c>
      <c r="AC82" s="257" t="str">
        <f ca="1">_xlfn.IFNA(IF(COUNTIF('4.1(2)新規再エネ導入予定(合意形成)'!$G:$G,OFFSET($AA$7,MATCH($Y82,$Z$8:$Z$167,0),0))=0,OFFSET($AA$7,MATCH($Y82,$Z$8:$Z$167,0),0),""),"")</f>
        <v/>
      </c>
      <c r="AD82" s="257" t="str">
        <f ca="1">_xlfn.IFNA(OFFSET('4.1(2)新規再エネ導入予定(FS調査、系統接続検討状況)'!$W$1,MATCH(G82,'4.1(2)新規再エネ導入予定(FS調査、系統接続検討状況)'!G:G,0)-1,0),"//")</f>
        <v>//</v>
      </c>
      <c r="AE82" s="279" t="str">
        <f ca="1">_xlfn.IFNA(OFFSET('4.1(2)新規再エネ導入予定(合意形成)'!$AJ$1,MATCH(G82,'4.1(2)新規再エネ導入予定(合意形成)'!G:G,0)-1,0),"//")</f>
        <v>//</v>
      </c>
      <c r="AF82" s="257">
        <f t="shared" ca="1" si="12"/>
        <v>0</v>
      </c>
      <c r="AG82" s="131" t="str" cm="1">
        <f t="array" aca="1" ref="AG82" ca="1">IFERROR(_xlfn.IFS(COUNTIF($AB$8:$AC$167,G82)&gt;0,"",AF82&lt;=1,"D",AF82=2,"C",AF82=3,"B",AF82=4,"A"),"")</f>
        <v/>
      </c>
      <c r="AH82" s="257" t="str">
        <f ca="1">_xlfn.IFNA(OFFSET('4.1(2)新規再エネ導入予定(合意形成)'!$Z$1,MATCH($G82,'4.1(2)新規再エネ導入予定(合意形成)'!$G:$G,0)-1,0),"")</f>
        <v/>
      </c>
      <c r="AI82" s="131" t="str">
        <f t="shared" si="16"/>
        <v/>
      </c>
      <c r="AJ82" s="257" t="str">
        <f t="shared" si="17"/>
        <v/>
      </c>
      <c r="AK82" s="127" t="str">
        <f>IF(V82&lt;&gt;1,"",SUM($V$8:V82))</f>
        <v/>
      </c>
      <c r="AL82" s="257">
        <f t="shared" si="18"/>
        <v>1</v>
      </c>
    </row>
    <row r="83" spans="2:38" s="11" customFormat="1" ht="20">
      <c r="B83" s="21"/>
      <c r="C83" s="21"/>
      <c r="D83" s="36"/>
      <c r="E83" s="828"/>
      <c r="F83" s="788"/>
      <c r="G83" s="789"/>
      <c r="H83" s="790"/>
      <c r="I83" s="790"/>
      <c r="J83" s="791"/>
      <c r="K83" s="791"/>
      <c r="L83" s="906"/>
      <c r="M83" s="904"/>
      <c r="N83" s="738"/>
      <c r="O83" s="795"/>
      <c r="P83" s="904"/>
      <c r="Q83" s="738"/>
      <c r="R83" s="795"/>
      <c r="S83" s="793" t="str">
        <f t="shared" si="19"/>
        <v/>
      </c>
      <c r="T83" s="786"/>
      <c r="U83" s="116"/>
      <c r="V83" s="794" t="str">
        <f t="shared" si="13"/>
        <v/>
      </c>
      <c r="X83" s="127" t="s">
        <v>417</v>
      </c>
      <c r="Y83" s="257">
        <f t="shared" si="14"/>
        <v>76</v>
      </c>
      <c r="Z83" s="257" t="str">
        <f>IF(AA83&lt;&gt;"//",COUNTA($AA$8:AA83)-COUNTIF($AA$8:AA83,"//"),"")</f>
        <v/>
      </c>
      <c r="AA83" s="257" t="str">
        <f t="shared" si="15"/>
        <v>//</v>
      </c>
      <c r="AB83" s="257" t="str">
        <f ca="1">_xlfn.IFNA(IF(COUNTIF('4.1(2)新規再エネ導入予定(FS調査、系統接続検討状況)'!$G:$G,OFFSET($AA$7,MATCH($Y83,$Z$8:$Z$167,0),0))=0,OFFSET($AA$7,MATCH($Y83,$Z$8:$Z$167,0),0),""),"")</f>
        <v/>
      </c>
      <c r="AC83" s="257" t="str">
        <f ca="1">_xlfn.IFNA(IF(COUNTIF('4.1(2)新規再エネ導入予定(合意形成)'!$G:$G,OFFSET($AA$7,MATCH($Y83,$Z$8:$Z$167,0),0))=0,OFFSET($AA$7,MATCH($Y83,$Z$8:$Z$167,0),0),""),"")</f>
        <v/>
      </c>
      <c r="AD83" s="257" t="str">
        <f ca="1">_xlfn.IFNA(OFFSET('4.1(2)新規再エネ導入予定(FS調査、系統接続検討状況)'!$W$1,MATCH(G83,'4.1(2)新規再エネ導入予定(FS調査、系統接続検討状況)'!G:G,0)-1,0),"//")</f>
        <v>//</v>
      </c>
      <c r="AE83" s="279" t="str">
        <f ca="1">_xlfn.IFNA(OFFSET('4.1(2)新規再エネ導入予定(合意形成)'!$AJ$1,MATCH(G83,'4.1(2)新規再エネ導入予定(合意形成)'!G:G,0)-1,0),"//")</f>
        <v>//</v>
      </c>
      <c r="AF83" s="257">
        <f t="shared" ca="1" si="12"/>
        <v>0</v>
      </c>
      <c r="AG83" s="131" t="str" cm="1">
        <f t="array" aca="1" ref="AG83" ca="1">IFERROR(_xlfn.IFS(COUNTIF($AB$8:$AC$167,G83)&gt;0,"",AF83&lt;=1,"D",AF83=2,"C",AF83=3,"B",AF83=4,"A"),"")</f>
        <v/>
      </c>
      <c r="AH83" s="257" t="str">
        <f ca="1">_xlfn.IFNA(OFFSET('4.1(2)新規再エネ導入予定(合意形成)'!$Z$1,MATCH($G83,'4.1(2)新規再エネ導入予定(合意形成)'!$G:$G,0)-1,0),"")</f>
        <v/>
      </c>
      <c r="AI83" s="131" t="str">
        <f t="shared" si="16"/>
        <v/>
      </c>
      <c r="AJ83" s="257" t="str">
        <f t="shared" si="17"/>
        <v/>
      </c>
      <c r="AK83" s="127" t="str">
        <f>IF(V83&lt;&gt;1,"",SUM($V$8:V83))</f>
        <v/>
      </c>
      <c r="AL83" s="257">
        <f t="shared" si="18"/>
        <v>1</v>
      </c>
    </row>
    <row r="84" spans="2:38" s="11" customFormat="1" ht="20">
      <c r="B84" s="21"/>
      <c r="C84" s="21"/>
      <c r="D84" s="36"/>
      <c r="E84" s="828"/>
      <c r="F84" s="788"/>
      <c r="G84" s="789"/>
      <c r="H84" s="790"/>
      <c r="I84" s="790"/>
      <c r="J84" s="791"/>
      <c r="K84" s="791"/>
      <c r="L84" s="731"/>
      <c r="M84" s="734"/>
      <c r="N84" s="738"/>
      <c r="O84" s="795"/>
      <c r="P84" s="904"/>
      <c r="Q84" s="738"/>
      <c r="R84" s="795"/>
      <c r="S84" s="793" t="str">
        <f t="shared" si="19"/>
        <v/>
      </c>
      <c r="T84" s="786"/>
      <c r="U84" s="116"/>
      <c r="V84" s="794" t="str">
        <f t="shared" si="13"/>
        <v/>
      </c>
      <c r="X84" s="127" t="s">
        <v>417</v>
      </c>
      <c r="Y84" s="257">
        <f t="shared" si="14"/>
        <v>77</v>
      </c>
      <c r="Z84" s="257" t="str">
        <f>IF(AA84&lt;&gt;"//",COUNTA($AA$8:AA84)-COUNTIF($AA$8:AA84,"//"),"")</f>
        <v/>
      </c>
      <c r="AA84" s="257" t="str">
        <f t="shared" si="15"/>
        <v>//</v>
      </c>
      <c r="AB84" s="257" t="str">
        <f ca="1">_xlfn.IFNA(IF(COUNTIF('4.1(2)新規再エネ導入予定(FS調査、系統接続検討状況)'!$G:$G,OFFSET($AA$7,MATCH($Y84,$Z$8:$Z$167,0),0))=0,OFFSET($AA$7,MATCH($Y84,$Z$8:$Z$167,0),0),""),"")</f>
        <v/>
      </c>
      <c r="AC84" s="257" t="str">
        <f ca="1">_xlfn.IFNA(IF(COUNTIF('4.1(2)新規再エネ導入予定(合意形成)'!$G:$G,OFFSET($AA$7,MATCH($Y84,$Z$8:$Z$167,0),0))=0,OFFSET($AA$7,MATCH($Y84,$Z$8:$Z$167,0),0),""),"")</f>
        <v/>
      </c>
      <c r="AD84" s="257" t="str">
        <f ca="1">_xlfn.IFNA(OFFSET('4.1(2)新規再エネ導入予定(FS調査、系統接続検討状況)'!$W$1,MATCH(G84,'4.1(2)新規再エネ導入予定(FS調査、系統接続検討状況)'!G:G,0)-1,0),"//")</f>
        <v>//</v>
      </c>
      <c r="AE84" s="279" t="str">
        <f ca="1">_xlfn.IFNA(OFFSET('4.1(2)新規再エネ導入予定(合意形成)'!$AJ$1,MATCH(G84,'4.1(2)新規再エネ導入予定(合意形成)'!G:G,0)-1,0),"//")</f>
        <v>//</v>
      </c>
      <c r="AF84" s="257">
        <f t="shared" ca="1" si="12"/>
        <v>0</v>
      </c>
      <c r="AG84" s="131" t="str" cm="1">
        <f t="array" aca="1" ref="AG84" ca="1">IFERROR(_xlfn.IFS(COUNTIF($AB$8:$AC$167,G84)&gt;0,"",AF84&lt;=1,"D",AF84=2,"C",AF84=3,"B",AF84=4,"A"),"")</f>
        <v/>
      </c>
      <c r="AH84" s="257" t="str">
        <f ca="1">_xlfn.IFNA(OFFSET('4.1(2)新規再エネ導入予定(合意形成)'!$Z$1,MATCH($G84,'4.1(2)新規再エネ導入予定(合意形成)'!$G:$G,0)-1,0),"")</f>
        <v/>
      </c>
      <c r="AI84" s="131" t="str">
        <f t="shared" si="16"/>
        <v/>
      </c>
      <c r="AJ84" s="257" t="str">
        <f t="shared" si="17"/>
        <v/>
      </c>
      <c r="AK84" s="127" t="str">
        <f>IF(V84&lt;&gt;1,"",SUM($V$8:V84))</f>
        <v/>
      </c>
      <c r="AL84" s="257">
        <f t="shared" si="18"/>
        <v>1</v>
      </c>
    </row>
    <row r="85" spans="2:38" ht="20">
      <c r="D85" s="190"/>
      <c r="E85" s="829" t="s">
        <v>25</v>
      </c>
      <c r="F85" s="796"/>
      <c r="G85" s="776"/>
      <c r="H85" s="777"/>
      <c r="I85" s="777"/>
      <c r="J85" s="777"/>
      <c r="K85" s="777"/>
      <c r="L85" s="730"/>
      <c r="M85" s="733"/>
      <c r="N85" s="899" t="str">
        <f>IF(AND(COUNTBLANK(M85:M92)&lt;=3,COUNTA(M85:M92)=0),0,IF(SUM(M85:M92)=0,"",SUM(M85:M92)))</f>
        <v/>
      </c>
      <c r="O85" s="905"/>
      <c r="P85" s="736"/>
      <c r="Q85" s="899" t="str">
        <f>IF(AND(COUNTBLANK(P85:P92)&lt;=3,COUNTA(P85:P92)=0),0,IF(SUM(P85:P92)=0,"",SUM(P85:P92)))</f>
        <v/>
      </c>
      <c r="R85" s="778"/>
      <c r="S85" s="779" t="str">
        <f t="shared" si="19"/>
        <v/>
      </c>
      <c r="T85" s="771"/>
      <c r="V85" s="797"/>
      <c r="X85" s="224" t="s">
        <v>417</v>
      </c>
      <c r="Y85" s="177">
        <f t="shared" si="14"/>
        <v>78</v>
      </c>
      <c r="Z85" s="177" t="str">
        <f>IF(AA85&lt;&gt;"//",COUNTA($AA$8:AA85)-COUNTIF($AA$8:AA85,"//"),"")</f>
        <v/>
      </c>
      <c r="AA85" s="177" t="str">
        <f t="shared" si="15"/>
        <v>//</v>
      </c>
      <c r="AB85" s="177" t="str">
        <f ca="1">_xlfn.IFNA(IF(COUNTIF('4.1(2)新規再エネ導入予定(FS調査、系統接続検討状況)'!$G:$G,OFFSET($AA$7,MATCH($Y85,$Z$8:$Z$167,0),0))=0,OFFSET($AA$7,MATCH($Y85,$Z$8:$Z$167,0),0),""),"")</f>
        <v/>
      </c>
      <c r="AC85" s="177" t="str">
        <f ca="1">_xlfn.IFNA(IF(COUNTIF('4.1(2)新規再エネ導入予定(合意形成)'!$G:$G,OFFSET($AA$7,MATCH($Y85,$Z$8:$Z$167,0),0))=0,OFFSET($AA$7,MATCH($Y85,$Z$8:$Z$167,0),0),""),"")</f>
        <v/>
      </c>
      <c r="AD85" s="177" t="str">
        <f ca="1">_xlfn.IFNA(OFFSET('4.1(2)新規再エネ導入予定(FS調査、系統接続検討状況)'!$W$1,MATCH(G85,'4.1(2)新規再エネ導入予定(FS調査、系統接続検討状況)'!G:G,0)-1,0),"//")</f>
        <v>//</v>
      </c>
      <c r="AE85" s="264" t="str">
        <f ca="1">_xlfn.IFNA(OFFSET('4.1(2)新規再エネ導入予定(合意形成)'!$AJ$1,MATCH(G85,'4.1(2)新規再エネ導入予定(合意形成)'!G:G,0)-1,0),"//")</f>
        <v>//</v>
      </c>
      <c r="AF85" s="177">
        <f t="shared" ca="1" si="12"/>
        <v>0</v>
      </c>
      <c r="AG85" s="217" t="str" cm="1">
        <f t="array" aca="1" ref="AG85" ca="1">IFERROR(_xlfn.IFS(COUNTIF($AB$8:$AC$167,G85)&gt;0,"",AF85&lt;=1,"D",AF85=2,"C",AF85=3,"B",AF85=4,"A"),"")</f>
        <v/>
      </c>
      <c r="AH85" s="177" t="str">
        <f ca="1">_xlfn.IFNA(OFFSET('4.1(2)新規再エネ導入予定(合意形成)'!$Z$1,MATCH($G85,'4.1(2)新規再エネ導入予定(合意形成)'!$G:$G,0)-1,0),"")</f>
        <v/>
      </c>
      <c r="AI85" s="217" t="str">
        <f t="shared" si="16"/>
        <v/>
      </c>
      <c r="AJ85" s="177" t="str">
        <f t="shared" si="17"/>
        <v/>
      </c>
      <c r="AK85" s="224" t="str">
        <f>IF(V85&lt;&gt;1,"",SUM($V$8:V85))</f>
        <v/>
      </c>
      <c r="AL85" s="177">
        <f t="shared" si="18"/>
        <v>1</v>
      </c>
    </row>
    <row r="86" spans="2:38" s="11" customFormat="1" ht="20" hidden="1">
      <c r="B86" s="21"/>
      <c r="C86" s="21"/>
      <c r="D86" s="36"/>
      <c r="E86" s="828"/>
      <c r="F86" s="781"/>
      <c r="G86" s="782"/>
      <c r="H86" s="783"/>
      <c r="I86" s="783"/>
      <c r="J86" s="784"/>
      <c r="K86" s="784"/>
      <c r="L86" s="901"/>
      <c r="M86" s="902"/>
      <c r="N86" s="737"/>
      <c r="O86" s="798"/>
      <c r="P86" s="902"/>
      <c r="Q86" s="737"/>
      <c r="R86" s="798"/>
      <c r="S86" s="785" t="str">
        <f t="shared" si="19"/>
        <v/>
      </c>
      <c r="T86" s="786"/>
      <c r="U86" s="116"/>
      <c r="V86" s="787"/>
      <c r="X86" s="127" t="s">
        <v>417</v>
      </c>
      <c r="Y86" s="257">
        <f t="shared" si="14"/>
        <v>79</v>
      </c>
      <c r="Z86" s="257" t="str">
        <f>IF(AA86&lt;&gt;"//",COUNTA($AA$8:AA86)-COUNTIF($AA$8:AA86,"//"),"")</f>
        <v/>
      </c>
      <c r="AA86" s="257" t="str">
        <f t="shared" si="15"/>
        <v>//</v>
      </c>
      <c r="AB86" s="257" t="str">
        <f ca="1">_xlfn.IFNA(IF(COUNTIF('4.1(2)新規再エネ導入予定(FS調査、系統接続検討状況)'!$G:$G,OFFSET($AA$7,MATCH($Y86,$Z$8:$Z$167,0),0))=0,OFFSET($AA$7,MATCH($Y86,$Z$8:$Z$167,0),0),""),"")</f>
        <v/>
      </c>
      <c r="AC86" s="257" t="str">
        <f ca="1">_xlfn.IFNA(IF(COUNTIF('4.1(2)新規再エネ導入予定(合意形成)'!$G:$G,OFFSET($AA$7,MATCH($Y86,$Z$8:$Z$167,0),0))=0,OFFSET($AA$7,MATCH($Y86,$Z$8:$Z$167,0),0),""),"")</f>
        <v/>
      </c>
      <c r="AD86" s="257" t="str">
        <f ca="1">_xlfn.IFNA(OFFSET('4.1(2)新規再エネ導入予定(FS調査、系統接続検討状況)'!$W$1,MATCH(G86,'4.1(2)新規再エネ導入予定(FS調査、系統接続検討状況)'!G:G,0)-1,0),"//")</f>
        <v>//</v>
      </c>
      <c r="AE86" s="279" t="str">
        <f ca="1">_xlfn.IFNA(OFFSET('4.1(2)新規再エネ導入予定(合意形成)'!$AJ$1,MATCH(G86,'4.1(2)新規再エネ導入予定(合意形成)'!G:G,0)-1,0),"//")</f>
        <v>//</v>
      </c>
      <c r="AF86" s="257">
        <f t="shared" ca="1" si="12"/>
        <v>0</v>
      </c>
      <c r="AG86" s="131" t="str" cm="1">
        <f t="array" aca="1" ref="AG86" ca="1">IFERROR(_xlfn.IFS(COUNTIF($AB$8:$AC$167,G86)&gt;0,"",AF86&lt;=1,"D",AF86=2,"C",AF86=3,"B",AF86=4,"A"),"")</f>
        <v/>
      </c>
      <c r="AH86" s="257" t="str">
        <f ca="1">_xlfn.IFNA(OFFSET('4.1(2)新規再エネ導入予定(合意形成)'!$Z$1,MATCH($G86,'4.1(2)新規再エネ導入予定(合意形成)'!$G:$G,0)-1,0),"")</f>
        <v/>
      </c>
      <c r="AI86" s="131" t="str">
        <f t="shared" si="16"/>
        <v/>
      </c>
      <c r="AJ86" s="257" t="str">
        <f t="shared" si="17"/>
        <v/>
      </c>
      <c r="AK86" s="127" t="str">
        <f>IF(V86&lt;&gt;1,"",SUM($V$8:V86))</f>
        <v/>
      </c>
      <c r="AL86" s="257">
        <f t="shared" si="18"/>
        <v>1</v>
      </c>
    </row>
    <row r="87" spans="2:38" s="11" customFormat="1" ht="20">
      <c r="B87" s="21"/>
      <c r="C87" s="21"/>
      <c r="D87" s="36"/>
      <c r="E87" s="828"/>
      <c r="F87" s="788"/>
      <c r="G87" s="789"/>
      <c r="H87" s="790"/>
      <c r="I87" s="790"/>
      <c r="J87" s="791"/>
      <c r="K87" s="791"/>
      <c r="L87" s="731"/>
      <c r="M87" s="904"/>
      <c r="N87" s="738"/>
      <c r="O87" s="795"/>
      <c r="P87" s="904"/>
      <c r="Q87" s="738"/>
      <c r="R87" s="795"/>
      <c r="S87" s="793" t="str">
        <f t="shared" si="19"/>
        <v/>
      </c>
      <c r="T87" s="786"/>
      <c r="U87" s="116"/>
      <c r="V87" s="794" t="str">
        <f t="shared" si="13"/>
        <v/>
      </c>
      <c r="X87" s="127" t="s">
        <v>417</v>
      </c>
      <c r="Y87" s="257">
        <f t="shared" si="14"/>
        <v>80</v>
      </c>
      <c r="Z87" s="257" t="str">
        <f>IF(AA87&lt;&gt;"//",COUNTA($AA$8:AA87)-COUNTIF($AA$8:AA87,"//"),"")</f>
        <v/>
      </c>
      <c r="AA87" s="257" t="str">
        <f t="shared" si="15"/>
        <v>//</v>
      </c>
      <c r="AB87" s="257" t="str">
        <f ca="1">_xlfn.IFNA(IF(COUNTIF('4.1(2)新規再エネ導入予定(FS調査、系統接続検討状況)'!$G:$G,OFFSET($AA$7,MATCH($Y87,$Z$8:$Z$167,0),0))=0,OFFSET($AA$7,MATCH($Y87,$Z$8:$Z$167,0),0),""),"")</f>
        <v/>
      </c>
      <c r="AC87" s="257" t="str">
        <f ca="1">_xlfn.IFNA(IF(COUNTIF('4.1(2)新規再エネ導入予定(合意形成)'!$G:$G,OFFSET($AA$7,MATCH($Y87,$Z$8:$Z$167,0),0))=0,OFFSET($AA$7,MATCH($Y87,$Z$8:$Z$167,0),0),""),"")</f>
        <v/>
      </c>
      <c r="AD87" s="257" t="str">
        <f ca="1">_xlfn.IFNA(OFFSET('4.1(2)新規再エネ導入予定(FS調査、系統接続検討状況)'!$W$1,MATCH(G87,'4.1(2)新規再エネ導入予定(FS調査、系統接続検討状況)'!G:G,0)-1,0),"//")</f>
        <v>//</v>
      </c>
      <c r="AE87" s="279" t="str">
        <f ca="1">_xlfn.IFNA(OFFSET('4.1(2)新規再エネ導入予定(合意形成)'!$AJ$1,MATCH(G87,'4.1(2)新規再エネ導入予定(合意形成)'!G:G,0)-1,0),"//")</f>
        <v>//</v>
      </c>
      <c r="AF87" s="257">
        <f t="shared" ca="1" si="12"/>
        <v>0</v>
      </c>
      <c r="AG87" s="131" t="str" cm="1">
        <f t="array" aca="1" ref="AG87" ca="1">IFERROR(_xlfn.IFS(COUNTIF($AB$8:$AC$167,G87)&gt;0,"",AF87&lt;=1,"D",AF87=2,"C",AF87=3,"B",AF87=4,"A"),"")</f>
        <v/>
      </c>
      <c r="AH87" s="257" t="str">
        <f ca="1">_xlfn.IFNA(OFFSET('4.1(2)新規再エネ導入予定(合意形成)'!$Z$1,MATCH($G87,'4.1(2)新規再エネ導入予定(合意形成)'!$G:$G,0)-1,0),"")</f>
        <v/>
      </c>
      <c r="AI87" s="131" t="str">
        <f t="shared" si="16"/>
        <v/>
      </c>
      <c r="AJ87" s="257" t="str">
        <f t="shared" si="17"/>
        <v/>
      </c>
      <c r="AK87" s="127" t="str">
        <f>IF(V87&lt;&gt;1,"",SUM($V$8:V87))</f>
        <v/>
      </c>
      <c r="AL87" s="257">
        <f t="shared" si="18"/>
        <v>1</v>
      </c>
    </row>
    <row r="88" spans="2:38" s="11" customFormat="1" ht="20">
      <c r="B88" s="21"/>
      <c r="C88" s="21"/>
      <c r="D88" s="36"/>
      <c r="E88" s="828"/>
      <c r="F88" s="788"/>
      <c r="G88" s="789"/>
      <c r="H88" s="790"/>
      <c r="I88" s="790"/>
      <c r="J88" s="791"/>
      <c r="K88" s="791"/>
      <c r="L88" s="906"/>
      <c r="M88" s="904"/>
      <c r="N88" s="738"/>
      <c r="O88" s="795"/>
      <c r="P88" s="904"/>
      <c r="Q88" s="738"/>
      <c r="R88" s="795"/>
      <c r="S88" s="793" t="str">
        <f t="shared" si="19"/>
        <v/>
      </c>
      <c r="T88" s="786"/>
      <c r="U88" s="116"/>
      <c r="V88" s="794" t="str">
        <f t="shared" si="13"/>
        <v/>
      </c>
      <c r="X88" s="127" t="s">
        <v>417</v>
      </c>
      <c r="Y88" s="257">
        <f t="shared" si="14"/>
        <v>81</v>
      </c>
      <c r="Z88" s="257" t="str">
        <f>IF(AA88&lt;&gt;"//",COUNTA($AA$8:AA88)-COUNTIF($AA$8:AA88,"//"),"")</f>
        <v/>
      </c>
      <c r="AA88" s="257" t="str">
        <f t="shared" si="15"/>
        <v>//</v>
      </c>
      <c r="AB88" s="257" t="str">
        <f ca="1">_xlfn.IFNA(IF(COUNTIF('4.1(2)新規再エネ導入予定(FS調査、系統接続検討状況)'!$G:$G,OFFSET($AA$7,MATCH($Y88,$Z$8:$Z$167,0),0))=0,OFFSET($AA$7,MATCH($Y88,$Z$8:$Z$167,0),0),""),"")</f>
        <v/>
      </c>
      <c r="AC88" s="257" t="str">
        <f ca="1">_xlfn.IFNA(IF(COUNTIF('4.1(2)新規再エネ導入予定(合意形成)'!$G:$G,OFFSET($AA$7,MATCH($Y88,$Z$8:$Z$167,0),0))=0,OFFSET($AA$7,MATCH($Y88,$Z$8:$Z$167,0),0),""),"")</f>
        <v/>
      </c>
      <c r="AD88" s="257" t="str">
        <f ca="1">_xlfn.IFNA(OFFSET('4.1(2)新規再エネ導入予定(FS調査、系統接続検討状況)'!$W$1,MATCH(G88,'4.1(2)新規再エネ導入予定(FS調査、系統接続検討状況)'!G:G,0)-1,0),"//")</f>
        <v>//</v>
      </c>
      <c r="AE88" s="279" t="str">
        <f ca="1">_xlfn.IFNA(OFFSET('4.1(2)新規再エネ導入予定(合意形成)'!$AJ$1,MATCH(G88,'4.1(2)新規再エネ導入予定(合意形成)'!G:G,0)-1,0),"//")</f>
        <v>//</v>
      </c>
      <c r="AF88" s="257">
        <f t="shared" ca="1" si="12"/>
        <v>0</v>
      </c>
      <c r="AG88" s="131" t="str" cm="1">
        <f t="array" aca="1" ref="AG88" ca="1">IFERROR(_xlfn.IFS(COUNTIF($AB$8:$AC$167,G88)&gt;0,"",AF88&lt;=1,"D",AF88=2,"C",AF88=3,"B",AF88=4,"A"),"")</f>
        <v/>
      </c>
      <c r="AH88" s="257" t="str">
        <f ca="1">_xlfn.IFNA(OFFSET('4.1(2)新規再エネ導入予定(合意形成)'!$Z$1,MATCH($G88,'4.1(2)新規再エネ導入予定(合意形成)'!$G:$G,0)-1,0),"")</f>
        <v/>
      </c>
      <c r="AI88" s="131" t="str">
        <f t="shared" si="16"/>
        <v/>
      </c>
      <c r="AJ88" s="257" t="str">
        <f t="shared" si="17"/>
        <v/>
      </c>
      <c r="AK88" s="127" t="str">
        <f>IF(V88&lt;&gt;1,"",SUM($V$8:V88))</f>
        <v/>
      </c>
      <c r="AL88" s="257">
        <f t="shared" si="18"/>
        <v>1</v>
      </c>
    </row>
    <row r="89" spans="2:38" s="11" customFormat="1" ht="20">
      <c r="B89" s="21"/>
      <c r="C89" s="21"/>
      <c r="D89" s="36"/>
      <c r="E89" s="828"/>
      <c r="F89" s="788"/>
      <c r="G89" s="789"/>
      <c r="H89" s="790"/>
      <c r="I89" s="790"/>
      <c r="J89" s="791"/>
      <c r="K89" s="791"/>
      <c r="L89" s="731"/>
      <c r="M89" s="734"/>
      <c r="N89" s="738"/>
      <c r="O89" s="795"/>
      <c r="P89" s="904"/>
      <c r="Q89" s="738"/>
      <c r="R89" s="795"/>
      <c r="S89" s="793" t="str">
        <f t="shared" si="19"/>
        <v/>
      </c>
      <c r="T89" s="786"/>
      <c r="U89" s="116"/>
      <c r="V89" s="794" t="str">
        <f t="shared" si="13"/>
        <v/>
      </c>
      <c r="X89" s="127" t="s">
        <v>417</v>
      </c>
      <c r="Y89" s="257">
        <f t="shared" si="14"/>
        <v>82</v>
      </c>
      <c r="Z89" s="257" t="str">
        <f>IF(AA89&lt;&gt;"//",COUNTA($AA$8:AA89)-COUNTIF($AA$8:AA89,"//"),"")</f>
        <v/>
      </c>
      <c r="AA89" s="257" t="str">
        <f t="shared" si="15"/>
        <v>//</v>
      </c>
      <c r="AB89" s="257" t="str">
        <f ca="1">_xlfn.IFNA(IF(COUNTIF('4.1(2)新規再エネ導入予定(FS調査、系統接続検討状況)'!$G:$G,OFFSET($AA$7,MATCH($Y89,$Z$8:$Z$167,0),0))=0,OFFSET($AA$7,MATCH($Y89,$Z$8:$Z$167,0),0),""),"")</f>
        <v/>
      </c>
      <c r="AC89" s="257" t="str">
        <f ca="1">_xlfn.IFNA(IF(COUNTIF('4.1(2)新規再エネ導入予定(合意形成)'!$G:$G,OFFSET($AA$7,MATCH($Y89,$Z$8:$Z$167,0),0))=0,OFFSET($AA$7,MATCH($Y89,$Z$8:$Z$167,0),0),""),"")</f>
        <v/>
      </c>
      <c r="AD89" s="257" t="str">
        <f ca="1">_xlfn.IFNA(OFFSET('4.1(2)新規再エネ導入予定(FS調査、系統接続検討状況)'!$W$1,MATCH(G89,'4.1(2)新規再エネ導入予定(FS調査、系統接続検討状況)'!G:G,0)-1,0),"//")</f>
        <v>//</v>
      </c>
      <c r="AE89" s="279" t="str">
        <f ca="1">_xlfn.IFNA(OFFSET('4.1(2)新規再エネ導入予定(合意形成)'!$AJ$1,MATCH(G89,'4.1(2)新規再エネ導入予定(合意形成)'!G:G,0)-1,0),"//")</f>
        <v>//</v>
      </c>
      <c r="AF89" s="257">
        <f t="shared" ca="1" si="12"/>
        <v>0</v>
      </c>
      <c r="AG89" s="131" t="str" cm="1">
        <f t="array" aca="1" ref="AG89" ca="1">IFERROR(_xlfn.IFS(COUNTIF($AB$8:$AC$167,G89)&gt;0,"",AF89&lt;=1,"D",AF89=2,"C",AF89=3,"B",AF89=4,"A"),"")</f>
        <v/>
      </c>
      <c r="AH89" s="257" t="str">
        <f ca="1">_xlfn.IFNA(OFFSET('4.1(2)新規再エネ導入予定(合意形成)'!$Z$1,MATCH($G89,'4.1(2)新規再エネ導入予定(合意形成)'!$G:$G,0)-1,0),"")</f>
        <v/>
      </c>
      <c r="AI89" s="131" t="str">
        <f t="shared" si="16"/>
        <v/>
      </c>
      <c r="AJ89" s="257" t="str">
        <f t="shared" si="17"/>
        <v/>
      </c>
      <c r="AK89" s="127" t="str">
        <f>IF(V89&lt;&gt;1,"",SUM($V$8:V89))</f>
        <v/>
      </c>
      <c r="AL89" s="257">
        <f t="shared" si="18"/>
        <v>1</v>
      </c>
    </row>
    <row r="90" spans="2:38" s="11" customFormat="1" ht="20">
      <c r="B90" s="21"/>
      <c r="C90" s="21"/>
      <c r="D90" s="36"/>
      <c r="E90" s="828"/>
      <c r="F90" s="788"/>
      <c r="G90" s="789"/>
      <c r="H90" s="790"/>
      <c r="I90" s="790"/>
      <c r="J90" s="791"/>
      <c r="K90" s="791"/>
      <c r="L90" s="906"/>
      <c r="M90" s="904"/>
      <c r="N90" s="738"/>
      <c r="O90" s="795"/>
      <c r="P90" s="904"/>
      <c r="Q90" s="738"/>
      <c r="R90" s="795"/>
      <c r="S90" s="793" t="str">
        <f t="shared" si="19"/>
        <v/>
      </c>
      <c r="T90" s="786"/>
      <c r="U90" s="116"/>
      <c r="V90" s="794" t="str">
        <f t="shared" si="13"/>
        <v/>
      </c>
      <c r="X90" s="127" t="s">
        <v>417</v>
      </c>
      <c r="Y90" s="257">
        <f t="shared" si="14"/>
        <v>83</v>
      </c>
      <c r="Z90" s="257" t="str">
        <f>IF(AA90&lt;&gt;"//",COUNTA($AA$8:AA90)-COUNTIF($AA$8:AA90,"//"),"")</f>
        <v/>
      </c>
      <c r="AA90" s="257" t="str">
        <f t="shared" si="15"/>
        <v>//</v>
      </c>
      <c r="AB90" s="257" t="str">
        <f ca="1">_xlfn.IFNA(IF(COUNTIF('4.1(2)新規再エネ導入予定(FS調査、系統接続検討状況)'!$G:$G,OFFSET($AA$7,MATCH($Y90,$Z$8:$Z$167,0),0))=0,OFFSET($AA$7,MATCH($Y90,$Z$8:$Z$167,0),0),""),"")</f>
        <v/>
      </c>
      <c r="AC90" s="257" t="str">
        <f ca="1">_xlfn.IFNA(IF(COUNTIF('4.1(2)新規再エネ導入予定(合意形成)'!$G:$G,OFFSET($AA$7,MATCH($Y90,$Z$8:$Z$167,0),0))=0,OFFSET($AA$7,MATCH($Y90,$Z$8:$Z$167,0),0),""),"")</f>
        <v/>
      </c>
      <c r="AD90" s="257" t="str">
        <f ca="1">_xlfn.IFNA(OFFSET('4.1(2)新規再エネ導入予定(FS調査、系統接続検討状況)'!$W$1,MATCH(G90,'4.1(2)新規再エネ導入予定(FS調査、系統接続検討状況)'!G:G,0)-1,0),"//")</f>
        <v>//</v>
      </c>
      <c r="AE90" s="279" t="str">
        <f ca="1">_xlfn.IFNA(OFFSET('4.1(2)新規再エネ導入予定(合意形成)'!$AJ$1,MATCH(G90,'4.1(2)新規再エネ導入予定(合意形成)'!G:G,0)-1,0),"//")</f>
        <v>//</v>
      </c>
      <c r="AF90" s="257">
        <f t="shared" ca="1" si="12"/>
        <v>0</v>
      </c>
      <c r="AG90" s="131" t="str" cm="1">
        <f t="array" aca="1" ref="AG90" ca="1">IFERROR(_xlfn.IFS(COUNTIF($AB$8:$AC$167,G90)&gt;0,"",AF90&lt;=1,"D",AF90=2,"C",AF90=3,"B",AF90=4,"A"),"")</f>
        <v/>
      </c>
      <c r="AH90" s="257" t="str">
        <f ca="1">_xlfn.IFNA(OFFSET('4.1(2)新規再エネ導入予定(合意形成)'!$Z$1,MATCH($G90,'4.1(2)新規再エネ導入予定(合意形成)'!$G:$G,0)-1,0),"")</f>
        <v/>
      </c>
      <c r="AI90" s="131" t="str">
        <f t="shared" si="16"/>
        <v/>
      </c>
      <c r="AJ90" s="257" t="str">
        <f t="shared" si="17"/>
        <v/>
      </c>
      <c r="AK90" s="127" t="str">
        <f>IF(V90&lt;&gt;1,"",SUM($V$8:V90))</f>
        <v/>
      </c>
      <c r="AL90" s="257">
        <f t="shared" si="18"/>
        <v>1</v>
      </c>
    </row>
    <row r="91" spans="2:38" s="11" customFormat="1" ht="20">
      <c r="B91" s="21"/>
      <c r="C91" s="21"/>
      <c r="D91" s="36"/>
      <c r="E91" s="828"/>
      <c r="F91" s="788"/>
      <c r="G91" s="789"/>
      <c r="H91" s="790"/>
      <c r="I91" s="790"/>
      <c r="J91" s="791"/>
      <c r="K91" s="791"/>
      <c r="L91" s="731"/>
      <c r="M91" s="734"/>
      <c r="N91" s="738"/>
      <c r="O91" s="795"/>
      <c r="P91" s="904"/>
      <c r="Q91" s="738"/>
      <c r="R91" s="795"/>
      <c r="S91" s="793" t="str">
        <f t="shared" si="19"/>
        <v/>
      </c>
      <c r="T91" s="786"/>
      <c r="U91" s="116"/>
      <c r="V91" s="794" t="str">
        <f t="shared" si="13"/>
        <v/>
      </c>
      <c r="X91" s="127" t="s">
        <v>417</v>
      </c>
      <c r="Y91" s="257">
        <f t="shared" si="14"/>
        <v>84</v>
      </c>
      <c r="Z91" s="257" t="str">
        <f>IF(AA91&lt;&gt;"//",COUNTA($AA$8:AA91)-COUNTIF($AA$8:AA91,"//"),"")</f>
        <v/>
      </c>
      <c r="AA91" s="257" t="str">
        <f t="shared" si="15"/>
        <v>//</v>
      </c>
      <c r="AB91" s="257" t="str">
        <f ca="1">_xlfn.IFNA(IF(COUNTIF('4.1(2)新規再エネ導入予定(FS調査、系統接続検討状況)'!$G:$G,OFFSET($AA$7,MATCH($Y91,$Z$8:$Z$167,0),0))=0,OFFSET($AA$7,MATCH($Y91,$Z$8:$Z$167,0),0),""),"")</f>
        <v/>
      </c>
      <c r="AC91" s="257" t="str">
        <f ca="1">_xlfn.IFNA(IF(COUNTIF('4.1(2)新規再エネ導入予定(合意形成)'!$G:$G,OFFSET($AA$7,MATCH($Y91,$Z$8:$Z$167,0),0))=0,OFFSET($AA$7,MATCH($Y91,$Z$8:$Z$167,0),0),""),"")</f>
        <v/>
      </c>
      <c r="AD91" s="257" t="str">
        <f ca="1">_xlfn.IFNA(OFFSET('4.1(2)新規再エネ導入予定(FS調査、系統接続検討状況)'!$W$1,MATCH(G91,'4.1(2)新規再エネ導入予定(FS調査、系統接続検討状況)'!G:G,0)-1,0),"//")</f>
        <v>//</v>
      </c>
      <c r="AE91" s="279" t="str">
        <f ca="1">_xlfn.IFNA(OFFSET('4.1(2)新規再エネ導入予定(合意形成)'!$AJ$1,MATCH(G91,'4.1(2)新規再エネ導入予定(合意形成)'!G:G,0)-1,0),"//")</f>
        <v>//</v>
      </c>
      <c r="AF91" s="257">
        <f t="shared" ca="1" si="12"/>
        <v>0</v>
      </c>
      <c r="AG91" s="131" t="str" cm="1">
        <f t="array" aca="1" ref="AG91" ca="1">IFERROR(_xlfn.IFS(COUNTIF($AB$8:$AC$167,G91)&gt;0,"",AF91&lt;=1,"D",AF91=2,"C",AF91=3,"B",AF91=4,"A"),"")</f>
        <v/>
      </c>
      <c r="AH91" s="257" t="str">
        <f ca="1">_xlfn.IFNA(OFFSET('4.1(2)新規再エネ導入予定(合意形成)'!$Z$1,MATCH($G91,'4.1(2)新規再エネ導入予定(合意形成)'!$G:$G,0)-1,0),"")</f>
        <v/>
      </c>
      <c r="AI91" s="131" t="str">
        <f t="shared" si="16"/>
        <v/>
      </c>
      <c r="AJ91" s="257" t="str">
        <f t="shared" si="17"/>
        <v/>
      </c>
      <c r="AK91" s="127" t="str">
        <f>IF(V91&lt;&gt;1,"",SUM($V$8:V91))</f>
        <v/>
      </c>
      <c r="AL91" s="257">
        <f t="shared" si="18"/>
        <v>1</v>
      </c>
    </row>
    <row r="92" spans="2:38" ht="20">
      <c r="D92" s="32"/>
      <c r="E92" s="830" t="s">
        <v>26</v>
      </c>
      <c r="F92" s="802"/>
      <c r="G92" s="802"/>
      <c r="H92" s="803"/>
      <c r="I92" s="803"/>
      <c r="J92" s="804"/>
      <c r="K92" s="804"/>
      <c r="L92" s="732"/>
      <c r="M92" s="735"/>
      <c r="N92" s="739">
        <f ca="1">SUM(OFFSET($N$8,0,0,ROW()-ROW($N$8),1))</f>
        <v>0</v>
      </c>
      <c r="O92" s="805"/>
      <c r="P92" s="735"/>
      <c r="Q92" s="739">
        <f ca="1">SUM(OFFSET($Q$8,0,0,ROW()-ROW($Q$8),1))</f>
        <v>0</v>
      </c>
      <c r="R92" s="806"/>
      <c r="S92" s="803"/>
      <c r="T92" s="771"/>
      <c r="V92" s="802"/>
      <c r="X92" s="224" t="s">
        <v>417</v>
      </c>
      <c r="Y92" s="177">
        <f t="shared" si="14"/>
        <v>85</v>
      </c>
      <c r="Z92" s="177" t="str">
        <f>IF(AA92&lt;&gt;"//",COUNTA($AA$8:AA92)-COUNTIF($AA$8:AA92,"//"),"")</f>
        <v/>
      </c>
      <c r="AA92" s="177" t="str">
        <f t="shared" si="15"/>
        <v>//</v>
      </c>
      <c r="AB92" s="177" t="str">
        <f ca="1">_xlfn.IFNA(IF(COUNTIF('4.1(2)新規再エネ導入予定(FS調査、系統接続検討状況)'!$G:$G,OFFSET($AA$7,MATCH($Y92,$Z$8:$Z$167,0),0))=0,OFFSET($AA$7,MATCH($Y92,$Z$8:$Z$167,0),0),""),"")</f>
        <v/>
      </c>
      <c r="AC92" s="177" t="str">
        <f ca="1">_xlfn.IFNA(IF(COUNTIF('4.1(2)新規再エネ導入予定(合意形成)'!$G:$G,OFFSET($AA$7,MATCH($Y92,$Z$8:$Z$167,0),0))=0,OFFSET($AA$7,MATCH($Y92,$Z$8:$Z$167,0),0),""),"")</f>
        <v/>
      </c>
      <c r="AD92" s="177" t="str">
        <f ca="1">_xlfn.IFNA(OFFSET('4.1(2)新規再エネ導入予定(FS調査、系統接続検討状況)'!$W$1,MATCH(G92,'4.1(2)新規再エネ導入予定(FS調査、系統接続検討状況)'!G:G,0)-1,0),"//")</f>
        <v>//</v>
      </c>
      <c r="AE92" s="264" t="str">
        <f ca="1">_xlfn.IFNA(OFFSET('4.1(2)新規再エネ導入予定(合意形成)'!$AJ$1,MATCH(G92,'4.1(2)新規再エネ導入予定(合意形成)'!G:G,0)-1,0),"//")</f>
        <v>//</v>
      </c>
      <c r="AF92" s="177">
        <f t="shared" ca="1" si="12"/>
        <v>0</v>
      </c>
      <c r="AG92" s="217" t="str" cm="1">
        <f t="array" aca="1" ref="AG92" ca="1">IFERROR(_xlfn.IFS(COUNTIF($AB$8:$AC$167,G92)&gt;0,"",AF92&lt;=1,"D",AF92=2,"C",AF92=3,"B",AF92=4,"A"),"")</f>
        <v/>
      </c>
      <c r="AH92" s="177" t="str">
        <f ca="1">_xlfn.IFNA(OFFSET('4.1(2)新規再エネ導入予定(合意形成)'!$Z$1,MATCH($G92,'4.1(2)新規再エネ導入予定(合意形成)'!$G:$G,0)-1,0),"")</f>
        <v/>
      </c>
      <c r="AI92" s="217" t="str">
        <f t="shared" si="16"/>
        <v/>
      </c>
      <c r="AJ92" s="177" t="str">
        <f t="shared" si="17"/>
        <v/>
      </c>
      <c r="AK92" s="224" t="str">
        <f>IF(V92&lt;&gt;1,"",SUM($V$8:V92))</f>
        <v/>
      </c>
      <c r="AL92" s="177">
        <f t="shared" si="18"/>
        <v>1</v>
      </c>
    </row>
    <row r="93" spans="2:38" ht="15" customHeight="1">
      <c r="D93" s="46"/>
      <c r="E93" s="470"/>
      <c r="F93" s="740"/>
      <c r="G93" s="740"/>
      <c r="H93" s="740"/>
      <c r="I93" s="740"/>
      <c r="J93" s="740"/>
      <c r="K93" s="740"/>
      <c r="L93" s="755"/>
      <c r="M93" s="740"/>
      <c r="N93" s="745"/>
      <c r="O93" s="807"/>
      <c r="P93" s="740"/>
      <c r="Q93" s="473"/>
      <c r="R93" s="808"/>
      <c r="S93" s="808"/>
      <c r="T93" s="809"/>
      <c r="X93" s="224" t="s">
        <v>417</v>
      </c>
      <c r="Y93" s="177">
        <f t="shared" si="14"/>
        <v>86</v>
      </c>
      <c r="Z93" s="177" t="str">
        <f>IF(AA93&lt;&gt;"//",COUNTA($AA$8:AA93)-COUNTIF($AA$8:AA93,"//"),"")</f>
        <v/>
      </c>
      <c r="AA93" s="177" t="str">
        <f t="shared" si="15"/>
        <v>//</v>
      </c>
      <c r="AB93" s="177" t="str">
        <f ca="1">_xlfn.IFNA(IF(COUNTIF('4.1(2)新規再エネ導入予定(FS調査、系統接続検討状況)'!$G:$G,OFFSET($AA$7,MATCH($Y93,$Z$8:$Z$167,0),0))=0,OFFSET($AA$7,MATCH($Y93,$Z$8:$Z$167,0),0),""),"")</f>
        <v/>
      </c>
      <c r="AC93" s="177" t="str">
        <f ca="1">_xlfn.IFNA(IF(COUNTIF('4.1(2)新規再エネ導入予定(合意形成)'!$G:$G,OFFSET($AA$7,MATCH($Y93,$Z$8:$Z$167,0),0))=0,OFFSET($AA$7,MATCH($Y93,$Z$8:$Z$167,0),0),""),"")</f>
        <v/>
      </c>
      <c r="AD93" s="177" t="str">
        <f ca="1">_xlfn.IFNA(OFFSET('4.1(2)新規再エネ導入予定(FS調査、系統接続検討状況)'!$W$1,MATCH(G93,'4.1(2)新規再エネ導入予定(FS調査、系統接続検討状況)'!G:G,0)-1,0),"//")</f>
        <v>//</v>
      </c>
      <c r="AE93" s="264" t="str">
        <f ca="1">_xlfn.IFNA(OFFSET('4.1(2)新規再エネ導入予定(合意形成)'!$AJ$1,MATCH(G93,'4.1(2)新規再エネ導入予定(合意形成)'!G:G,0)-1,0),"//")</f>
        <v>//</v>
      </c>
      <c r="AF93" s="177">
        <f t="shared" ca="1" si="12"/>
        <v>0</v>
      </c>
      <c r="AG93" s="217" t="str" cm="1">
        <f t="array" aca="1" ref="AG93" ca="1">IFERROR(_xlfn.IFS(COUNTIF($AB$8:$AC$167,G93)&gt;0,"",AF93&lt;=1,"D",AF93=2,"C",AF93=3,"B",AF93=4,"A"),"")</f>
        <v/>
      </c>
      <c r="AH93" s="177" t="str">
        <f ca="1">_xlfn.IFNA(OFFSET('4.1(2)新規再エネ導入予定(合意形成)'!$Z$1,MATCH($G93,'4.1(2)新規再エネ導入予定(合意形成)'!$G:$G,0)-1,0),"")</f>
        <v/>
      </c>
      <c r="AI93" s="217" t="str">
        <f t="shared" si="16"/>
        <v/>
      </c>
      <c r="AJ93" s="177" t="str">
        <f t="shared" si="17"/>
        <v/>
      </c>
      <c r="AK93" s="224" t="str">
        <f>IF(V93&lt;&gt;1,"",SUM($V$8:V93))</f>
        <v/>
      </c>
      <c r="AL93" s="177">
        <f t="shared" si="18"/>
        <v>1</v>
      </c>
    </row>
    <row r="94" spans="2:38">
      <c r="F94" s="741"/>
      <c r="G94" s="741"/>
      <c r="H94" s="741"/>
      <c r="I94" s="741"/>
      <c r="J94" s="741"/>
      <c r="K94" s="741"/>
      <c r="L94" s="756"/>
      <c r="M94" s="741"/>
      <c r="N94" s="746"/>
      <c r="O94" s="810"/>
      <c r="P94" s="741"/>
      <c r="X94" s="224" t="s">
        <v>417</v>
      </c>
      <c r="Y94" s="177">
        <f t="shared" si="14"/>
        <v>87</v>
      </c>
      <c r="Z94" s="177" t="str">
        <f>IF(AA94&lt;&gt;"//",COUNTA($AA$8:AA94)-COUNTIF($AA$8:AA94,"//"),"")</f>
        <v/>
      </c>
      <c r="AA94" s="177" t="str">
        <f t="shared" si="15"/>
        <v>//</v>
      </c>
      <c r="AB94" s="177" t="str">
        <f ca="1">_xlfn.IFNA(IF(COUNTIF('4.1(2)新規再エネ導入予定(FS調査、系統接続検討状況)'!$G:$G,OFFSET($AA$7,MATCH($Y94,$Z$8:$Z$167,0),0))=0,OFFSET($AA$7,MATCH($Y94,$Z$8:$Z$167,0),0),""),"")</f>
        <v/>
      </c>
      <c r="AC94" s="177" t="str">
        <f ca="1">_xlfn.IFNA(IF(COUNTIF('4.1(2)新規再エネ導入予定(合意形成)'!$G:$G,OFFSET($AA$7,MATCH($Y94,$Z$8:$Z$167,0),0))=0,OFFSET($AA$7,MATCH($Y94,$Z$8:$Z$167,0),0),""),"")</f>
        <v/>
      </c>
      <c r="AD94" s="177" t="str">
        <f ca="1">_xlfn.IFNA(OFFSET('4.1(2)新規再エネ導入予定(FS調査、系統接続検討状況)'!$W$1,MATCH(G94,'4.1(2)新規再エネ導入予定(FS調査、系統接続検討状況)'!G:G,0)-1,0),"//")</f>
        <v>//</v>
      </c>
      <c r="AE94" s="264" t="str">
        <f ca="1">_xlfn.IFNA(OFFSET('4.1(2)新規再エネ導入予定(合意形成)'!$AJ$1,MATCH(G94,'4.1(2)新規再エネ導入予定(合意形成)'!G:G,0)-1,0),"//")</f>
        <v>//</v>
      </c>
      <c r="AF94" s="177">
        <f t="shared" ca="1" si="12"/>
        <v>0</v>
      </c>
      <c r="AG94" s="217" t="str" cm="1">
        <f t="array" aca="1" ref="AG94" ca="1">IFERROR(_xlfn.IFS(COUNTIF($AB$8:$AC$167,G94)&gt;0,"",AF94&lt;=1,"D",AF94=2,"C",AF94=3,"B",AF94=4,"A"),"")</f>
        <v/>
      </c>
      <c r="AH94" s="177" t="str">
        <f ca="1">_xlfn.IFNA(OFFSET('4.1(2)新規再エネ導入予定(合意形成)'!$Z$1,MATCH($G94,'4.1(2)新規再エネ導入予定(合意形成)'!$G:$G,0)-1,0),"")</f>
        <v/>
      </c>
      <c r="AI94" s="217" t="str">
        <f t="shared" si="16"/>
        <v/>
      </c>
      <c r="AJ94" s="177" t="str">
        <f t="shared" si="17"/>
        <v/>
      </c>
      <c r="AK94" s="224" t="str">
        <f>IF(V94&lt;&gt;1,"",SUM($V$8:V94))</f>
        <v/>
      </c>
      <c r="AL94" s="177">
        <f t="shared" si="18"/>
        <v>1</v>
      </c>
    </row>
    <row r="95" spans="2:38">
      <c r="F95" s="741"/>
      <c r="G95" s="741"/>
      <c r="H95" s="741"/>
      <c r="I95" s="741"/>
      <c r="J95" s="741"/>
      <c r="K95" s="741"/>
      <c r="L95" s="756"/>
      <c r="M95" s="741"/>
      <c r="N95" s="746"/>
      <c r="O95" s="810"/>
      <c r="P95" s="741"/>
      <c r="X95" s="224" t="s">
        <v>417</v>
      </c>
      <c r="Y95" s="177">
        <f t="shared" si="14"/>
        <v>88</v>
      </c>
      <c r="Z95" s="177" t="str">
        <f>IF(AA95&lt;&gt;"//",COUNTA($AA$8:AA95)-COUNTIF($AA$8:AA95,"//"),"")</f>
        <v/>
      </c>
      <c r="AA95" s="177" t="str">
        <f t="shared" si="15"/>
        <v>//</v>
      </c>
      <c r="AB95" s="177" t="str">
        <f ca="1">_xlfn.IFNA(IF(COUNTIF('4.1(2)新規再エネ導入予定(FS調査、系統接続検討状況)'!$G:$G,OFFSET($AA$7,MATCH($Y95,$Z$8:$Z$167,0),0))=0,OFFSET($AA$7,MATCH($Y95,$Z$8:$Z$167,0),0),""),"")</f>
        <v/>
      </c>
      <c r="AC95" s="177" t="str">
        <f ca="1">_xlfn.IFNA(IF(COUNTIF('4.1(2)新規再エネ導入予定(合意形成)'!$G:$G,OFFSET($AA$7,MATCH($Y95,$Z$8:$Z$167,0),0))=0,OFFSET($AA$7,MATCH($Y95,$Z$8:$Z$167,0),0),""),"")</f>
        <v/>
      </c>
      <c r="AD95" s="177" t="str">
        <f ca="1">_xlfn.IFNA(OFFSET('4.1(2)新規再エネ導入予定(FS調査、系統接続検討状況)'!$W$1,MATCH(G95,'4.1(2)新規再エネ導入予定(FS調査、系統接続検討状況)'!G:G,0)-1,0),"//")</f>
        <v>//</v>
      </c>
      <c r="AE95" s="264" t="str">
        <f ca="1">_xlfn.IFNA(OFFSET('4.1(2)新規再エネ導入予定(合意形成)'!$AJ$1,MATCH(G95,'4.1(2)新規再エネ導入予定(合意形成)'!G:G,0)-1,0),"//")</f>
        <v>//</v>
      </c>
      <c r="AF95" s="177">
        <f t="shared" ca="1" si="12"/>
        <v>0</v>
      </c>
      <c r="AG95" s="217" t="str" cm="1">
        <f t="array" aca="1" ref="AG95" ca="1">IFERROR(_xlfn.IFS(COUNTIF($AB$8:$AC$167,G95)&gt;0,"",AF95&lt;=1,"D",AF95=2,"C",AF95=3,"B",AF95=4,"A"),"")</f>
        <v/>
      </c>
      <c r="AH95" s="177" t="str">
        <f ca="1">_xlfn.IFNA(OFFSET('4.1(2)新規再エネ導入予定(合意形成)'!$Z$1,MATCH($G95,'4.1(2)新規再エネ導入予定(合意形成)'!$G:$G,0)-1,0),"")</f>
        <v/>
      </c>
      <c r="AI95" s="217" t="str">
        <f t="shared" si="16"/>
        <v/>
      </c>
      <c r="AJ95" s="177" t="str">
        <f t="shared" si="17"/>
        <v/>
      </c>
      <c r="AK95" s="224" t="str">
        <f>IF(V95&lt;&gt;1,"",SUM($V$8:V95))</f>
        <v/>
      </c>
      <c r="AL95" s="177">
        <f t="shared" si="18"/>
        <v>1</v>
      </c>
    </row>
    <row r="96" spans="2:38" ht="9.75" customHeight="1">
      <c r="D96" s="14"/>
      <c r="E96" s="463"/>
      <c r="F96" s="463"/>
      <c r="G96" s="811"/>
      <c r="H96" s="463"/>
      <c r="I96" s="463"/>
      <c r="J96" s="463"/>
      <c r="K96" s="463"/>
      <c r="L96" s="753"/>
      <c r="M96" s="463"/>
      <c r="N96" s="747"/>
      <c r="O96" s="769"/>
      <c r="P96" s="463"/>
      <c r="Q96" s="466"/>
      <c r="R96" s="769"/>
      <c r="S96" s="463"/>
      <c r="T96" s="770"/>
      <c r="X96" s="224" t="s">
        <v>418</v>
      </c>
      <c r="Y96" s="177">
        <f t="shared" si="14"/>
        <v>89</v>
      </c>
      <c r="Z96" s="177" t="str">
        <f>IF(AA96&lt;&gt;"//",COUNTA($AA$8:AA96)-COUNTIF($AA$8:AA96,"//"),"")</f>
        <v/>
      </c>
      <c r="AA96" s="177" t="str">
        <f t="shared" si="15"/>
        <v>//</v>
      </c>
      <c r="AB96" s="177" t="str">
        <f ca="1">_xlfn.IFNA(IF(COUNTIF('4.1(2)新規再エネ導入予定(FS調査、系統接続検討状況)'!$G:$G,OFFSET($AA$7,MATCH($Y96,$Z$8:$Z$167,0),0))=0,OFFSET($AA$7,MATCH($Y96,$Z$8:$Z$167,0),0),""),"")</f>
        <v/>
      </c>
      <c r="AC96" s="177" t="str">
        <f ca="1">_xlfn.IFNA(IF(COUNTIF('4.1(2)新規再エネ導入予定(合意形成)'!$G:$G,OFFSET($AA$7,MATCH($Y96,$Z$8:$Z$167,0),0))=0,OFFSET($AA$7,MATCH($Y96,$Z$8:$Z$167,0),0),""),"")</f>
        <v/>
      </c>
      <c r="AD96" s="177" t="str">
        <f ca="1">_xlfn.IFNA(OFFSET('4.1(2)新規再エネ導入予定(FS調査、系統接続検討状況)'!$W$1,MATCH(G96,'4.1(2)新規再エネ導入予定(FS調査、系統接続検討状況)'!G:G,0)-1,0),"//")</f>
        <v>//</v>
      </c>
      <c r="AE96" s="264" t="str">
        <f ca="1">_xlfn.IFNA(OFFSET('4.1(2)新規再エネ導入予定(合意形成)'!$AJ$1,MATCH(G96,'4.1(2)新規再エネ導入予定(合意形成)'!G:G,0)-1,0),"//")</f>
        <v>//</v>
      </c>
      <c r="AF96" s="177">
        <f t="shared" ca="1" si="12"/>
        <v>0</v>
      </c>
      <c r="AG96" s="217" t="str" cm="1">
        <f t="array" aca="1" ref="AG96" ca="1">IFERROR(_xlfn.IFS(COUNTIF($AB$8:$AC$167,G96)&gt;0,"",AF96&lt;=1,"D",AF96=2,"C",AF96=3,"B",AF96=4,"A"),"")</f>
        <v/>
      </c>
      <c r="AH96" s="177" t="str">
        <f ca="1">_xlfn.IFNA(OFFSET('4.1(2)新規再エネ導入予定(合意形成)'!$Z$1,MATCH($G96,'4.1(2)新規再エネ導入予定(合意形成)'!$G:$G,0)-1,0),"")</f>
        <v/>
      </c>
      <c r="AI96" s="217" t="str">
        <f t="shared" si="16"/>
        <v/>
      </c>
      <c r="AJ96" s="177" t="str">
        <f t="shared" si="17"/>
        <v/>
      </c>
      <c r="AK96" s="224" t="str">
        <f>IF(V96&lt;&gt;1,"",SUM($V$8:V96))</f>
        <v/>
      </c>
      <c r="AL96" s="177">
        <f t="shared" si="18"/>
        <v>1</v>
      </c>
    </row>
    <row r="97" spans="2:38" ht="29">
      <c r="D97" s="239" t="s">
        <v>287</v>
      </c>
      <c r="F97" s="812"/>
      <c r="G97" s="813"/>
      <c r="N97" s="748"/>
      <c r="S97" s="325"/>
      <c r="T97" s="771"/>
      <c r="X97" s="224" t="s">
        <v>418</v>
      </c>
      <c r="Y97" s="177">
        <f t="shared" si="14"/>
        <v>90</v>
      </c>
      <c r="Z97" s="177" t="str">
        <f>IF(AA97&lt;&gt;"//",COUNTA($AA$8:AA97)-COUNTIF($AA$8:AA97,"//"),"")</f>
        <v/>
      </c>
      <c r="AA97" s="177" t="str">
        <f t="shared" si="15"/>
        <v>//</v>
      </c>
      <c r="AB97" s="177" t="str">
        <f ca="1">_xlfn.IFNA(IF(COUNTIF('4.1(2)新規再エネ導入予定(FS調査、系統接続検討状況)'!$G:$G,OFFSET($AA$7,MATCH($Y97,$Z$8:$Z$167,0),0))=0,OFFSET($AA$7,MATCH($Y97,$Z$8:$Z$167,0),0),""),"")</f>
        <v/>
      </c>
      <c r="AC97" s="177" t="str">
        <f ca="1">_xlfn.IFNA(IF(COUNTIF('4.1(2)新規再エネ導入予定(合意形成)'!$G:$G,OFFSET($AA$7,MATCH($Y97,$Z$8:$Z$167,0),0))=0,OFFSET($AA$7,MATCH($Y97,$Z$8:$Z$167,0),0),""),"")</f>
        <v/>
      </c>
      <c r="AD97" s="177" t="str">
        <f ca="1">_xlfn.IFNA(OFFSET('4.1(2)新規再エネ導入予定(FS調査、系統接続検討状況)'!$W$1,MATCH(G97,'4.1(2)新規再エネ導入予定(FS調査、系統接続検討状況)'!G:G,0)-1,0),"//")</f>
        <v>//</v>
      </c>
      <c r="AE97" s="264" t="str">
        <f ca="1">_xlfn.IFNA(OFFSET('4.1(2)新規再エネ導入予定(合意形成)'!$AJ$1,MATCH(G97,'4.1(2)新規再エネ導入予定(合意形成)'!G:G,0)-1,0),"//")</f>
        <v>//</v>
      </c>
      <c r="AF97" s="177">
        <f t="shared" ca="1" si="12"/>
        <v>0</v>
      </c>
      <c r="AG97" s="217" t="str" cm="1">
        <f t="array" aca="1" ref="AG97" ca="1">IFERROR(_xlfn.IFS(COUNTIF($AB$8:$AC$167,G97)&gt;0,"",AF97&lt;=1,"D",AF97=2,"C",AF97=3,"B",AF97=4,"A"),"")</f>
        <v/>
      </c>
      <c r="AH97" s="177" t="str">
        <f ca="1">_xlfn.IFNA(OFFSET('4.1(2)新規再エネ導入予定(合意形成)'!$Z$1,MATCH($G97,'4.1(2)新規再エネ導入予定(合意形成)'!$G:$G,0)-1,0),"")</f>
        <v/>
      </c>
      <c r="AI97" s="217" t="str">
        <f t="shared" si="16"/>
        <v/>
      </c>
      <c r="AJ97" s="177" t="str">
        <f t="shared" si="17"/>
        <v/>
      </c>
      <c r="AK97" s="224" t="str">
        <f>IF(V97&lt;&gt;1,"",SUM($V$8:V97))</f>
        <v/>
      </c>
      <c r="AL97" s="177">
        <f t="shared" si="18"/>
        <v>1</v>
      </c>
    </row>
    <row r="98" spans="2:38" ht="51.75" customHeight="1">
      <c r="D98" s="16"/>
      <c r="E98" s="831"/>
      <c r="F98" s="898" t="s">
        <v>8</v>
      </c>
      <c r="G98" s="742" t="s">
        <v>186</v>
      </c>
      <c r="H98" s="742" t="s">
        <v>181</v>
      </c>
      <c r="I98" s="742" t="s">
        <v>9</v>
      </c>
      <c r="J98" s="742" t="s">
        <v>10</v>
      </c>
      <c r="K98" s="815" t="s">
        <v>11</v>
      </c>
      <c r="L98" s="757" t="s">
        <v>31</v>
      </c>
      <c r="M98" s="742" t="s">
        <v>13</v>
      </c>
      <c r="N98" s="749" t="s">
        <v>82</v>
      </c>
      <c r="O98" s="742" t="s">
        <v>192</v>
      </c>
      <c r="P98" s="742" t="s">
        <v>81</v>
      </c>
      <c r="Q98" s="743" t="s">
        <v>83</v>
      </c>
      <c r="R98" s="742" t="s">
        <v>14</v>
      </c>
      <c r="S98" s="742" t="s">
        <v>300</v>
      </c>
      <c r="T98" s="771"/>
      <c r="V98" s="436" t="s">
        <v>194</v>
      </c>
      <c r="X98" s="224" t="s">
        <v>418</v>
      </c>
      <c r="Y98" s="177">
        <f t="shared" si="14"/>
        <v>91</v>
      </c>
      <c r="Z98" s="177" t="str">
        <f>IF(AA98&lt;&gt;"//",COUNTA($AA$8:AA98)-COUNTIF($AA$8:AA98,"//"),"")</f>
        <v/>
      </c>
      <c r="AA98" s="177" t="str">
        <f t="shared" si="15"/>
        <v>//</v>
      </c>
      <c r="AB98" s="177" t="str">
        <f ca="1">_xlfn.IFNA(IF(COUNTIF('4.1(2)新規再エネ導入予定(FS調査、系統接続検討状況)'!$G:$G,OFFSET($AA$7,MATCH($Y98,$Z$8:$Z$167,0),0))=0,OFFSET($AA$7,MATCH($Y98,$Z$8:$Z$167,0),0),""),"")</f>
        <v/>
      </c>
      <c r="AC98" s="177" t="str">
        <f ca="1">_xlfn.IFNA(IF(COUNTIF('4.1(2)新規再エネ導入予定(合意形成)'!$G:$G,OFFSET($AA$7,MATCH($Y98,$Z$8:$Z$167,0),0))=0,OFFSET($AA$7,MATCH($Y98,$Z$8:$Z$167,0),0),""),"")</f>
        <v/>
      </c>
      <c r="AD98" s="177" t="str">
        <f ca="1">_xlfn.IFNA(OFFSET('4.1(2)新規再エネ導入予定(FS調査、系統接続検討状況)'!$W$1,MATCH(G98,'4.1(2)新規再エネ導入予定(FS調査、系統接続検討状況)'!G:G,0)-1,0),"//")</f>
        <v>採点</v>
      </c>
      <c r="AE98" s="264" t="str">
        <f ca="1">_xlfn.IFNA(OFFSET('4.1(2)新規再エネ導入予定(合意形成)'!$AJ$1,MATCH(G98,'4.1(2)新規再エネ導入予定(合意形成)'!G:G,0)-1,0),"//")</f>
        <v>施設
スコア</v>
      </c>
      <c r="AF98" s="177">
        <f t="shared" ca="1" si="12"/>
        <v>0</v>
      </c>
      <c r="AG98" s="217" t="str" cm="1">
        <f t="array" aca="1" ref="AG98" ca="1">IFERROR(_xlfn.IFS(COUNTIF($AB$8:$AC$167,G98)&gt;0,"",AF98&lt;=1,"D",AF98=2,"C",AF98=3,"B",AF98=4,"A"),"")</f>
        <v>D</v>
      </c>
      <c r="AH98" s="177" t="str">
        <f ca="1">_xlfn.IFNA(OFFSET('4.1(2)新規再エネ導入予定(合意形成)'!$Z$1,MATCH($G98,'4.1(2)新規再エネ導入予定(合意形成)'!$G:$G,0)-1,0),"")</f>
        <v>代表者数</v>
      </c>
      <c r="AI98" s="217" t="str">
        <f t="shared" ca="1" si="16"/>
        <v>D</v>
      </c>
      <c r="AJ98" s="177">
        <f t="shared" si="17"/>
        <v>1</v>
      </c>
      <c r="AK98" s="224" t="str">
        <f>IF(V98&lt;&gt;1,"",SUM($V$8:V98))</f>
        <v/>
      </c>
      <c r="AL98" s="177">
        <f t="shared" si="18"/>
        <v>1</v>
      </c>
    </row>
    <row r="99" spans="2:38" s="11" customFormat="1" ht="20" hidden="1">
      <c r="B99" s="21"/>
      <c r="C99" s="21"/>
      <c r="D99" s="22"/>
      <c r="E99" s="832"/>
      <c r="F99" s="781"/>
      <c r="G99" s="782"/>
      <c r="H99" s="783"/>
      <c r="I99" s="783"/>
      <c r="J99" s="784"/>
      <c r="K99" s="784"/>
      <c r="L99" s="901"/>
      <c r="M99" s="902"/>
      <c r="N99" s="907"/>
      <c r="O99" s="798"/>
      <c r="P99" s="902"/>
      <c r="Q99" s="908"/>
      <c r="R99" s="798"/>
      <c r="S99" s="785" t="str">
        <f>IF(G99="","",AG99)</f>
        <v/>
      </c>
      <c r="T99" s="786"/>
      <c r="U99" s="116"/>
      <c r="V99" s="787"/>
      <c r="X99" s="127" t="s">
        <v>418</v>
      </c>
      <c r="Y99" s="257">
        <f t="shared" si="14"/>
        <v>92</v>
      </c>
      <c r="Z99" s="257" t="str">
        <f>IF(AA99&lt;&gt;"//",COUNTA($AA$8:AA99)-COUNTIF($AA$8:AA99,"//"),"")</f>
        <v/>
      </c>
      <c r="AA99" s="257" t="str">
        <f t="shared" si="15"/>
        <v>//</v>
      </c>
      <c r="AB99" s="257" t="str">
        <f ca="1">_xlfn.IFNA(IF(COUNTIF('4.1(2)新規再エネ導入予定(FS調査、系統接続検討状況)'!$G:$G,OFFSET($AA$7,MATCH($Y99,$Z$8:$Z$167,0),0))=0,OFFSET($AA$7,MATCH($Y99,$Z$8:$Z$167,0),0),""),"")</f>
        <v/>
      </c>
      <c r="AC99" s="257" t="str">
        <f ca="1">_xlfn.IFNA(IF(COUNTIF('4.1(2)新規再エネ導入予定(合意形成)'!$G:$G,OFFSET($AA$7,MATCH($Y99,$Z$8:$Z$167,0),0))=0,OFFSET($AA$7,MATCH($Y99,$Z$8:$Z$167,0),0),""),"")</f>
        <v/>
      </c>
      <c r="AD99" s="257" t="str">
        <f ca="1">_xlfn.IFNA(OFFSET('4.1(2)新規再エネ導入予定(FS調査、系統接続検討状況)'!$W$1,MATCH(G99,'4.1(2)新規再エネ導入予定(FS調査、系統接続検討状況)'!G:G,0)-1,0),"//")</f>
        <v>//</v>
      </c>
      <c r="AE99" s="279" t="str">
        <f ca="1">_xlfn.IFNA(OFFSET('4.1(2)新規再エネ導入予定(合意形成)'!$AJ$1,MATCH(G99,'4.1(2)新規再エネ導入予定(合意形成)'!G:G,0)-1,0),"//")</f>
        <v>//</v>
      </c>
      <c r="AF99" s="257">
        <f t="shared" ca="1" si="12"/>
        <v>0</v>
      </c>
      <c r="AG99" s="131" t="str" cm="1">
        <f t="array" aca="1" ref="AG99" ca="1">IFERROR(_xlfn.IFS(COUNTIF($AB$8:$AC$167,G99)&gt;0,"",AF99&lt;=1,"D",AF99=2,"C",AF99=3,"B",AF99=4,"A"),"")</f>
        <v/>
      </c>
      <c r="AH99" s="257" t="str">
        <f ca="1">_xlfn.IFNA(OFFSET('4.1(2)新規再エネ導入予定(合意形成)'!$Z$1,MATCH($G99,'4.1(2)新規再エネ導入予定(合意形成)'!$G:$G,0)-1,0),"")</f>
        <v/>
      </c>
      <c r="AI99" s="131" t="str">
        <f t="shared" si="16"/>
        <v/>
      </c>
      <c r="AJ99" s="257" t="str">
        <f t="shared" si="17"/>
        <v/>
      </c>
      <c r="AK99" s="127" t="str">
        <f>IF(V99&lt;&gt;1,"",SUM($V$8:V99))</f>
        <v/>
      </c>
      <c r="AL99" s="257">
        <f t="shared" si="18"/>
        <v>1</v>
      </c>
    </row>
    <row r="100" spans="2:38" s="11" customFormat="1" ht="20">
      <c r="B100" s="21"/>
      <c r="C100" s="21"/>
      <c r="D100" s="22"/>
      <c r="E100" s="832"/>
      <c r="F100" s="788"/>
      <c r="G100" s="789"/>
      <c r="H100" s="790"/>
      <c r="I100" s="790"/>
      <c r="J100" s="791"/>
      <c r="K100" s="791"/>
      <c r="L100" s="731"/>
      <c r="M100" s="904"/>
      <c r="N100" s="907"/>
      <c r="O100" s="795"/>
      <c r="P100" s="904"/>
      <c r="Q100" s="908"/>
      <c r="R100" s="795"/>
      <c r="S100" s="793" t="str">
        <f>IF(G100="","",AG100)</f>
        <v/>
      </c>
      <c r="T100" s="786"/>
      <c r="U100" s="116"/>
      <c r="V100" s="794" t="str">
        <f>IF(H100&lt;&gt;"",1,"")</f>
        <v/>
      </c>
      <c r="X100" s="127" t="s">
        <v>418</v>
      </c>
      <c r="Y100" s="257">
        <f t="shared" si="14"/>
        <v>93</v>
      </c>
      <c r="Z100" s="257" t="str">
        <f>IF(AA100&lt;&gt;"//",COUNTA($AA$8:AA100)-COUNTIF($AA$8:AA100,"//"),"")</f>
        <v/>
      </c>
      <c r="AA100" s="257" t="str">
        <f t="shared" si="15"/>
        <v>//</v>
      </c>
      <c r="AB100" s="257" t="str">
        <f ca="1">_xlfn.IFNA(IF(COUNTIF('4.1(2)新規再エネ導入予定(FS調査、系統接続検討状況)'!$G:$G,OFFSET($AA$7,MATCH($Y100,$Z$8:$Z$167,0),0))=0,OFFSET($AA$7,MATCH($Y100,$Z$8:$Z$167,0),0),""),"")</f>
        <v/>
      </c>
      <c r="AC100" s="257" t="str">
        <f ca="1">_xlfn.IFNA(IF(COUNTIF('4.1(2)新規再エネ導入予定(合意形成)'!$G:$G,OFFSET($AA$7,MATCH($Y100,$Z$8:$Z$167,0),0))=0,OFFSET($AA$7,MATCH($Y100,$Z$8:$Z$167,0),0),""),"")</f>
        <v/>
      </c>
      <c r="AD100" s="257" t="str">
        <f ca="1">_xlfn.IFNA(OFFSET('4.1(2)新規再エネ導入予定(FS調査、系統接続検討状況)'!$W$1,MATCH(G100,'4.1(2)新規再エネ導入予定(FS調査、系統接続検討状況)'!G:G,0)-1,0),"//")</f>
        <v>//</v>
      </c>
      <c r="AE100" s="279" t="str">
        <f ca="1">_xlfn.IFNA(OFFSET('4.1(2)新規再エネ導入予定(合意形成)'!$AJ$1,MATCH(G100,'4.1(2)新規再エネ導入予定(合意形成)'!G:G,0)-1,0),"//")</f>
        <v>//</v>
      </c>
      <c r="AF100" s="257">
        <f t="shared" ca="1" si="12"/>
        <v>0</v>
      </c>
      <c r="AG100" s="131" t="str" cm="1">
        <f t="array" aca="1" ref="AG100" ca="1">IFERROR(_xlfn.IFS(COUNTIF($AB$8:$AC$167,G100)&gt;0,"",AF100&lt;=1,"D",AF100=2,"C",AF100=3,"B",AF100=4,"A"),"")</f>
        <v/>
      </c>
      <c r="AH100" s="257" t="str">
        <f ca="1">_xlfn.IFNA(OFFSET('4.1(2)新規再エネ導入予定(合意形成)'!$Z$1,MATCH($G100,'4.1(2)新規再エネ導入予定(合意形成)'!$G:$G,0)-1,0),"")</f>
        <v/>
      </c>
      <c r="AI100" s="131" t="str">
        <f t="shared" si="16"/>
        <v/>
      </c>
      <c r="AJ100" s="257" t="str">
        <f t="shared" si="17"/>
        <v/>
      </c>
      <c r="AK100" s="127" t="str">
        <f>IF(V100&lt;&gt;1,"",SUM($V$8:V100))</f>
        <v/>
      </c>
      <c r="AL100" s="257">
        <f t="shared" si="18"/>
        <v>1</v>
      </c>
    </row>
    <row r="101" spans="2:38" s="11" customFormat="1" ht="20">
      <c r="B101" s="21"/>
      <c r="C101" s="21"/>
      <c r="D101" s="22"/>
      <c r="E101" s="832"/>
      <c r="F101" s="788"/>
      <c r="G101" s="789"/>
      <c r="H101" s="790"/>
      <c r="I101" s="790"/>
      <c r="J101" s="791"/>
      <c r="K101" s="791"/>
      <c r="L101" s="731"/>
      <c r="M101" s="904"/>
      <c r="N101" s="907"/>
      <c r="O101" s="795"/>
      <c r="P101" s="904"/>
      <c r="Q101" s="908"/>
      <c r="R101" s="795"/>
      <c r="S101" s="793" t="str">
        <f>IF(G101="","",AG101)</f>
        <v/>
      </c>
      <c r="T101" s="786"/>
      <c r="U101" s="116"/>
      <c r="V101" s="794" t="str">
        <f>IF(H101&lt;&gt;"",1,"")</f>
        <v/>
      </c>
      <c r="X101" s="127" t="s">
        <v>418</v>
      </c>
      <c r="Y101" s="257">
        <f t="shared" si="14"/>
        <v>94</v>
      </c>
      <c r="Z101" s="257" t="str">
        <f>IF(AA101&lt;&gt;"//",COUNTA($AA$8:AA101)-COUNTIF($AA$8:AA101,"//"),"")</f>
        <v/>
      </c>
      <c r="AA101" s="257" t="str">
        <f t="shared" si="15"/>
        <v>//</v>
      </c>
      <c r="AB101" s="257" t="str">
        <f ca="1">_xlfn.IFNA(IF(COUNTIF('4.1(2)新規再エネ導入予定(FS調査、系統接続検討状況)'!$G:$G,OFFSET($AA$7,MATCH($Y101,$Z$8:$Z$167,0),0))=0,OFFSET($AA$7,MATCH($Y101,$Z$8:$Z$167,0),0),""),"")</f>
        <v/>
      </c>
      <c r="AC101" s="257" t="str">
        <f ca="1">_xlfn.IFNA(IF(COUNTIF('4.1(2)新規再エネ導入予定(合意形成)'!$G:$G,OFFSET($AA$7,MATCH($Y101,$Z$8:$Z$167,0),0))=0,OFFSET($AA$7,MATCH($Y101,$Z$8:$Z$167,0),0),""),"")</f>
        <v/>
      </c>
      <c r="AD101" s="257" t="str">
        <f ca="1">_xlfn.IFNA(OFFSET('4.1(2)新規再エネ導入予定(FS調査、系統接続検討状況)'!$W$1,MATCH(G101,'4.1(2)新規再エネ導入予定(FS調査、系統接続検討状況)'!G:G,0)-1,0),"//")</f>
        <v>//</v>
      </c>
      <c r="AE101" s="279" t="str">
        <f ca="1">_xlfn.IFNA(OFFSET('4.1(2)新規再エネ導入予定(合意形成)'!$AJ$1,MATCH(G101,'4.1(2)新規再エネ導入予定(合意形成)'!G:G,0)-1,0),"//")</f>
        <v>//</v>
      </c>
      <c r="AF101" s="257">
        <f t="shared" ca="1" si="12"/>
        <v>0</v>
      </c>
      <c r="AG101" s="131" t="str" cm="1">
        <f t="array" aca="1" ref="AG101" ca="1">IFERROR(_xlfn.IFS(COUNTIF($AB$8:$AC$167,G101)&gt;0,"",AF101&lt;=1,"D",AF101=2,"C",AF101=3,"B",AF101=4,"A"),"")</f>
        <v/>
      </c>
      <c r="AH101" s="257" t="str">
        <f ca="1">_xlfn.IFNA(OFFSET('4.1(2)新規再エネ導入予定(合意形成)'!$Z$1,MATCH($G101,'4.1(2)新規再エネ導入予定(合意形成)'!$G:$G,0)-1,0),"")</f>
        <v/>
      </c>
      <c r="AI101" s="131" t="str">
        <f t="shared" si="16"/>
        <v/>
      </c>
      <c r="AJ101" s="257" t="str">
        <f t="shared" si="17"/>
        <v/>
      </c>
      <c r="AK101" s="127" t="str">
        <f>IF(V101&lt;&gt;1,"",SUM($V$8:V101))</f>
        <v/>
      </c>
      <c r="AL101" s="257">
        <f t="shared" si="18"/>
        <v>1</v>
      </c>
    </row>
    <row r="102" spans="2:38" s="11" customFormat="1" ht="20">
      <c r="B102" s="21"/>
      <c r="C102" s="21"/>
      <c r="D102" s="22"/>
      <c r="E102" s="832"/>
      <c r="F102" s="788"/>
      <c r="G102" s="789"/>
      <c r="H102" s="790"/>
      <c r="I102" s="790"/>
      <c r="J102" s="791"/>
      <c r="K102" s="791"/>
      <c r="L102" s="731"/>
      <c r="M102" s="734"/>
      <c r="N102" s="907"/>
      <c r="O102" s="795"/>
      <c r="P102" s="904"/>
      <c r="Q102" s="908"/>
      <c r="R102" s="795"/>
      <c r="S102" s="793" t="str">
        <f>IF(G102="","",AG102)</f>
        <v/>
      </c>
      <c r="T102" s="786"/>
      <c r="U102" s="116"/>
      <c r="V102" s="794" t="str">
        <f>IF(H102&lt;&gt;"",1,"")</f>
        <v/>
      </c>
      <c r="X102" s="127" t="s">
        <v>418</v>
      </c>
      <c r="Y102" s="257">
        <f t="shared" si="14"/>
        <v>95</v>
      </c>
      <c r="Z102" s="257" t="str">
        <f>IF(AA102&lt;&gt;"//",COUNTA($AA$8:AA102)-COUNTIF($AA$8:AA102,"//"),"")</f>
        <v/>
      </c>
      <c r="AA102" s="257" t="str">
        <f t="shared" si="15"/>
        <v>//</v>
      </c>
      <c r="AB102" s="257" t="str">
        <f ca="1">_xlfn.IFNA(IF(COUNTIF('4.1(2)新規再エネ導入予定(FS調査、系統接続検討状況)'!$G:$G,OFFSET($AA$7,MATCH($Y102,$Z$8:$Z$167,0),0))=0,OFFSET($AA$7,MATCH($Y102,$Z$8:$Z$167,0),0),""),"")</f>
        <v/>
      </c>
      <c r="AC102" s="257" t="str">
        <f ca="1">_xlfn.IFNA(IF(COUNTIF('4.1(2)新規再エネ導入予定(合意形成)'!$G:$G,OFFSET($AA$7,MATCH($Y102,$Z$8:$Z$167,0),0))=0,OFFSET($AA$7,MATCH($Y102,$Z$8:$Z$167,0),0),""),"")</f>
        <v/>
      </c>
      <c r="AD102" s="257" t="str">
        <f ca="1">_xlfn.IFNA(OFFSET('4.1(2)新規再エネ導入予定(FS調査、系統接続検討状況)'!$W$1,MATCH(G102,'4.1(2)新規再エネ導入予定(FS調査、系統接続検討状況)'!G:G,0)-1,0),"//")</f>
        <v>//</v>
      </c>
      <c r="AE102" s="279" t="str">
        <f ca="1">_xlfn.IFNA(OFFSET('4.1(2)新規再エネ導入予定(合意形成)'!$AJ$1,MATCH(G102,'4.1(2)新規再エネ導入予定(合意形成)'!G:G,0)-1,0),"//")</f>
        <v>//</v>
      </c>
      <c r="AF102" s="257">
        <f t="shared" ca="1" si="12"/>
        <v>0</v>
      </c>
      <c r="AG102" s="131" t="str" cm="1">
        <f t="array" aca="1" ref="AG102" ca="1">IFERROR(_xlfn.IFS(COUNTIF($AB$8:$AC$167,G102)&gt;0,"",AF102&lt;=1,"D",AF102=2,"C",AF102=3,"B",AF102=4,"A"),"")</f>
        <v/>
      </c>
      <c r="AH102" s="257" t="str">
        <f ca="1">_xlfn.IFNA(OFFSET('4.1(2)新規再エネ導入予定(合意形成)'!$Z$1,MATCH($G102,'4.1(2)新規再エネ導入予定(合意形成)'!$G:$G,0)-1,0),"")</f>
        <v/>
      </c>
      <c r="AI102" s="131" t="str">
        <f t="shared" si="16"/>
        <v/>
      </c>
      <c r="AJ102" s="257" t="str">
        <f t="shared" si="17"/>
        <v/>
      </c>
      <c r="AK102" s="127" t="str">
        <f>IF(V102&lt;&gt;1,"",SUM($V$8:V102))</f>
        <v/>
      </c>
      <c r="AL102" s="257">
        <f t="shared" si="18"/>
        <v>1</v>
      </c>
    </row>
    <row r="103" spans="2:38" ht="20">
      <c r="D103" s="16"/>
      <c r="E103" s="833"/>
      <c r="F103" s="816" t="s">
        <v>26</v>
      </c>
      <c r="G103" s="802"/>
      <c r="H103" s="802"/>
      <c r="I103" s="802"/>
      <c r="J103" s="802"/>
      <c r="K103" s="802"/>
      <c r="L103" s="758"/>
      <c r="M103" s="502">
        <f ca="1">SUM(INDIRECT("M"&amp;ROW(M98)&amp;":M"&amp;ROW()-1))</f>
        <v>0</v>
      </c>
      <c r="N103" s="750"/>
      <c r="O103" s="817"/>
      <c r="P103" s="710">
        <f ca="1">SUM(INDIRECT("P"&amp;ROW(P98)&amp;":P"&amp;ROW()-1))</f>
        <v>0</v>
      </c>
      <c r="Q103" s="744"/>
      <c r="R103" s="806"/>
      <c r="S103" s="803"/>
      <c r="T103" s="771"/>
      <c r="V103" s="224" t="str">
        <f t="shared" ref="V103" si="20">IF(H103&lt;&gt;"",1,"")</f>
        <v/>
      </c>
      <c r="X103" s="224" t="s">
        <v>418</v>
      </c>
      <c r="Y103" s="177">
        <f t="shared" si="14"/>
        <v>96</v>
      </c>
      <c r="Z103" s="177" t="str">
        <f>IF(AA103&lt;&gt;"//",COUNTA($AA$8:AA103)-COUNTIF($AA$8:AA103,"//"),"")</f>
        <v/>
      </c>
      <c r="AA103" s="177" t="str">
        <f t="shared" si="15"/>
        <v>//</v>
      </c>
      <c r="AB103" s="177" t="str">
        <f ca="1">_xlfn.IFNA(IF(COUNTIF('4.1(2)新規再エネ導入予定(FS調査、系統接続検討状況)'!$G:$G,OFFSET($AA$7,MATCH($Y103,$Z$8:$Z$167,0),0))=0,OFFSET($AA$7,MATCH($Y103,$Z$8:$Z$167,0),0),""),"")</f>
        <v/>
      </c>
      <c r="AC103" s="177" t="str">
        <f ca="1">_xlfn.IFNA(IF(COUNTIF('4.1(2)新規再エネ導入予定(合意形成)'!$G:$G,OFFSET($AA$7,MATCH($Y103,$Z$8:$Z$167,0),0))=0,OFFSET($AA$7,MATCH($Y103,$Z$8:$Z$167,0),0),""),"")</f>
        <v/>
      </c>
      <c r="AD103" s="177" t="str">
        <f ca="1">_xlfn.IFNA(OFFSET('4.1(2)新規再エネ導入予定(FS調査、系統接続検討状況)'!$W$1,MATCH(G103,'4.1(2)新規再エネ導入予定(FS調査、系統接続検討状況)'!G:G,0)-1,0),"//")</f>
        <v>//</v>
      </c>
      <c r="AE103" s="264" t="str">
        <f ca="1">_xlfn.IFNA(OFFSET('4.1(2)新規再エネ導入予定(合意形成)'!$AJ$1,MATCH(G103,'4.1(2)新規再エネ導入予定(合意形成)'!G:G,0)-1,0),"//")</f>
        <v>//</v>
      </c>
      <c r="AF103" s="177">
        <f t="shared" ca="1" si="12"/>
        <v>0</v>
      </c>
      <c r="AG103" s="217" t="str" cm="1">
        <f t="array" aca="1" ref="AG103" ca="1">IFERROR(_xlfn.IFS(COUNTIF($AB$8:$AC$167,G103)&gt;0,"",AF103&lt;=1,"D",AF103=2,"C",AF103=3,"B",AF103=4,"A"),"")</f>
        <v/>
      </c>
      <c r="AH103" s="177" t="str">
        <f ca="1">_xlfn.IFNA(OFFSET('4.1(2)新規再エネ導入予定(合意形成)'!$Z$1,MATCH($G103,'4.1(2)新規再エネ導入予定(合意形成)'!$G:$G,0)-1,0),"")</f>
        <v/>
      </c>
      <c r="AI103" s="217" t="str">
        <f t="shared" si="16"/>
        <v/>
      </c>
      <c r="AJ103" s="177" t="str">
        <f t="shared" si="17"/>
        <v/>
      </c>
      <c r="AK103" s="224" t="str">
        <f>IF(V103&lt;&gt;1,"",SUM($V$8:V103))</f>
        <v/>
      </c>
      <c r="AL103" s="177">
        <f t="shared" si="18"/>
        <v>1</v>
      </c>
    </row>
    <row r="104" spans="2:38">
      <c r="D104" s="46"/>
      <c r="E104" s="470"/>
      <c r="F104" s="470"/>
      <c r="G104" s="470"/>
      <c r="H104" s="470"/>
      <c r="I104" s="470"/>
      <c r="J104" s="470"/>
      <c r="K104" s="470"/>
      <c r="L104" s="759"/>
      <c r="M104" s="470"/>
      <c r="N104" s="473"/>
      <c r="O104" s="808"/>
      <c r="P104" s="470"/>
      <c r="Q104" s="473"/>
      <c r="R104" s="808"/>
      <c r="S104" s="470"/>
      <c r="T104" s="809"/>
      <c r="X104" s="224" t="s">
        <v>418</v>
      </c>
      <c r="Y104" s="177">
        <f t="shared" si="14"/>
        <v>97</v>
      </c>
      <c r="Z104" s="177" t="str">
        <f>IF(AA104&lt;&gt;"//",COUNTA($AA$8:AA104)-COUNTIF($AA$8:AA104,"//"),"")</f>
        <v/>
      </c>
      <c r="AA104" s="177" t="str">
        <f t="shared" ref="AA104:AA135" si="21">IF(OR(G104="",G104="施設番号"),"//",G104)</f>
        <v>//</v>
      </c>
      <c r="AB104" s="177" t="str">
        <f ca="1">_xlfn.IFNA(IF(COUNTIF('4.1(2)新規再エネ導入予定(FS調査、系統接続検討状況)'!$G:$G,OFFSET($AA$7,MATCH($Y104,$Z$8:$Z$167,0),0))=0,OFFSET($AA$7,MATCH($Y104,$Z$8:$Z$167,0),0),""),"")</f>
        <v/>
      </c>
      <c r="AC104" s="177" t="str">
        <f ca="1">_xlfn.IFNA(IF(COUNTIF('4.1(2)新規再エネ導入予定(合意形成)'!$G:$G,OFFSET($AA$7,MATCH($Y104,$Z$8:$Z$167,0),0))=0,OFFSET($AA$7,MATCH($Y104,$Z$8:$Z$167,0),0),""),"")</f>
        <v/>
      </c>
      <c r="AD104" s="177" t="str">
        <f ca="1">_xlfn.IFNA(OFFSET('4.1(2)新規再エネ導入予定(FS調査、系統接続検討状況)'!$W$1,MATCH(G104,'4.1(2)新規再エネ導入予定(FS調査、系統接続検討状況)'!G:G,0)-1,0),"//")</f>
        <v>//</v>
      </c>
      <c r="AE104" s="264" t="str">
        <f ca="1">_xlfn.IFNA(OFFSET('4.1(2)新規再エネ導入予定(合意形成)'!$AJ$1,MATCH(G104,'4.1(2)新規再エネ導入予定(合意形成)'!G:G,0)-1,0),"//")</f>
        <v>//</v>
      </c>
      <c r="AF104" s="177">
        <f t="shared" ca="1" si="12"/>
        <v>0</v>
      </c>
      <c r="AG104" s="217" t="str" cm="1">
        <f t="array" aca="1" ref="AG104" ca="1">IFERROR(_xlfn.IFS(COUNTIF($AB$8:$AC$167,G104)&gt;0,"",AF104&lt;=1,"D",AF104=2,"C",AF104=3,"B",AF104=4,"A"),"")</f>
        <v/>
      </c>
      <c r="AH104" s="177" t="str">
        <f ca="1">_xlfn.IFNA(OFFSET('4.1(2)新規再エネ導入予定(合意形成)'!$Z$1,MATCH($G104,'4.1(2)新規再エネ導入予定(合意形成)'!$G:$G,0)-1,0),"")</f>
        <v/>
      </c>
      <c r="AI104" s="217" t="str">
        <f t="shared" ref="AI104:AI135" si="22">IF(G104="","",AG104)</f>
        <v/>
      </c>
      <c r="AJ104" s="177" t="str">
        <f t="shared" si="17"/>
        <v/>
      </c>
      <c r="AK104" s="224" t="str">
        <f>IF(V104&lt;&gt;1,"",SUM($V$8:V104))</f>
        <v/>
      </c>
      <c r="AL104" s="177">
        <f t="shared" si="18"/>
        <v>1</v>
      </c>
    </row>
    <row r="105" spans="2:38">
      <c r="F105" s="741"/>
      <c r="G105" s="741"/>
      <c r="H105" s="741"/>
      <c r="I105" s="741"/>
      <c r="J105" s="741"/>
      <c r="K105" s="741"/>
      <c r="L105" s="756"/>
      <c r="M105" s="741"/>
      <c r="N105" s="746"/>
      <c r="O105" s="810"/>
      <c r="P105" s="741"/>
      <c r="X105" s="224" t="s">
        <v>418</v>
      </c>
      <c r="Y105" s="177">
        <f t="shared" si="14"/>
        <v>98</v>
      </c>
      <c r="Z105" s="177" t="str">
        <f>IF(AA105&lt;&gt;"//",COUNTA($AA$8:AA105)-COUNTIF($AA$8:AA105,"//"),"")</f>
        <v/>
      </c>
      <c r="AA105" s="177" t="str">
        <f t="shared" si="21"/>
        <v>//</v>
      </c>
      <c r="AB105" s="177" t="str">
        <f ca="1">_xlfn.IFNA(IF(COUNTIF('4.1(2)新規再エネ導入予定(FS調査、系統接続検討状況)'!$G:$G,OFFSET($AA$7,MATCH($Y105,$Z$8:$Z$167,0),0))=0,OFFSET($AA$7,MATCH($Y105,$Z$8:$Z$167,0),0),""),"")</f>
        <v/>
      </c>
      <c r="AC105" s="177" t="str">
        <f ca="1">_xlfn.IFNA(IF(COUNTIF('4.1(2)新規再エネ導入予定(合意形成)'!$G:$G,OFFSET($AA$7,MATCH($Y105,$Z$8:$Z$167,0),0))=0,OFFSET($AA$7,MATCH($Y105,$Z$8:$Z$167,0),0),""),"")</f>
        <v/>
      </c>
      <c r="AD105" s="177" t="str">
        <f ca="1">_xlfn.IFNA(OFFSET('4.1(2)新規再エネ導入予定(FS調査、系統接続検討状況)'!$W$1,MATCH(G105,'4.1(2)新規再エネ導入予定(FS調査、系統接続検討状況)'!G:G,0)-1,0),"//")</f>
        <v>//</v>
      </c>
      <c r="AE105" s="264" t="str">
        <f ca="1">_xlfn.IFNA(OFFSET('4.1(2)新規再エネ導入予定(合意形成)'!$AJ$1,MATCH(G105,'4.1(2)新規再エネ導入予定(合意形成)'!G:G,0)-1,0),"//")</f>
        <v>//</v>
      </c>
      <c r="AF105" s="177">
        <f t="shared" ca="1" si="12"/>
        <v>0</v>
      </c>
      <c r="AG105" s="217" t="str" cm="1">
        <f t="array" aca="1" ref="AG105" ca="1">IFERROR(_xlfn.IFS(COUNTIF($AB$8:$AC$167,G105)&gt;0,"",AF105&lt;=1,"D",AF105=2,"C",AF105=3,"B",AF105=4,"A"),"")</f>
        <v/>
      </c>
      <c r="AH105" s="177" t="str">
        <f ca="1">_xlfn.IFNA(OFFSET('4.1(2)新規再エネ導入予定(合意形成)'!$Z$1,MATCH($G105,'4.1(2)新規再エネ導入予定(合意形成)'!$G:$G,0)-1,0),"")</f>
        <v/>
      </c>
      <c r="AI105" s="217" t="str">
        <f t="shared" si="22"/>
        <v/>
      </c>
      <c r="AJ105" s="177" t="str">
        <f t="shared" si="17"/>
        <v/>
      </c>
      <c r="AK105" s="224" t="str">
        <f>IF(V105&lt;&gt;1,"",SUM($V$8:V105))</f>
        <v/>
      </c>
      <c r="AL105" s="177">
        <f t="shared" si="18"/>
        <v>1</v>
      </c>
    </row>
    <row r="106" spans="2:38" ht="9.75" customHeight="1">
      <c r="D106" s="14"/>
      <c r="E106" s="463"/>
      <c r="F106" s="463"/>
      <c r="G106" s="811"/>
      <c r="H106" s="463"/>
      <c r="I106" s="463"/>
      <c r="J106" s="463"/>
      <c r="K106" s="463"/>
      <c r="L106" s="753"/>
      <c r="M106" s="463"/>
      <c r="N106" s="747"/>
      <c r="O106" s="769"/>
      <c r="P106" s="463"/>
      <c r="Q106" s="466"/>
      <c r="R106" s="769"/>
      <c r="S106" s="463"/>
      <c r="T106" s="770"/>
      <c r="X106" s="224" t="s">
        <v>419</v>
      </c>
      <c r="Y106" s="177">
        <f t="shared" si="14"/>
        <v>99</v>
      </c>
      <c r="Z106" s="177" t="str">
        <f>IF(AA106&lt;&gt;"//",COUNTA($AA$8:AA106)-COUNTIF($AA$8:AA106,"//"),"")</f>
        <v/>
      </c>
      <c r="AA106" s="177" t="str">
        <f t="shared" si="21"/>
        <v>//</v>
      </c>
      <c r="AB106" s="177" t="str">
        <f ca="1">_xlfn.IFNA(IF(COUNTIF('4.1(2)新規再エネ導入予定(FS調査、系統接続検討状況)'!$G:$G,OFFSET($AA$7,MATCH($Y106,$Z$8:$Z$167,0),0))=0,OFFSET($AA$7,MATCH($Y106,$Z$8:$Z$167,0),0),""),"")</f>
        <v/>
      </c>
      <c r="AC106" s="177" t="str">
        <f ca="1">_xlfn.IFNA(IF(COUNTIF('4.1(2)新規再エネ導入予定(合意形成)'!$G:$G,OFFSET($AA$7,MATCH($Y106,$Z$8:$Z$167,0),0))=0,OFFSET($AA$7,MATCH($Y106,$Z$8:$Z$167,0),0),""),"")</f>
        <v/>
      </c>
      <c r="AD106" s="177" t="str">
        <f ca="1">_xlfn.IFNA(OFFSET('4.1(2)新規再エネ導入予定(FS調査、系統接続検討状況)'!$W$1,MATCH(G106,'4.1(2)新規再エネ導入予定(FS調査、系統接続検討状況)'!G:G,0)-1,0),"//")</f>
        <v>//</v>
      </c>
      <c r="AE106" s="264" t="str">
        <f ca="1">_xlfn.IFNA(OFFSET('4.1(2)新規再エネ導入予定(合意形成)'!$AJ$1,MATCH(G106,'4.1(2)新規再エネ導入予定(合意形成)'!G:G,0)-1,0),"//")</f>
        <v>//</v>
      </c>
      <c r="AF106" s="177">
        <f t="shared" ca="1" si="12"/>
        <v>0</v>
      </c>
      <c r="AG106" s="217" t="str" cm="1">
        <f t="array" aca="1" ref="AG106" ca="1">IFERROR(_xlfn.IFS(COUNTIF($AB$8:$AC$167,G106)&gt;0,"",AF106&lt;=1,"D",AF106=2,"C",AF106=3,"B",AF106=4,"A"),"")</f>
        <v/>
      </c>
      <c r="AH106" s="177" t="str">
        <f ca="1">_xlfn.IFNA(OFFSET('4.1(2)新規再エネ導入予定(合意形成)'!$Z$1,MATCH($G106,'4.1(2)新規再エネ導入予定(合意形成)'!$G:$G,0)-1,0),"")</f>
        <v/>
      </c>
      <c r="AI106" s="217" t="str">
        <f t="shared" si="22"/>
        <v/>
      </c>
      <c r="AJ106" s="177" t="str">
        <f t="shared" si="17"/>
        <v/>
      </c>
      <c r="AK106" s="224" t="str">
        <f>IF(V106&lt;&gt;1,"",SUM($V$8:V106))</f>
        <v/>
      </c>
      <c r="AL106" s="177">
        <f t="shared" si="18"/>
        <v>1</v>
      </c>
    </row>
    <row r="107" spans="2:38" ht="29">
      <c r="D107" s="239" t="s">
        <v>193</v>
      </c>
      <c r="F107" s="812"/>
      <c r="G107" s="813"/>
      <c r="N107" s="748"/>
      <c r="S107" s="325"/>
      <c r="T107" s="771"/>
      <c r="X107" s="224" t="s">
        <v>419</v>
      </c>
      <c r="Y107" s="177">
        <f t="shared" si="14"/>
        <v>100</v>
      </c>
      <c r="Z107" s="177" t="str">
        <f>IF(AA107&lt;&gt;"//",COUNTA($AA$8:AA107)-COUNTIF($AA$8:AA107,"//"),"")</f>
        <v/>
      </c>
      <c r="AA107" s="177" t="str">
        <f t="shared" si="21"/>
        <v>//</v>
      </c>
      <c r="AB107" s="177" t="str">
        <f ca="1">_xlfn.IFNA(IF(COUNTIF('4.1(2)新規再エネ導入予定(FS調査、系統接続検討状況)'!$G:$G,OFFSET($AA$7,MATCH($Y107,$Z$8:$Z$167,0),0))=0,OFFSET($AA$7,MATCH($Y107,$Z$8:$Z$167,0),0),""),"")</f>
        <v/>
      </c>
      <c r="AC107" s="177" t="str">
        <f ca="1">_xlfn.IFNA(IF(COUNTIF('4.1(2)新規再エネ導入予定(合意形成)'!$G:$G,OFFSET($AA$7,MATCH($Y107,$Z$8:$Z$167,0),0))=0,OFFSET($AA$7,MATCH($Y107,$Z$8:$Z$167,0),0),""),"")</f>
        <v/>
      </c>
      <c r="AD107" s="177" t="str">
        <f ca="1">_xlfn.IFNA(OFFSET('4.1(2)新規再エネ導入予定(FS調査、系統接続検討状況)'!$W$1,MATCH(G107,'4.1(2)新規再エネ導入予定(FS調査、系統接続検討状況)'!G:G,0)-1,0),"//")</f>
        <v>//</v>
      </c>
      <c r="AE107" s="264" t="str">
        <f ca="1">_xlfn.IFNA(OFFSET('4.1(2)新規再エネ導入予定(合意形成)'!$AJ$1,MATCH(G107,'4.1(2)新規再エネ導入予定(合意形成)'!G:G,0)-1,0),"//")</f>
        <v>//</v>
      </c>
      <c r="AF107" s="177">
        <f t="shared" ca="1" si="12"/>
        <v>0</v>
      </c>
      <c r="AG107" s="217" t="str" cm="1">
        <f t="array" aca="1" ref="AG107" ca="1">IFERROR(_xlfn.IFS(COUNTIF($AB$8:$AC$167,G107)&gt;0,"",AF107&lt;=1,"D",AF107=2,"C",AF107=3,"B",AF107=4,"A"),"")</f>
        <v/>
      </c>
      <c r="AH107" s="177" t="str">
        <f ca="1">_xlfn.IFNA(OFFSET('4.1(2)新規再エネ導入予定(合意形成)'!$Z$1,MATCH($G107,'4.1(2)新規再エネ導入予定(合意形成)'!$G:$G,0)-1,0),"")</f>
        <v/>
      </c>
      <c r="AI107" s="217" t="str">
        <f t="shared" si="22"/>
        <v/>
      </c>
      <c r="AJ107" s="177" t="str">
        <f t="shared" si="17"/>
        <v/>
      </c>
      <c r="AK107" s="224" t="str">
        <f>IF(V107&lt;&gt;1,"",SUM($V$8:V107))</f>
        <v/>
      </c>
      <c r="AL107" s="177">
        <f t="shared" si="18"/>
        <v>1</v>
      </c>
    </row>
    <row r="108" spans="2:38" ht="60">
      <c r="D108" s="16"/>
      <c r="E108" s="831"/>
      <c r="F108" s="898" t="s">
        <v>8</v>
      </c>
      <c r="G108" s="742" t="s">
        <v>186</v>
      </c>
      <c r="H108" s="742" t="s">
        <v>181</v>
      </c>
      <c r="I108" s="742" t="s">
        <v>9</v>
      </c>
      <c r="J108" s="742" t="s">
        <v>10</v>
      </c>
      <c r="K108" s="815" t="s">
        <v>11</v>
      </c>
      <c r="L108" s="757" t="s">
        <v>31</v>
      </c>
      <c r="M108" s="742" t="s">
        <v>13</v>
      </c>
      <c r="N108" s="749" t="s">
        <v>82</v>
      </c>
      <c r="O108" s="742" t="s">
        <v>192</v>
      </c>
      <c r="P108" s="742" t="s">
        <v>81</v>
      </c>
      <c r="Q108" s="743" t="s">
        <v>83</v>
      </c>
      <c r="R108" s="742" t="s">
        <v>14</v>
      </c>
      <c r="S108" s="742" t="s">
        <v>300</v>
      </c>
      <c r="T108" s="771"/>
      <c r="V108" s="436" t="s">
        <v>194</v>
      </c>
      <c r="X108" s="224" t="s">
        <v>419</v>
      </c>
      <c r="Y108" s="177">
        <f t="shared" si="14"/>
        <v>101</v>
      </c>
      <c r="Z108" s="177" t="str">
        <f>IF(AA108&lt;&gt;"//",COUNTA($AA$8:AA108)-COUNTIF($AA$8:AA108,"//"),"")</f>
        <v/>
      </c>
      <c r="AA108" s="177" t="str">
        <f t="shared" si="21"/>
        <v>//</v>
      </c>
      <c r="AB108" s="177" t="str">
        <f ca="1">_xlfn.IFNA(IF(COUNTIF('4.1(2)新規再エネ導入予定(FS調査、系統接続検討状況)'!$G:$G,OFFSET($AA$7,MATCH($Y108,$Z$8:$Z$167,0),0))=0,OFFSET($AA$7,MATCH($Y108,$Z$8:$Z$167,0),0),""),"")</f>
        <v/>
      </c>
      <c r="AC108" s="177" t="str">
        <f ca="1">_xlfn.IFNA(IF(COUNTIF('4.1(2)新規再エネ導入予定(合意形成)'!$G:$G,OFFSET($AA$7,MATCH($Y108,$Z$8:$Z$167,0),0))=0,OFFSET($AA$7,MATCH($Y108,$Z$8:$Z$167,0),0),""),"")</f>
        <v/>
      </c>
      <c r="AD108" s="177" t="str">
        <f ca="1">_xlfn.IFNA(OFFSET('4.1(2)新規再エネ導入予定(FS調査、系統接続検討状況)'!$W$1,MATCH(G108,'4.1(2)新規再エネ導入予定(FS調査、系統接続検討状況)'!G:G,0)-1,0),"//")</f>
        <v>採点</v>
      </c>
      <c r="AE108" s="264" t="str">
        <f ca="1">_xlfn.IFNA(OFFSET('4.1(2)新規再エネ導入予定(合意形成)'!$AJ$1,MATCH(G108,'4.1(2)新規再エネ導入予定(合意形成)'!G:G,0)-1,0),"//")</f>
        <v>施設
スコア</v>
      </c>
      <c r="AF108" s="177">
        <f t="shared" ca="1" si="12"/>
        <v>0</v>
      </c>
      <c r="AG108" s="217" t="str" cm="1">
        <f t="array" aca="1" ref="AG108" ca="1">IFERROR(_xlfn.IFS(COUNTIF($AB$8:$AC$167,G108)&gt;0,"",AF108&lt;=1,"D",AF108=2,"C",AF108=3,"B",AF108=4,"A"),"")</f>
        <v>D</v>
      </c>
      <c r="AH108" s="177" t="str">
        <f ca="1">_xlfn.IFNA(OFFSET('4.1(2)新規再エネ導入予定(合意形成)'!$Z$1,MATCH($G108,'4.1(2)新規再エネ導入予定(合意形成)'!$G:$G,0)-1,0),"")</f>
        <v>代表者数</v>
      </c>
      <c r="AI108" s="217" t="str">
        <f t="shared" ca="1" si="22"/>
        <v>D</v>
      </c>
      <c r="AJ108" s="177">
        <f t="shared" si="17"/>
        <v>1</v>
      </c>
      <c r="AK108" s="224" t="str">
        <f>IF(V108&lt;&gt;1,"",SUM($V$8:V108))</f>
        <v/>
      </c>
      <c r="AL108" s="177">
        <f t="shared" si="18"/>
        <v>1</v>
      </c>
    </row>
    <row r="109" spans="2:38" s="11" customFormat="1" ht="20" hidden="1">
      <c r="B109" s="21"/>
      <c r="C109" s="21"/>
      <c r="D109" s="22"/>
      <c r="E109" s="832"/>
      <c r="F109" s="781"/>
      <c r="G109" s="782"/>
      <c r="H109" s="783"/>
      <c r="I109" s="783"/>
      <c r="J109" s="784"/>
      <c r="K109" s="784"/>
      <c r="L109" s="901"/>
      <c r="M109" s="902"/>
      <c r="N109" s="907"/>
      <c r="O109" s="798"/>
      <c r="P109" s="902"/>
      <c r="Q109" s="908"/>
      <c r="R109" s="798"/>
      <c r="S109" s="785" t="str">
        <f>IF(G109="","",AG109)</f>
        <v/>
      </c>
      <c r="T109" s="786"/>
      <c r="U109" s="116"/>
      <c r="V109" s="787"/>
      <c r="X109" s="127" t="s">
        <v>419</v>
      </c>
      <c r="Y109" s="257">
        <f t="shared" si="14"/>
        <v>102</v>
      </c>
      <c r="Z109" s="257" t="str">
        <f>IF(AA109&lt;&gt;"//",COUNTA($AA$8:AA109)-COUNTIF($AA$8:AA109,"//"),"")</f>
        <v/>
      </c>
      <c r="AA109" s="257" t="str">
        <f t="shared" si="21"/>
        <v>//</v>
      </c>
      <c r="AB109" s="257" t="str">
        <f ca="1">_xlfn.IFNA(IF(COUNTIF('4.1(2)新規再エネ導入予定(FS調査、系統接続検討状況)'!$G:$G,OFFSET($AA$7,MATCH($Y109,$Z$8:$Z$167,0),0))=0,OFFSET($AA$7,MATCH($Y109,$Z$8:$Z$167,0),0),""),"")</f>
        <v/>
      </c>
      <c r="AC109" s="257" t="str">
        <f ca="1">_xlfn.IFNA(IF(COUNTIF('4.1(2)新規再エネ導入予定(合意形成)'!$G:$G,OFFSET($AA$7,MATCH($Y109,$Z$8:$Z$167,0),0))=0,OFFSET($AA$7,MATCH($Y109,$Z$8:$Z$167,0),0),""),"")</f>
        <v/>
      </c>
      <c r="AD109" s="257" t="str">
        <f ca="1">_xlfn.IFNA(OFFSET('4.1(2)新規再エネ導入予定(FS調査、系統接続検討状況)'!$W$1,MATCH(G109,'4.1(2)新規再エネ導入予定(FS調査、系統接続検討状況)'!G:G,0)-1,0),"//")</f>
        <v>//</v>
      </c>
      <c r="AE109" s="279" t="str">
        <f ca="1">_xlfn.IFNA(OFFSET('4.1(2)新規再エネ導入予定(合意形成)'!$AJ$1,MATCH(G109,'4.1(2)新規再エネ導入予定(合意形成)'!G:G,0)-1,0),"//")</f>
        <v>//</v>
      </c>
      <c r="AF109" s="257">
        <f t="shared" ca="1" si="12"/>
        <v>0</v>
      </c>
      <c r="AG109" s="131" t="str" cm="1">
        <f t="array" aca="1" ref="AG109" ca="1">IFERROR(_xlfn.IFS(COUNTIF($AB$8:$AC$167,G109)&gt;0,"",AF109&lt;=1,"D",AF109=2,"C",AF109=3,"B",AF109=4,"A"),"")</f>
        <v/>
      </c>
      <c r="AH109" s="257" t="str">
        <f ca="1">_xlfn.IFNA(OFFSET('4.1(2)新規再エネ導入予定(合意形成)'!$Z$1,MATCH($G109,'4.1(2)新規再エネ導入予定(合意形成)'!$G:$G,0)-1,0),"")</f>
        <v/>
      </c>
      <c r="AI109" s="131" t="str">
        <f t="shared" si="22"/>
        <v/>
      </c>
      <c r="AJ109" s="257" t="str">
        <f t="shared" si="17"/>
        <v/>
      </c>
      <c r="AK109" s="127" t="str">
        <f>IF(V109&lt;&gt;1,"",SUM($V$8:V109))</f>
        <v/>
      </c>
      <c r="AL109" s="257">
        <f t="shared" si="18"/>
        <v>1</v>
      </c>
    </row>
    <row r="110" spans="2:38" s="11" customFormat="1" ht="20">
      <c r="B110" s="21"/>
      <c r="C110" s="21"/>
      <c r="D110" s="22"/>
      <c r="E110" s="832"/>
      <c r="F110" s="788"/>
      <c r="G110" s="789"/>
      <c r="H110" s="790"/>
      <c r="I110" s="790"/>
      <c r="J110" s="791"/>
      <c r="K110" s="791"/>
      <c r="L110" s="731"/>
      <c r="M110" s="904"/>
      <c r="N110" s="907"/>
      <c r="O110" s="795"/>
      <c r="P110" s="904"/>
      <c r="Q110" s="908"/>
      <c r="R110" s="795"/>
      <c r="S110" s="793" t="str">
        <f>IF(G110="","",AG110)</f>
        <v/>
      </c>
      <c r="T110" s="786"/>
      <c r="U110" s="116"/>
      <c r="V110" s="794" t="str">
        <f>IF(H110&lt;&gt;"",1,"")</f>
        <v/>
      </c>
      <c r="X110" s="127" t="s">
        <v>419</v>
      </c>
      <c r="Y110" s="257">
        <f t="shared" si="14"/>
        <v>103</v>
      </c>
      <c r="Z110" s="257" t="str">
        <f>IF(AA110&lt;&gt;"//",COUNTA($AA$8:AA110)-COUNTIF($AA$8:AA110,"//"),"")</f>
        <v/>
      </c>
      <c r="AA110" s="257" t="str">
        <f t="shared" si="21"/>
        <v>//</v>
      </c>
      <c r="AB110" s="257" t="str">
        <f ca="1">_xlfn.IFNA(IF(COUNTIF('4.1(2)新規再エネ導入予定(FS調査、系統接続検討状況)'!$G:$G,OFFSET($AA$7,MATCH($Y110,$Z$8:$Z$167,0),0))=0,OFFSET($AA$7,MATCH($Y110,$Z$8:$Z$167,0),0),""),"")</f>
        <v/>
      </c>
      <c r="AC110" s="257" t="str">
        <f ca="1">_xlfn.IFNA(IF(COUNTIF('4.1(2)新規再エネ導入予定(合意形成)'!$G:$G,OFFSET($AA$7,MATCH($Y110,$Z$8:$Z$167,0),0))=0,OFFSET($AA$7,MATCH($Y110,$Z$8:$Z$167,0),0),""),"")</f>
        <v/>
      </c>
      <c r="AD110" s="257" t="str">
        <f ca="1">_xlfn.IFNA(OFFSET('4.1(2)新規再エネ導入予定(FS調査、系統接続検討状況)'!$W$1,MATCH(G110,'4.1(2)新規再エネ導入予定(FS調査、系統接続検討状況)'!G:G,0)-1,0),"//")</f>
        <v>//</v>
      </c>
      <c r="AE110" s="279" t="str">
        <f ca="1">_xlfn.IFNA(OFFSET('4.1(2)新規再エネ導入予定(合意形成)'!$AJ$1,MATCH(G110,'4.1(2)新規再エネ導入予定(合意形成)'!G:G,0)-1,0),"//")</f>
        <v>//</v>
      </c>
      <c r="AF110" s="257">
        <f t="shared" ca="1" si="12"/>
        <v>0</v>
      </c>
      <c r="AG110" s="131" t="str" cm="1">
        <f t="array" aca="1" ref="AG110" ca="1">IFERROR(_xlfn.IFS(COUNTIF($AB$8:$AC$167,G110)&gt;0,"",AF110&lt;=1,"D",AF110=2,"C",AF110=3,"B",AF110=4,"A"),"")</f>
        <v/>
      </c>
      <c r="AH110" s="257" t="str">
        <f ca="1">_xlfn.IFNA(OFFSET('4.1(2)新規再エネ導入予定(合意形成)'!$Z$1,MATCH($G110,'4.1(2)新規再エネ導入予定(合意形成)'!$G:$G,0)-1,0),"")</f>
        <v/>
      </c>
      <c r="AI110" s="131" t="str">
        <f t="shared" si="22"/>
        <v/>
      </c>
      <c r="AJ110" s="257" t="str">
        <f t="shared" si="17"/>
        <v/>
      </c>
      <c r="AK110" s="127" t="str">
        <f>IF(V110&lt;&gt;1,"",SUM($V$8:V110))</f>
        <v/>
      </c>
      <c r="AL110" s="257">
        <f t="shared" si="18"/>
        <v>1</v>
      </c>
    </row>
    <row r="111" spans="2:38" s="11" customFormat="1" ht="20">
      <c r="B111" s="21"/>
      <c r="C111" s="21"/>
      <c r="D111" s="22"/>
      <c r="E111" s="832"/>
      <c r="F111" s="788"/>
      <c r="G111" s="789"/>
      <c r="H111" s="790"/>
      <c r="I111" s="790"/>
      <c r="J111" s="791"/>
      <c r="K111" s="791"/>
      <c r="L111" s="731"/>
      <c r="M111" s="904"/>
      <c r="N111" s="907"/>
      <c r="O111" s="795"/>
      <c r="P111" s="904"/>
      <c r="Q111" s="908"/>
      <c r="R111" s="795"/>
      <c r="S111" s="793" t="str">
        <f>IF(G111="","",AG111)</f>
        <v/>
      </c>
      <c r="T111" s="786"/>
      <c r="U111" s="116"/>
      <c r="V111" s="794" t="str">
        <f>IF(H111&lt;&gt;"",1,"")</f>
        <v/>
      </c>
      <c r="X111" s="127" t="s">
        <v>419</v>
      </c>
      <c r="Y111" s="257">
        <f t="shared" si="14"/>
        <v>104</v>
      </c>
      <c r="Z111" s="257" t="str">
        <f>IF(AA111&lt;&gt;"//",COUNTA($AA$8:AA111)-COUNTIF($AA$8:AA111,"//"),"")</f>
        <v/>
      </c>
      <c r="AA111" s="257" t="str">
        <f t="shared" si="21"/>
        <v>//</v>
      </c>
      <c r="AB111" s="257" t="str">
        <f ca="1">_xlfn.IFNA(IF(COUNTIF('4.1(2)新規再エネ導入予定(FS調査、系統接続検討状況)'!$G:$G,OFFSET($AA$7,MATCH($Y111,$Z$8:$Z$167,0),0))=0,OFFSET($AA$7,MATCH($Y111,$Z$8:$Z$167,0),0),""),"")</f>
        <v/>
      </c>
      <c r="AC111" s="257" t="str">
        <f ca="1">_xlfn.IFNA(IF(COUNTIF('4.1(2)新規再エネ導入予定(合意形成)'!$G:$G,OFFSET($AA$7,MATCH($Y111,$Z$8:$Z$167,0),0))=0,OFFSET($AA$7,MATCH($Y111,$Z$8:$Z$167,0),0),""),"")</f>
        <v/>
      </c>
      <c r="AD111" s="257" t="str">
        <f ca="1">_xlfn.IFNA(OFFSET('4.1(2)新規再エネ導入予定(FS調査、系統接続検討状況)'!$W$1,MATCH(G111,'4.1(2)新規再エネ導入予定(FS調査、系統接続検討状況)'!G:G,0)-1,0),"//")</f>
        <v>//</v>
      </c>
      <c r="AE111" s="279" t="str">
        <f ca="1">_xlfn.IFNA(OFFSET('4.1(2)新規再エネ導入予定(合意形成)'!$AJ$1,MATCH(G111,'4.1(2)新規再エネ導入予定(合意形成)'!G:G,0)-1,0),"//")</f>
        <v>//</v>
      </c>
      <c r="AF111" s="257">
        <f t="shared" ca="1" si="12"/>
        <v>0</v>
      </c>
      <c r="AG111" s="131" t="str" cm="1">
        <f t="array" aca="1" ref="AG111" ca="1">IFERROR(_xlfn.IFS(COUNTIF($AB$8:$AC$167,G111)&gt;0,"",AF111&lt;=1,"D",AF111=2,"C",AF111=3,"B",AF111=4,"A"),"")</f>
        <v/>
      </c>
      <c r="AH111" s="257" t="str">
        <f ca="1">_xlfn.IFNA(OFFSET('4.1(2)新規再エネ導入予定(合意形成)'!$Z$1,MATCH($G111,'4.1(2)新規再エネ導入予定(合意形成)'!$G:$G,0)-1,0),"")</f>
        <v/>
      </c>
      <c r="AI111" s="131" t="str">
        <f t="shared" si="22"/>
        <v/>
      </c>
      <c r="AJ111" s="257" t="str">
        <f t="shared" si="17"/>
        <v/>
      </c>
      <c r="AK111" s="127" t="str">
        <f>IF(V111&lt;&gt;1,"",SUM($V$8:V111))</f>
        <v/>
      </c>
      <c r="AL111" s="257">
        <f t="shared" si="18"/>
        <v>1</v>
      </c>
    </row>
    <row r="112" spans="2:38" s="11" customFormat="1" ht="20">
      <c r="B112" s="21"/>
      <c r="C112" s="21"/>
      <c r="D112" s="22"/>
      <c r="E112" s="832"/>
      <c r="F112" s="788"/>
      <c r="G112" s="789"/>
      <c r="H112" s="790"/>
      <c r="I112" s="790"/>
      <c r="J112" s="791"/>
      <c r="K112" s="791"/>
      <c r="L112" s="731"/>
      <c r="M112" s="734"/>
      <c r="N112" s="907"/>
      <c r="O112" s="795"/>
      <c r="P112" s="904"/>
      <c r="Q112" s="908"/>
      <c r="R112" s="795"/>
      <c r="S112" s="793" t="str">
        <f>IF(G112="","",AG112)</f>
        <v/>
      </c>
      <c r="T112" s="786"/>
      <c r="U112" s="116"/>
      <c r="V112" s="794" t="str">
        <f>IF(H112&lt;&gt;"",1,"")</f>
        <v/>
      </c>
      <c r="X112" s="127" t="s">
        <v>419</v>
      </c>
      <c r="Y112" s="257">
        <f t="shared" si="14"/>
        <v>105</v>
      </c>
      <c r="Z112" s="257" t="str">
        <f>IF(AA112&lt;&gt;"//",COUNTA($AA$8:AA112)-COUNTIF($AA$8:AA112,"//"),"")</f>
        <v/>
      </c>
      <c r="AA112" s="257" t="str">
        <f t="shared" si="21"/>
        <v>//</v>
      </c>
      <c r="AB112" s="257" t="str">
        <f ca="1">_xlfn.IFNA(IF(COUNTIF('4.1(2)新規再エネ導入予定(FS調査、系統接続検討状況)'!$G:$G,OFFSET($AA$7,MATCH($Y112,$Z$8:$Z$167,0),0))=0,OFFSET($AA$7,MATCH($Y112,$Z$8:$Z$167,0),0),""),"")</f>
        <v/>
      </c>
      <c r="AC112" s="257" t="str">
        <f ca="1">_xlfn.IFNA(IF(COUNTIF('4.1(2)新規再エネ導入予定(合意形成)'!$G:$G,OFFSET($AA$7,MATCH($Y112,$Z$8:$Z$167,0),0))=0,OFFSET($AA$7,MATCH($Y112,$Z$8:$Z$167,0),0),""),"")</f>
        <v/>
      </c>
      <c r="AD112" s="257" t="str">
        <f ca="1">_xlfn.IFNA(OFFSET('4.1(2)新規再エネ導入予定(FS調査、系統接続検討状況)'!$W$1,MATCH(G112,'4.1(2)新規再エネ導入予定(FS調査、系統接続検討状況)'!G:G,0)-1,0),"//")</f>
        <v>//</v>
      </c>
      <c r="AE112" s="279" t="str">
        <f ca="1">_xlfn.IFNA(OFFSET('4.1(2)新規再エネ導入予定(合意形成)'!$AJ$1,MATCH(G112,'4.1(2)新規再エネ導入予定(合意形成)'!G:G,0)-1,0),"//")</f>
        <v>//</v>
      </c>
      <c r="AF112" s="257">
        <f t="shared" ca="1" si="12"/>
        <v>0</v>
      </c>
      <c r="AG112" s="131" t="str" cm="1">
        <f t="array" aca="1" ref="AG112" ca="1">IFERROR(_xlfn.IFS(COUNTIF($AB$8:$AC$167,G112)&gt;0,"",AF112&lt;=1,"D",AF112=2,"C",AF112=3,"B",AF112=4,"A"),"")</f>
        <v/>
      </c>
      <c r="AH112" s="257" t="str">
        <f ca="1">_xlfn.IFNA(OFFSET('4.1(2)新規再エネ導入予定(合意形成)'!$Z$1,MATCH($G112,'4.1(2)新規再エネ導入予定(合意形成)'!$G:$G,0)-1,0),"")</f>
        <v/>
      </c>
      <c r="AI112" s="131" t="str">
        <f t="shared" si="22"/>
        <v/>
      </c>
      <c r="AJ112" s="257" t="str">
        <f t="shared" si="17"/>
        <v/>
      </c>
      <c r="AK112" s="127" t="str">
        <f>IF(V112&lt;&gt;1,"",SUM($V$8:V112))</f>
        <v/>
      </c>
      <c r="AL112" s="257">
        <f t="shared" si="18"/>
        <v>1</v>
      </c>
    </row>
    <row r="113" spans="2:38" ht="20">
      <c r="D113" s="16"/>
      <c r="E113" s="833"/>
      <c r="F113" s="816" t="s">
        <v>26</v>
      </c>
      <c r="G113" s="802"/>
      <c r="H113" s="802"/>
      <c r="I113" s="802"/>
      <c r="J113" s="802"/>
      <c r="K113" s="802"/>
      <c r="L113" s="758"/>
      <c r="M113" s="502">
        <f ca="1">SUM(INDIRECT("M"&amp;ROW(M108)&amp;":M"&amp;ROW()-1))</f>
        <v>0</v>
      </c>
      <c r="N113" s="750"/>
      <c r="O113" s="817"/>
      <c r="P113" s="710">
        <f ca="1">SUM(INDIRECT("P"&amp;ROW(P108)&amp;":P"&amp;ROW()-1))</f>
        <v>0</v>
      </c>
      <c r="Q113" s="744" t="s">
        <v>90</v>
      </c>
      <c r="R113" s="806"/>
      <c r="S113" s="803"/>
      <c r="T113" s="771"/>
      <c r="V113" s="224" t="str">
        <f t="shared" ref="V113" si="23">IF(H113&lt;&gt;"",1,"")</f>
        <v/>
      </c>
      <c r="X113" s="224" t="s">
        <v>419</v>
      </c>
      <c r="Y113" s="177">
        <f t="shared" si="14"/>
        <v>106</v>
      </c>
      <c r="Z113" s="177" t="str">
        <f>IF(AA113&lt;&gt;"//",COUNTA($AA$8:AA113)-COUNTIF($AA$8:AA113,"//"),"")</f>
        <v/>
      </c>
      <c r="AA113" s="177" t="str">
        <f t="shared" si="21"/>
        <v>//</v>
      </c>
      <c r="AB113" s="177" t="str">
        <f ca="1">_xlfn.IFNA(IF(COUNTIF('4.1(2)新規再エネ導入予定(FS調査、系統接続検討状況)'!$G:$G,OFFSET($AA$7,MATCH($Y113,$Z$8:$Z$167,0),0))=0,OFFSET($AA$7,MATCH($Y113,$Z$8:$Z$167,0),0),""),"")</f>
        <v/>
      </c>
      <c r="AC113" s="177" t="str">
        <f ca="1">_xlfn.IFNA(IF(COUNTIF('4.1(2)新規再エネ導入予定(合意形成)'!$G:$G,OFFSET($AA$7,MATCH($Y113,$Z$8:$Z$167,0),0))=0,OFFSET($AA$7,MATCH($Y113,$Z$8:$Z$167,0),0),""),"")</f>
        <v/>
      </c>
      <c r="AD113" s="177" t="str">
        <f ca="1">_xlfn.IFNA(OFFSET('4.1(2)新規再エネ導入予定(FS調査、系統接続検討状況)'!$W$1,MATCH(G113,'4.1(2)新規再エネ導入予定(FS調査、系統接続検討状況)'!G:G,0)-1,0),"//")</f>
        <v>//</v>
      </c>
      <c r="AE113" s="264" t="str">
        <f ca="1">_xlfn.IFNA(OFFSET('4.1(2)新規再エネ導入予定(合意形成)'!$AJ$1,MATCH(G113,'4.1(2)新規再エネ導入予定(合意形成)'!G:G,0)-1,0),"//")</f>
        <v>//</v>
      </c>
      <c r="AF113" s="177">
        <f t="shared" ca="1" si="12"/>
        <v>0</v>
      </c>
      <c r="AG113" s="217" t="str" cm="1">
        <f t="array" aca="1" ref="AG113" ca="1">IFERROR(_xlfn.IFS(COUNTIF($AB$8:$AC$167,G113)&gt;0,"",AF113&lt;=1,"D",AF113=2,"C",AF113=3,"B",AF113=4,"A"),"")</f>
        <v/>
      </c>
      <c r="AH113" s="177" t="str">
        <f ca="1">_xlfn.IFNA(OFFSET('4.1(2)新規再エネ導入予定(合意形成)'!$Z$1,MATCH($G113,'4.1(2)新規再エネ導入予定(合意形成)'!$G:$G,0)-1,0),"")</f>
        <v/>
      </c>
      <c r="AI113" s="217" t="str">
        <f t="shared" si="22"/>
        <v/>
      </c>
      <c r="AJ113" s="177" t="str">
        <f t="shared" si="17"/>
        <v/>
      </c>
      <c r="AK113" s="224" t="str">
        <f>IF(V113&lt;&gt;1,"",SUM($V$8:V113))</f>
        <v/>
      </c>
      <c r="AL113" s="177">
        <f t="shared" si="18"/>
        <v>1</v>
      </c>
    </row>
    <row r="114" spans="2:38">
      <c r="D114" s="46"/>
      <c r="E114" s="470"/>
      <c r="F114" s="470"/>
      <c r="G114" s="470"/>
      <c r="H114" s="470"/>
      <c r="I114" s="470"/>
      <c r="J114" s="470"/>
      <c r="K114" s="470"/>
      <c r="L114" s="759"/>
      <c r="M114" s="470"/>
      <c r="N114" s="473"/>
      <c r="O114" s="808"/>
      <c r="P114" s="470"/>
      <c r="Q114" s="473"/>
      <c r="R114" s="808"/>
      <c r="S114" s="470"/>
      <c r="T114" s="809"/>
      <c r="X114" s="224" t="s">
        <v>419</v>
      </c>
      <c r="Y114" s="177">
        <f t="shared" si="14"/>
        <v>107</v>
      </c>
      <c r="Z114" s="177" t="str">
        <f>IF(AA114&lt;&gt;"//",COUNTA($AA$8:AA114)-COUNTIF($AA$8:AA114,"//"),"")</f>
        <v/>
      </c>
      <c r="AA114" s="177" t="str">
        <f t="shared" si="21"/>
        <v>//</v>
      </c>
      <c r="AB114" s="177" t="str">
        <f ca="1">_xlfn.IFNA(IF(COUNTIF('4.1(2)新規再エネ導入予定(FS調査、系統接続検討状況)'!$G:$G,OFFSET($AA$7,MATCH($Y114,$Z$8:$Z$167,0),0))=0,OFFSET($AA$7,MATCH($Y114,$Z$8:$Z$167,0),0),""),"")</f>
        <v/>
      </c>
      <c r="AC114" s="177" t="str">
        <f ca="1">_xlfn.IFNA(IF(COUNTIF('4.1(2)新規再エネ導入予定(合意形成)'!$G:$G,OFFSET($AA$7,MATCH($Y114,$Z$8:$Z$167,0),0))=0,OFFSET($AA$7,MATCH($Y114,$Z$8:$Z$167,0),0),""),"")</f>
        <v/>
      </c>
      <c r="AD114" s="177" t="str">
        <f ca="1">_xlfn.IFNA(OFFSET('4.1(2)新規再エネ導入予定(FS調査、系統接続検討状況)'!$W$1,MATCH(G114,'4.1(2)新規再エネ導入予定(FS調査、系統接続検討状況)'!G:G,0)-1,0),"//")</f>
        <v>//</v>
      </c>
      <c r="AE114" s="264" t="str">
        <f ca="1">_xlfn.IFNA(OFFSET('4.1(2)新規再エネ導入予定(合意形成)'!$AJ$1,MATCH(G114,'4.1(2)新規再エネ導入予定(合意形成)'!G:G,0)-1,0),"//")</f>
        <v>//</v>
      </c>
      <c r="AF114" s="177">
        <f t="shared" ca="1" si="12"/>
        <v>0</v>
      </c>
      <c r="AG114" s="217" t="str" cm="1">
        <f t="array" aca="1" ref="AG114" ca="1">IFERROR(_xlfn.IFS(COUNTIF($AB$8:$AC$167,G114)&gt;0,"",AF114&lt;=1,"D",AF114=2,"C",AF114=3,"B",AF114=4,"A"),"")</f>
        <v/>
      </c>
      <c r="AH114" s="177" t="str">
        <f ca="1">_xlfn.IFNA(OFFSET('4.1(2)新規再エネ導入予定(合意形成)'!$Z$1,MATCH($G114,'4.1(2)新規再エネ導入予定(合意形成)'!$G:$G,0)-1,0),"")</f>
        <v/>
      </c>
      <c r="AI114" s="217" t="str">
        <f t="shared" si="22"/>
        <v/>
      </c>
      <c r="AJ114" s="177" t="str">
        <f t="shared" si="17"/>
        <v/>
      </c>
      <c r="AK114" s="224" t="str">
        <f>IF(V114&lt;&gt;1,"",SUM($V$8:V114))</f>
        <v/>
      </c>
      <c r="AL114" s="177">
        <f t="shared" si="18"/>
        <v>1</v>
      </c>
    </row>
    <row r="115" spans="2:38">
      <c r="F115" s="741"/>
      <c r="G115" s="741"/>
      <c r="H115" s="741"/>
      <c r="I115" s="741"/>
      <c r="J115" s="741"/>
      <c r="K115" s="741"/>
      <c r="L115" s="756"/>
      <c r="M115" s="741"/>
      <c r="N115" s="746"/>
      <c r="O115" s="810"/>
      <c r="P115" s="741"/>
      <c r="X115" s="224" t="s">
        <v>419</v>
      </c>
      <c r="Y115" s="177">
        <f t="shared" si="14"/>
        <v>108</v>
      </c>
      <c r="Z115" s="177" t="str">
        <f>IF(AA115&lt;&gt;"//",COUNTA($AA$8:AA115)-COUNTIF($AA$8:AA115,"//"),"")</f>
        <v/>
      </c>
      <c r="AA115" s="177" t="str">
        <f t="shared" si="21"/>
        <v>//</v>
      </c>
      <c r="AB115" s="177" t="str">
        <f ca="1">_xlfn.IFNA(IF(COUNTIF('4.1(2)新規再エネ導入予定(FS調査、系統接続検討状況)'!$G:$G,OFFSET($AA$7,MATCH($Y115,$Z$8:$Z$167,0),0))=0,OFFSET($AA$7,MATCH($Y115,$Z$8:$Z$167,0),0),""),"")</f>
        <v/>
      </c>
      <c r="AC115" s="177" t="str">
        <f ca="1">_xlfn.IFNA(IF(COUNTIF('4.1(2)新規再エネ導入予定(合意形成)'!$G:$G,OFFSET($AA$7,MATCH($Y115,$Z$8:$Z$167,0),0))=0,OFFSET($AA$7,MATCH($Y115,$Z$8:$Z$167,0),0),""),"")</f>
        <v/>
      </c>
      <c r="AD115" s="177" t="str">
        <f ca="1">_xlfn.IFNA(OFFSET('4.1(2)新規再エネ導入予定(FS調査、系統接続検討状況)'!$W$1,MATCH(G115,'4.1(2)新規再エネ導入予定(FS調査、系統接続検討状況)'!G:G,0)-1,0),"//")</f>
        <v>//</v>
      </c>
      <c r="AE115" s="264" t="str">
        <f ca="1">_xlfn.IFNA(OFFSET('4.1(2)新規再エネ導入予定(合意形成)'!$AJ$1,MATCH(G115,'4.1(2)新規再エネ導入予定(合意形成)'!G:G,0)-1,0),"//")</f>
        <v>//</v>
      </c>
      <c r="AF115" s="177">
        <f t="shared" ca="1" si="12"/>
        <v>0</v>
      </c>
      <c r="AG115" s="217" t="str" cm="1">
        <f t="array" aca="1" ref="AG115" ca="1">IFERROR(_xlfn.IFS(COUNTIF($AB$8:$AC$167,G115)&gt;0,"",AF115&lt;=1,"D",AF115=2,"C",AF115=3,"B",AF115=4,"A"),"")</f>
        <v/>
      </c>
      <c r="AH115" s="177" t="str">
        <f ca="1">_xlfn.IFNA(OFFSET('4.1(2)新規再エネ導入予定(合意形成)'!$Z$1,MATCH($G115,'4.1(2)新規再エネ導入予定(合意形成)'!$G:$G,0)-1,0),"")</f>
        <v/>
      </c>
      <c r="AI115" s="217" t="str">
        <f t="shared" si="22"/>
        <v/>
      </c>
      <c r="AJ115" s="177" t="str">
        <f t="shared" si="17"/>
        <v/>
      </c>
      <c r="AK115" s="224" t="str">
        <f>IF(V115&lt;&gt;1,"",SUM($V$8:V115))</f>
        <v/>
      </c>
      <c r="AL115" s="177">
        <f t="shared" si="18"/>
        <v>1</v>
      </c>
    </row>
    <row r="116" spans="2:38" ht="9.75" customHeight="1">
      <c r="D116" s="14"/>
      <c r="E116" s="463"/>
      <c r="F116" s="463"/>
      <c r="G116" s="811"/>
      <c r="H116" s="463"/>
      <c r="I116" s="463"/>
      <c r="J116" s="463"/>
      <c r="K116" s="463"/>
      <c r="L116" s="753"/>
      <c r="M116" s="463"/>
      <c r="N116" s="747"/>
      <c r="O116" s="769"/>
      <c r="P116" s="463"/>
      <c r="Q116" s="466"/>
      <c r="R116" s="769"/>
      <c r="S116" s="463"/>
      <c r="T116" s="770"/>
      <c r="X116" s="224" t="s">
        <v>420</v>
      </c>
      <c r="Y116" s="177">
        <f t="shared" si="14"/>
        <v>109</v>
      </c>
      <c r="Z116" s="177" t="str">
        <f>IF(AA116&lt;&gt;"//",COUNTA($AA$8:AA116)-COUNTIF($AA$8:AA116,"//"),"")</f>
        <v/>
      </c>
      <c r="AA116" s="177" t="str">
        <f t="shared" si="21"/>
        <v>//</v>
      </c>
      <c r="AB116" s="177" t="str">
        <f ca="1">_xlfn.IFNA(IF(COUNTIF('4.1(2)新規再エネ導入予定(FS調査、系統接続検討状況)'!$G:$G,OFFSET($AA$7,MATCH($Y116,$Z$8:$Z$167,0),0))=0,OFFSET($AA$7,MATCH($Y116,$Z$8:$Z$167,0),0),""),"")</f>
        <v/>
      </c>
      <c r="AC116" s="177" t="str">
        <f ca="1">_xlfn.IFNA(IF(COUNTIF('4.1(2)新規再エネ導入予定(合意形成)'!$G:$G,OFFSET($AA$7,MATCH($Y116,$Z$8:$Z$167,0),0))=0,OFFSET($AA$7,MATCH($Y116,$Z$8:$Z$167,0),0),""),"")</f>
        <v/>
      </c>
      <c r="AD116" s="177" t="str">
        <f ca="1">_xlfn.IFNA(OFFSET('4.1(2)新規再エネ導入予定(FS調査、系統接続検討状況)'!$W$1,MATCH(G116,'4.1(2)新規再エネ導入予定(FS調査、系統接続検討状況)'!G:G,0)-1,0),"//")</f>
        <v>//</v>
      </c>
      <c r="AE116" s="264" t="str">
        <f ca="1">_xlfn.IFNA(OFFSET('4.1(2)新規再エネ導入予定(合意形成)'!$AJ$1,MATCH(G116,'4.1(2)新規再エネ導入予定(合意形成)'!G:G,0)-1,0),"//")</f>
        <v>//</v>
      </c>
      <c r="AF116" s="177">
        <f t="shared" ca="1" si="12"/>
        <v>0</v>
      </c>
      <c r="AG116" s="217" t="str" cm="1">
        <f t="array" aca="1" ref="AG116" ca="1">IFERROR(_xlfn.IFS(COUNTIF($AB$8:$AC$167,G116)&gt;0,"",AF116&lt;=1,"D",AF116=2,"C",AF116=3,"B",AF116=4,"A"),"")</f>
        <v/>
      </c>
      <c r="AH116" s="177" t="str">
        <f ca="1">_xlfn.IFNA(OFFSET('4.1(2)新規再エネ導入予定(合意形成)'!$Z$1,MATCH($G116,'4.1(2)新規再エネ導入予定(合意形成)'!$G:$G,0)-1,0),"")</f>
        <v/>
      </c>
      <c r="AI116" s="217" t="str">
        <f t="shared" si="22"/>
        <v/>
      </c>
      <c r="AJ116" s="177" t="str">
        <f t="shared" si="17"/>
        <v/>
      </c>
      <c r="AK116" s="224" t="str">
        <f>IF(V116&lt;&gt;1,"",SUM($V$8:V116))</f>
        <v/>
      </c>
      <c r="AL116" s="177">
        <f t="shared" si="18"/>
        <v>1</v>
      </c>
    </row>
    <row r="117" spans="2:38" ht="29">
      <c r="D117" s="239" t="s">
        <v>189</v>
      </c>
      <c r="F117" s="812"/>
      <c r="G117" s="813"/>
      <c r="N117" s="748"/>
      <c r="S117" s="325"/>
      <c r="T117" s="771"/>
      <c r="X117" s="224" t="s">
        <v>420</v>
      </c>
      <c r="Y117" s="177">
        <f t="shared" si="14"/>
        <v>110</v>
      </c>
      <c r="Z117" s="177" t="str">
        <f>IF(AA117&lt;&gt;"//",COUNTA($AA$8:AA117)-COUNTIF($AA$8:AA117,"//"),"")</f>
        <v/>
      </c>
      <c r="AA117" s="177" t="str">
        <f t="shared" si="21"/>
        <v>//</v>
      </c>
      <c r="AB117" s="177" t="str">
        <f ca="1">_xlfn.IFNA(IF(COUNTIF('4.1(2)新規再エネ導入予定(FS調査、系統接続検討状況)'!$G:$G,OFFSET($AA$7,MATCH($Y117,$Z$8:$Z$167,0),0))=0,OFFSET($AA$7,MATCH($Y117,$Z$8:$Z$167,0),0),""),"")</f>
        <v/>
      </c>
      <c r="AC117" s="177" t="str">
        <f ca="1">_xlfn.IFNA(IF(COUNTIF('4.1(2)新規再エネ導入予定(合意形成)'!$G:$G,OFFSET($AA$7,MATCH($Y117,$Z$8:$Z$167,0),0))=0,OFFSET($AA$7,MATCH($Y117,$Z$8:$Z$167,0),0),""),"")</f>
        <v/>
      </c>
      <c r="AD117" s="177" t="str">
        <f ca="1">_xlfn.IFNA(OFFSET('4.1(2)新規再エネ導入予定(FS調査、系統接続検討状況)'!$W$1,MATCH(G117,'4.1(2)新規再エネ導入予定(FS調査、系統接続検討状況)'!G:G,0)-1,0),"//")</f>
        <v>//</v>
      </c>
      <c r="AE117" s="264" t="str">
        <f ca="1">_xlfn.IFNA(OFFSET('4.1(2)新規再エネ導入予定(合意形成)'!$AJ$1,MATCH(G117,'4.1(2)新規再エネ導入予定(合意形成)'!G:G,0)-1,0),"//")</f>
        <v>//</v>
      </c>
      <c r="AF117" s="177">
        <f t="shared" ca="1" si="12"/>
        <v>0</v>
      </c>
      <c r="AG117" s="217" t="str" cm="1">
        <f t="array" aca="1" ref="AG117" ca="1">IFERROR(_xlfn.IFS(COUNTIF($AB$8:$AC$167,G117)&gt;0,"",AF117&lt;=1,"D",AF117=2,"C",AF117=3,"B",AF117=4,"A"),"")</f>
        <v/>
      </c>
      <c r="AH117" s="177" t="str">
        <f ca="1">_xlfn.IFNA(OFFSET('4.1(2)新規再エネ導入予定(合意形成)'!$Z$1,MATCH($G117,'4.1(2)新規再エネ導入予定(合意形成)'!$G:$G,0)-1,0),"")</f>
        <v/>
      </c>
      <c r="AI117" s="217" t="str">
        <f t="shared" si="22"/>
        <v/>
      </c>
      <c r="AJ117" s="177" t="str">
        <f t="shared" si="17"/>
        <v/>
      </c>
      <c r="AK117" s="224" t="str">
        <f>IF(V117&lt;&gt;1,"",SUM($V$8:V117))</f>
        <v/>
      </c>
      <c r="AL117" s="177">
        <f t="shared" si="18"/>
        <v>1</v>
      </c>
    </row>
    <row r="118" spans="2:38" ht="60">
      <c r="D118" s="16"/>
      <c r="E118" s="831"/>
      <c r="F118" s="814" t="s">
        <v>8</v>
      </c>
      <c r="G118" s="742" t="s">
        <v>186</v>
      </c>
      <c r="H118" s="742" t="s">
        <v>181</v>
      </c>
      <c r="I118" s="742" t="s">
        <v>9</v>
      </c>
      <c r="J118" s="742" t="s">
        <v>10</v>
      </c>
      <c r="K118" s="815" t="s">
        <v>11</v>
      </c>
      <c r="L118" s="757" t="s">
        <v>31</v>
      </c>
      <c r="M118" s="742" t="s">
        <v>13</v>
      </c>
      <c r="N118" s="818" t="s">
        <v>82</v>
      </c>
      <c r="O118" s="742" t="s">
        <v>192</v>
      </c>
      <c r="P118" s="742" t="s">
        <v>81</v>
      </c>
      <c r="Q118" s="743" t="s">
        <v>83</v>
      </c>
      <c r="R118" s="742" t="s">
        <v>14</v>
      </c>
      <c r="S118" s="742" t="s">
        <v>300</v>
      </c>
      <c r="T118" s="771"/>
      <c r="V118" s="436" t="s">
        <v>194</v>
      </c>
      <c r="X118" s="224" t="s">
        <v>420</v>
      </c>
      <c r="Y118" s="177">
        <f t="shared" si="14"/>
        <v>111</v>
      </c>
      <c r="Z118" s="177" t="str">
        <f>IF(AA118&lt;&gt;"//",COUNTA($AA$8:AA118)-COUNTIF($AA$8:AA118,"//"),"")</f>
        <v/>
      </c>
      <c r="AA118" s="177" t="str">
        <f t="shared" si="21"/>
        <v>//</v>
      </c>
      <c r="AB118" s="177" t="str">
        <f ca="1">_xlfn.IFNA(IF(COUNTIF('4.1(2)新規再エネ導入予定(FS調査、系統接続検討状況)'!$G:$G,OFFSET($AA$7,MATCH($Y118,$Z$8:$Z$167,0),0))=0,OFFSET($AA$7,MATCH($Y118,$Z$8:$Z$167,0),0),""),"")</f>
        <v/>
      </c>
      <c r="AC118" s="177" t="str">
        <f ca="1">_xlfn.IFNA(IF(COUNTIF('4.1(2)新規再エネ導入予定(合意形成)'!$G:$G,OFFSET($AA$7,MATCH($Y118,$Z$8:$Z$167,0),0))=0,OFFSET($AA$7,MATCH($Y118,$Z$8:$Z$167,0),0),""),"")</f>
        <v/>
      </c>
      <c r="AD118" s="177" t="str">
        <f ca="1">_xlfn.IFNA(OFFSET('4.1(2)新規再エネ導入予定(FS調査、系統接続検討状況)'!$W$1,MATCH(G118,'4.1(2)新規再エネ導入予定(FS調査、系統接続検討状況)'!G:G,0)-1,0),"//")</f>
        <v>採点</v>
      </c>
      <c r="AE118" s="264" t="str">
        <f ca="1">_xlfn.IFNA(OFFSET('4.1(2)新規再エネ導入予定(合意形成)'!$AJ$1,MATCH(G118,'4.1(2)新規再エネ導入予定(合意形成)'!G:G,0)-1,0),"//")</f>
        <v>施設
スコア</v>
      </c>
      <c r="AF118" s="177">
        <f t="shared" ca="1" si="12"/>
        <v>0</v>
      </c>
      <c r="AG118" s="217" t="str" cm="1">
        <f t="array" aca="1" ref="AG118" ca="1">IFERROR(_xlfn.IFS(COUNTIF($AB$8:$AC$167,G118)&gt;0,"",AF118&lt;=1,"D",AF118=2,"C",AF118=3,"B",AF118=4,"A"),"")</f>
        <v>D</v>
      </c>
      <c r="AH118" s="177" t="str">
        <f ca="1">_xlfn.IFNA(OFFSET('4.1(2)新規再エネ導入予定(合意形成)'!$Z$1,MATCH($G118,'4.1(2)新規再エネ導入予定(合意形成)'!$G:$G,0)-1,0),"")</f>
        <v>代表者数</v>
      </c>
      <c r="AI118" s="217" t="str">
        <f t="shared" ca="1" si="22"/>
        <v>D</v>
      </c>
      <c r="AJ118" s="177">
        <f t="shared" si="17"/>
        <v>1</v>
      </c>
      <c r="AK118" s="224" t="str">
        <f>IF(V118&lt;&gt;1,"",SUM($V$8:V118))</f>
        <v/>
      </c>
      <c r="AL118" s="177">
        <f t="shared" si="18"/>
        <v>1</v>
      </c>
    </row>
    <row r="119" spans="2:38" s="11" customFormat="1" ht="20" hidden="1">
      <c r="B119" s="21"/>
      <c r="C119" s="21"/>
      <c r="D119" s="22"/>
      <c r="E119" s="832"/>
      <c r="F119" s="781"/>
      <c r="G119" s="782"/>
      <c r="H119" s="783"/>
      <c r="I119" s="783"/>
      <c r="J119" s="784"/>
      <c r="K119" s="784"/>
      <c r="L119" s="901"/>
      <c r="M119" s="902"/>
      <c r="N119" s="907"/>
      <c r="O119" s="798"/>
      <c r="P119" s="902"/>
      <c r="Q119" s="908"/>
      <c r="R119" s="798"/>
      <c r="S119" s="785" t="str">
        <f>IF(G119="","",AG119)</f>
        <v/>
      </c>
      <c r="T119" s="786"/>
      <c r="U119" s="116"/>
      <c r="V119" s="787"/>
      <c r="X119" s="127" t="s">
        <v>420</v>
      </c>
      <c r="Y119" s="257">
        <f t="shared" si="14"/>
        <v>112</v>
      </c>
      <c r="Z119" s="257" t="str">
        <f>IF(AA119&lt;&gt;"//",COUNTA($AA$8:AA119)-COUNTIF($AA$8:AA119,"//"),"")</f>
        <v/>
      </c>
      <c r="AA119" s="257" t="str">
        <f t="shared" si="21"/>
        <v>//</v>
      </c>
      <c r="AB119" s="257" t="str">
        <f ca="1">_xlfn.IFNA(IF(COUNTIF('4.1(2)新規再エネ導入予定(FS調査、系統接続検討状況)'!$G:$G,OFFSET($AA$7,MATCH($Y119,$Z$8:$Z$167,0),0))=0,OFFSET($AA$7,MATCH($Y119,$Z$8:$Z$167,0),0),""),"")</f>
        <v/>
      </c>
      <c r="AC119" s="257" t="str">
        <f ca="1">_xlfn.IFNA(IF(COUNTIF('4.1(2)新規再エネ導入予定(合意形成)'!$G:$G,OFFSET($AA$7,MATCH($Y119,$Z$8:$Z$167,0),0))=0,OFFSET($AA$7,MATCH($Y119,$Z$8:$Z$167,0),0),""),"")</f>
        <v/>
      </c>
      <c r="AD119" s="257" t="str">
        <f ca="1">_xlfn.IFNA(OFFSET('4.1(2)新規再エネ導入予定(FS調査、系統接続検討状況)'!$W$1,MATCH(G119,'4.1(2)新規再エネ導入予定(FS調査、系統接続検討状況)'!G:G,0)-1,0),"//")</f>
        <v>//</v>
      </c>
      <c r="AE119" s="279" t="str">
        <f ca="1">_xlfn.IFNA(OFFSET('4.1(2)新規再エネ導入予定(合意形成)'!$AJ$1,MATCH(G119,'4.1(2)新規再エネ導入予定(合意形成)'!G:G,0)-1,0),"//")</f>
        <v>//</v>
      </c>
      <c r="AF119" s="257">
        <f t="shared" ca="1" si="12"/>
        <v>0</v>
      </c>
      <c r="AG119" s="131" t="str" cm="1">
        <f t="array" aca="1" ref="AG119" ca="1">IFERROR(_xlfn.IFS(COUNTIF($AB$8:$AC$167,G119)&gt;0,"",AF119&lt;=1,"D",AF119=2,"C",AF119=3,"B",AF119=4,"A"),"")</f>
        <v/>
      </c>
      <c r="AH119" s="257" t="str">
        <f ca="1">_xlfn.IFNA(OFFSET('4.1(2)新規再エネ導入予定(合意形成)'!$Z$1,MATCH($G119,'4.1(2)新規再エネ導入予定(合意形成)'!$G:$G,0)-1,0),"")</f>
        <v/>
      </c>
      <c r="AI119" s="131" t="str">
        <f t="shared" si="22"/>
        <v/>
      </c>
      <c r="AJ119" s="257" t="str">
        <f t="shared" si="17"/>
        <v/>
      </c>
      <c r="AK119" s="127" t="str">
        <f>IF(V119&lt;&gt;1,"",SUM($V$8:V119))</f>
        <v/>
      </c>
      <c r="AL119" s="257">
        <f t="shared" si="18"/>
        <v>1</v>
      </c>
    </row>
    <row r="120" spans="2:38" s="11" customFormat="1" ht="20">
      <c r="B120" s="21"/>
      <c r="C120" s="21"/>
      <c r="D120" s="22"/>
      <c r="E120" s="832"/>
      <c r="F120" s="788"/>
      <c r="G120" s="789"/>
      <c r="H120" s="790"/>
      <c r="I120" s="790"/>
      <c r="J120" s="791"/>
      <c r="K120" s="791"/>
      <c r="L120" s="903"/>
      <c r="M120" s="904"/>
      <c r="N120" s="907"/>
      <c r="O120" s="795"/>
      <c r="P120" s="904"/>
      <c r="Q120" s="908"/>
      <c r="R120" s="795"/>
      <c r="S120" s="793" t="str">
        <f>IF(G120="","",AG120)</f>
        <v/>
      </c>
      <c r="T120" s="786"/>
      <c r="U120" s="116"/>
      <c r="V120" s="794" t="str">
        <f>IF(H120&lt;&gt;"",1,"")</f>
        <v/>
      </c>
      <c r="X120" s="127" t="s">
        <v>420</v>
      </c>
      <c r="Y120" s="257">
        <f t="shared" si="14"/>
        <v>113</v>
      </c>
      <c r="Z120" s="257" t="str">
        <f>IF(AA120&lt;&gt;"//",COUNTA($AA$8:AA120)-COUNTIF($AA$8:AA120,"//"),"")</f>
        <v/>
      </c>
      <c r="AA120" s="257" t="str">
        <f t="shared" si="21"/>
        <v>//</v>
      </c>
      <c r="AB120" s="257" t="str">
        <f ca="1">_xlfn.IFNA(IF(COUNTIF('4.1(2)新規再エネ導入予定(FS調査、系統接続検討状況)'!$G:$G,OFFSET($AA$7,MATCH($Y120,$Z$8:$Z$167,0),0))=0,OFFSET($AA$7,MATCH($Y120,$Z$8:$Z$167,0),0),""),"")</f>
        <v/>
      </c>
      <c r="AC120" s="257" t="str">
        <f ca="1">_xlfn.IFNA(IF(COUNTIF('4.1(2)新規再エネ導入予定(合意形成)'!$G:$G,OFFSET($AA$7,MATCH($Y120,$Z$8:$Z$167,0),0))=0,OFFSET($AA$7,MATCH($Y120,$Z$8:$Z$167,0),0),""),"")</f>
        <v/>
      </c>
      <c r="AD120" s="257" t="str">
        <f ca="1">_xlfn.IFNA(OFFSET('4.1(2)新規再エネ導入予定(FS調査、系統接続検討状況)'!$W$1,MATCH(G120,'4.1(2)新規再エネ導入予定(FS調査、系統接続検討状況)'!G:G,0)-1,0),"//")</f>
        <v>//</v>
      </c>
      <c r="AE120" s="279" t="str">
        <f ca="1">_xlfn.IFNA(OFFSET('4.1(2)新規再エネ導入予定(合意形成)'!$AJ$1,MATCH(G120,'4.1(2)新規再エネ導入予定(合意形成)'!G:G,0)-1,0),"//")</f>
        <v>//</v>
      </c>
      <c r="AF120" s="257">
        <f t="shared" ca="1" si="12"/>
        <v>0</v>
      </c>
      <c r="AG120" s="131" t="str" cm="1">
        <f t="array" aca="1" ref="AG120" ca="1">IFERROR(_xlfn.IFS(COUNTIF($AB$8:$AC$167,G120)&gt;0,"",AF120&lt;=1,"D",AF120=2,"C",AF120=3,"B",AF120=4,"A"),"")</f>
        <v/>
      </c>
      <c r="AH120" s="257" t="str">
        <f ca="1">_xlfn.IFNA(OFFSET('4.1(2)新規再エネ導入予定(合意形成)'!$Z$1,MATCH($G120,'4.1(2)新規再エネ導入予定(合意形成)'!$G:$G,0)-1,0),"")</f>
        <v/>
      </c>
      <c r="AI120" s="131" t="str">
        <f t="shared" si="22"/>
        <v/>
      </c>
      <c r="AJ120" s="257" t="str">
        <f t="shared" si="17"/>
        <v/>
      </c>
      <c r="AK120" s="127" t="str">
        <f>IF(V120&lt;&gt;1,"",SUM($V$8:V120))</f>
        <v/>
      </c>
      <c r="AL120" s="257">
        <f t="shared" si="18"/>
        <v>1</v>
      </c>
    </row>
    <row r="121" spans="2:38" s="11" customFormat="1" ht="20">
      <c r="B121" s="21"/>
      <c r="C121" s="21"/>
      <c r="D121" s="22"/>
      <c r="E121" s="832"/>
      <c r="F121" s="788"/>
      <c r="G121" s="789"/>
      <c r="H121" s="790"/>
      <c r="I121" s="790"/>
      <c r="J121" s="791"/>
      <c r="K121" s="791"/>
      <c r="L121" s="903"/>
      <c r="M121" s="904"/>
      <c r="N121" s="907"/>
      <c r="O121" s="795"/>
      <c r="P121" s="904"/>
      <c r="Q121" s="908"/>
      <c r="R121" s="795"/>
      <c r="S121" s="793" t="str">
        <f>IF(G121="","",AG121)</f>
        <v/>
      </c>
      <c r="T121" s="786"/>
      <c r="U121" s="116"/>
      <c r="V121" s="794" t="str">
        <f>IF(H121&lt;&gt;"",1,"")</f>
        <v/>
      </c>
      <c r="X121" s="127" t="s">
        <v>420</v>
      </c>
      <c r="Y121" s="257">
        <f t="shared" si="14"/>
        <v>114</v>
      </c>
      <c r="Z121" s="257" t="str">
        <f>IF(AA121&lt;&gt;"//",COUNTA($AA$8:AA121)-COUNTIF($AA$8:AA121,"//"),"")</f>
        <v/>
      </c>
      <c r="AA121" s="257" t="str">
        <f t="shared" si="21"/>
        <v>//</v>
      </c>
      <c r="AB121" s="257" t="str">
        <f ca="1">_xlfn.IFNA(IF(COUNTIF('4.1(2)新規再エネ導入予定(FS調査、系統接続検討状況)'!$G:$G,OFFSET($AA$7,MATCH($Y121,$Z$8:$Z$167,0),0))=0,OFFSET($AA$7,MATCH($Y121,$Z$8:$Z$167,0),0),""),"")</f>
        <v/>
      </c>
      <c r="AC121" s="257" t="str">
        <f ca="1">_xlfn.IFNA(IF(COUNTIF('4.1(2)新規再エネ導入予定(合意形成)'!$G:$G,OFFSET($AA$7,MATCH($Y121,$Z$8:$Z$167,0),0))=0,OFFSET($AA$7,MATCH($Y121,$Z$8:$Z$167,0),0),""),"")</f>
        <v/>
      </c>
      <c r="AD121" s="257" t="str">
        <f ca="1">_xlfn.IFNA(OFFSET('4.1(2)新規再エネ導入予定(FS調査、系統接続検討状況)'!$W$1,MATCH(G121,'4.1(2)新規再エネ導入予定(FS調査、系統接続検討状況)'!G:G,0)-1,0),"//")</f>
        <v>//</v>
      </c>
      <c r="AE121" s="279" t="str">
        <f ca="1">_xlfn.IFNA(OFFSET('4.1(2)新規再エネ導入予定(合意形成)'!$AJ$1,MATCH(G121,'4.1(2)新規再エネ導入予定(合意形成)'!G:G,0)-1,0),"//")</f>
        <v>//</v>
      </c>
      <c r="AF121" s="257">
        <f t="shared" ca="1" si="12"/>
        <v>0</v>
      </c>
      <c r="AG121" s="131" t="str" cm="1">
        <f t="array" aca="1" ref="AG121" ca="1">IFERROR(_xlfn.IFS(COUNTIF($AB$8:$AC$167,G121)&gt;0,"",AF121&lt;=1,"D",AF121=2,"C",AF121=3,"B",AF121=4,"A"),"")</f>
        <v/>
      </c>
      <c r="AH121" s="257" t="str">
        <f ca="1">_xlfn.IFNA(OFFSET('4.1(2)新規再エネ導入予定(合意形成)'!$Z$1,MATCH($G121,'4.1(2)新規再エネ導入予定(合意形成)'!$G:$G,0)-1,0),"")</f>
        <v/>
      </c>
      <c r="AI121" s="131" t="str">
        <f t="shared" si="22"/>
        <v/>
      </c>
      <c r="AJ121" s="257" t="str">
        <f t="shared" si="17"/>
        <v/>
      </c>
      <c r="AK121" s="127" t="str">
        <f>IF(V121&lt;&gt;1,"",SUM($V$8:V121))</f>
        <v/>
      </c>
      <c r="AL121" s="257">
        <f t="shared" si="18"/>
        <v>1</v>
      </c>
    </row>
    <row r="122" spans="2:38" s="11" customFormat="1" ht="20">
      <c r="B122" s="21"/>
      <c r="C122" s="21"/>
      <c r="D122" s="22"/>
      <c r="E122" s="832"/>
      <c r="F122" s="788"/>
      <c r="G122" s="789"/>
      <c r="H122" s="790"/>
      <c r="I122" s="790"/>
      <c r="J122" s="791"/>
      <c r="K122" s="791"/>
      <c r="L122" s="903"/>
      <c r="M122" s="734"/>
      <c r="N122" s="907"/>
      <c r="O122" s="795"/>
      <c r="P122" s="904"/>
      <c r="Q122" s="908"/>
      <c r="R122" s="795"/>
      <c r="S122" s="793" t="str">
        <f>IF(G122="","",AG122)</f>
        <v/>
      </c>
      <c r="T122" s="786"/>
      <c r="U122" s="116"/>
      <c r="V122" s="794" t="str">
        <f>IF(H122&lt;&gt;"",1,"")</f>
        <v/>
      </c>
      <c r="X122" s="127" t="s">
        <v>420</v>
      </c>
      <c r="Y122" s="257">
        <f t="shared" si="14"/>
        <v>115</v>
      </c>
      <c r="Z122" s="257" t="str">
        <f>IF(AA122&lt;&gt;"//",COUNTA($AA$8:AA122)-COUNTIF($AA$8:AA122,"//"),"")</f>
        <v/>
      </c>
      <c r="AA122" s="257" t="str">
        <f t="shared" si="21"/>
        <v>//</v>
      </c>
      <c r="AB122" s="257" t="str">
        <f ca="1">_xlfn.IFNA(IF(COUNTIF('4.1(2)新規再エネ導入予定(FS調査、系統接続検討状況)'!$G:$G,OFFSET($AA$7,MATCH($Y122,$Z$8:$Z$167,0),0))=0,OFFSET($AA$7,MATCH($Y122,$Z$8:$Z$167,0),0),""),"")</f>
        <v/>
      </c>
      <c r="AC122" s="257" t="str">
        <f ca="1">_xlfn.IFNA(IF(COUNTIF('4.1(2)新規再エネ導入予定(合意形成)'!$G:$G,OFFSET($AA$7,MATCH($Y122,$Z$8:$Z$167,0),0))=0,OFFSET($AA$7,MATCH($Y122,$Z$8:$Z$167,0),0),""),"")</f>
        <v/>
      </c>
      <c r="AD122" s="257" t="str">
        <f ca="1">_xlfn.IFNA(OFFSET('4.1(2)新規再エネ導入予定(FS調査、系統接続検討状況)'!$W$1,MATCH(G122,'4.1(2)新規再エネ導入予定(FS調査、系統接続検討状況)'!G:G,0)-1,0),"//")</f>
        <v>//</v>
      </c>
      <c r="AE122" s="279" t="str">
        <f ca="1">_xlfn.IFNA(OFFSET('4.1(2)新規再エネ導入予定(合意形成)'!$AJ$1,MATCH(G122,'4.1(2)新規再エネ導入予定(合意形成)'!G:G,0)-1,0),"//")</f>
        <v>//</v>
      </c>
      <c r="AF122" s="257">
        <f t="shared" ca="1" si="12"/>
        <v>0</v>
      </c>
      <c r="AG122" s="131" t="str" cm="1">
        <f t="array" aca="1" ref="AG122" ca="1">IFERROR(_xlfn.IFS(COUNTIF($AB$8:$AC$167,G122)&gt;0,"",AF122&lt;=1,"D",AF122=2,"C",AF122=3,"B",AF122=4,"A"),"")</f>
        <v/>
      </c>
      <c r="AH122" s="257" t="str">
        <f ca="1">_xlfn.IFNA(OFFSET('4.1(2)新規再エネ導入予定(合意形成)'!$Z$1,MATCH($G122,'4.1(2)新規再エネ導入予定(合意形成)'!$G:$G,0)-1,0),"")</f>
        <v/>
      </c>
      <c r="AI122" s="131" t="str">
        <f t="shared" si="22"/>
        <v/>
      </c>
      <c r="AJ122" s="257" t="str">
        <f t="shared" si="17"/>
        <v/>
      </c>
      <c r="AK122" s="127" t="str">
        <f>IF(V122&lt;&gt;1,"",SUM($V$8:V122))</f>
        <v/>
      </c>
      <c r="AL122" s="257">
        <f t="shared" si="18"/>
        <v>1</v>
      </c>
    </row>
    <row r="123" spans="2:38" ht="20">
      <c r="D123" s="16"/>
      <c r="E123" s="833"/>
      <c r="F123" s="816" t="s">
        <v>26</v>
      </c>
      <c r="G123" s="802"/>
      <c r="H123" s="802"/>
      <c r="I123" s="802"/>
      <c r="J123" s="802"/>
      <c r="K123" s="802"/>
      <c r="L123" s="758"/>
      <c r="M123" s="502">
        <f ca="1">SUM(INDIRECT("M"&amp;ROW(M118)&amp;":M"&amp;ROW()-1))</f>
        <v>0</v>
      </c>
      <c r="N123" s="750"/>
      <c r="O123" s="817"/>
      <c r="P123" s="710">
        <f ca="1">SUM(INDIRECT("P"&amp;ROW(P118)&amp;":P"&amp;ROW()-1))</f>
        <v>0</v>
      </c>
      <c r="Q123" s="744"/>
      <c r="R123" s="806"/>
      <c r="S123" s="803"/>
      <c r="T123" s="771"/>
      <c r="V123" s="224" t="str">
        <f t="shared" ref="V123" si="24">IF(H123&lt;&gt;"",1,"")</f>
        <v/>
      </c>
      <c r="X123" s="224" t="s">
        <v>420</v>
      </c>
      <c r="Y123" s="177">
        <f t="shared" si="14"/>
        <v>116</v>
      </c>
      <c r="Z123" s="177" t="str">
        <f>IF(AA123&lt;&gt;"//",COUNTA($AA$8:AA123)-COUNTIF($AA$8:AA123,"//"),"")</f>
        <v/>
      </c>
      <c r="AA123" s="177" t="str">
        <f t="shared" si="21"/>
        <v>//</v>
      </c>
      <c r="AB123" s="177" t="str">
        <f ca="1">_xlfn.IFNA(IF(COUNTIF('4.1(2)新規再エネ導入予定(FS調査、系統接続検討状況)'!$G:$G,OFFSET($AA$7,MATCH($Y123,$Z$8:$Z$167,0),0))=0,OFFSET($AA$7,MATCH($Y123,$Z$8:$Z$167,0),0),""),"")</f>
        <v/>
      </c>
      <c r="AC123" s="177" t="str">
        <f ca="1">_xlfn.IFNA(IF(COUNTIF('4.1(2)新規再エネ導入予定(合意形成)'!$G:$G,OFFSET($AA$7,MATCH($Y123,$Z$8:$Z$167,0),0))=0,OFFSET($AA$7,MATCH($Y123,$Z$8:$Z$167,0),0),""),"")</f>
        <v/>
      </c>
      <c r="AD123" s="177" t="str">
        <f ca="1">_xlfn.IFNA(OFFSET('4.1(2)新規再エネ導入予定(FS調査、系統接続検討状況)'!$W$1,MATCH(G123,'4.1(2)新規再エネ導入予定(FS調査、系統接続検討状況)'!G:G,0)-1,0),"//")</f>
        <v>//</v>
      </c>
      <c r="AE123" s="264" t="str">
        <f ca="1">_xlfn.IFNA(OFFSET('4.1(2)新規再エネ導入予定(合意形成)'!$AJ$1,MATCH(G123,'4.1(2)新規再エネ導入予定(合意形成)'!G:G,0)-1,0),"//")</f>
        <v>//</v>
      </c>
      <c r="AF123" s="177">
        <f t="shared" ca="1" si="12"/>
        <v>0</v>
      </c>
      <c r="AG123" s="217" t="str" cm="1">
        <f t="array" aca="1" ref="AG123" ca="1">IFERROR(_xlfn.IFS(COUNTIF($AB$8:$AC$167,G123)&gt;0,"",AF123&lt;=1,"D",AF123=2,"C",AF123=3,"B",AF123=4,"A"),"")</f>
        <v/>
      </c>
      <c r="AH123" s="177" t="str">
        <f ca="1">_xlfn.IFNA(OFFSET('4.1(2)新規再エネ導入予定(合意形成)'!$Z$1,MATCH($G123,'4.1(2)新規再エネ導入予定(合意形成)'!$G:$G,0)-1,0),"")</f>
        <v/>
      </c>
      <c r="AI123" s="217" t="str">
        <f t="shared" si="22"/>
        <v/>
      </c>
      <c r="AJ123" s="177" t="str">
        <f t="shared" si="17"/>
        <v/>
      </c>
      <c r="AK123" s="224" t="str">
        <f>IF(V123&lt;&gt;1,"",SUM($V$8:V123))</f>
        <v/>
      </c>
      <c r="AL123" s="177">
        <f t="shared" si="18"/>
        <v>1</v>
      </c>
    </row>
    <row r="124" spans="2:38">
      <c r="D124" s="46"/>
      <c r="E124" s="470"/>
      <c r="F124" s="470"/>
      <c r="G124" s="470"/>
      <c r="H124" s="470"/>
      <c r="I124" s="470"/>
      <c r="J124" s="470"/>
      <c r="K124" s="470"/>
      <c r="L124" s="759"/>
      <c r="M124" s="470"/>
      <c r="N124" s="473"/>
      <c r="O124" s="808"/>
      <c r="P124" s="470"/>
      <c r="Q124" s="473"/>
      <c r="R124" s="808"/>
      <c r="S124" s="470"/>
      <c r="T124" s="809"/>
      <c r="X124" s="224" t="s">
        <v>420</v>
      </c>
      <c r="Y124" s="177">
        <f t="shared" si="14"/>
        <v>117</v>
      </c>
      <c r="Z124" s="177" t="str">
        <f>IF(AA124&lt;&gt;"//",COUNTA($AA$8:AA124)-COUNTIF($AA$8:AA124,"//"),"")</f>
        <v/>
      </c>
      <c r="AA124" s="177" t="str">
        <f t="shared" si="21"/>
        <v>//</v>
      </c>
      <c r="AB124" s="177" t="str">
        <f ca="1">_xlfn.IFNA(IF(COUNTIF('4.1(2)新規再エネ導入予定(FS調査、系統接続検討状況)'!$G:$G,OFFSET($AA$7,MATCH($Y124,$Z$8:$Z$167,0),0))=0,OFFSET($AA$7,MATCH($Y124,$Z$8:$Z$167,0),0),""),"")</f>
        <v/>
      </c>
      <c r="AC124" s="177" t="str">
        <f ca="1">_xlfn.IFNA(IF(COUNTIF('4.1(2)新規再エネ導入予定(合意形成)'!$G:$G,OFFSET($AA$7,MATCH($Y124,$Z$8:$Z$167,0),0))=0,OFFSET($AA$7,MATCH($Y124,$Z$8:$Z$167,0),0),""),"")</f>
        <v/>
      </c>
      <c r="AD124" s="177" t="str">
        <f ca="1">_xlfn.IFNA(OFFSET('4.1(2)新規再エネ導入予定(FS調査、系統接続検討状況)'!$W$1,MATCH(G124,'4.1(2)新規再エネ導入予定(FS調査、系統接続検討状況)'!G:G,0)-1,0),"//")</f>
        <v>//</v>
      </c>
      <c r="AE124" s="264" t="str">
        <f ca="1">_xlfn.IFNA(OFFSET('4.1(2)新規再エネ導入予定(合意形成)'!$AJ$1,MATCH(G124,'4.1(2)新規再エネ導入予定(合意形成)'!G:G,0)-1,0),"//")</f>
        <v>//</v>
      </c>
      <c r="AF124" s="177">
        <f t="shared" ref="AF124:AF167" ca="1" si="25">IF(COUNTBLANK($AD124:$AE124)=0,MIN($AD124:$AE124),"")</f>
        <v>0</v>
      </c>
      <c r="AG124" s="217" t="str" cm="1">
        <f t="array" aca="1" ref="AG124" ca="1">IFERROR(_xlfn.IFS(COUNTIF($AB$8:$AC$167,G124)&gt;0,"",AF124&lt;=1,"D",AF124=2,"C",AF124=3,"B",AF124=4,"A"),"")</f>
        <v/>
      </c>
      <c r="AH124" s="177" t="str">
        <f ca="1">_xlfn.IFNA(OFFSET('4.1(2)新規再エネ導入予定(合意形成)'!$Z$1,MATCH($G124,'4.1(2)新規再エネ導入予定(合意形成)'!$G:$G,0)-1,0),"")</f>
        <v/>
      </c>
      <c r="AI124" s="217" t="str">
        <f t="shared" si="22"/>
        <v/>
      </c>
      <c r="AJ124" s="177" t="str">
        <f t="shared" si="17"/>
        <v/>
      </c>
      <c r="AK124" s="224" t="str">
        <f>IF(V124&lt;&gt;1,"",SUM($V$8:V124))</f>
        <v/>
      </c>
      <c r="AL124" s="177">
        <f t="shared" si="18"/>
        <v>1</v>
      </c>
    </row>
    <row r="125" spans="2:38">
      <c r="F125" s="741"/>
      <c r="G125" s="741"/>
      <c r="H125" s="741"/>
      <c r="I125" s="741"/>
      <c r="J125" s="741"/>
      <c r="K125" s="741"/>
      <c r="L125" s="756"/>
      <c r="M125" s="741"/>
      <c r="N125" s="746"/>
      <c r="O125" s="810"/>
      <c r="P125" s="741"/>
      <c r="X125" s="224" t="s">
        <v>420</v>
      </c>
      <c r="Y125" s="177">
        <f t="shared" si="14"/>
        <v>118</v>
      </c>
      <c r="Z125" s="177" t="str">
        <f>IF(AA125&lt;&gt;"//",COUNTA($AA$8:AA125)-COUNTIF($AA$8:AA125,"//"),"")</f>
        <v/>
      </c>
      <c r="AA125" s="177" t="str">
        <f t="shared" si="21"/>
        <v>//</v>
      </c>
      <c r="AB125" s="177" t="str">
        <f ca="1">_xlfn.IFNA(IF(COUNTIF('4.1(2)新規再エネ導入予定(FS調査、系統接続検討状況)'!$G:$G,OFFSET($AA$7,MATCH($Y125,$Z$8:$Z$167,0),0))=0,OFFSET($AA$7,MATCH($Y125,$Z$8:$Z$167,0),0),""),"")</f>
        <v/>
      </c>
      <c r="AC125" s="177" t="str">
        <f ca="1">_xlfn.IFNA(IF(COUNTIF('4.1(2)新規再エネ導入予定(合意形成)'!$G:$G,OFFSET($AA$7,MATCH($Y125,$Z$8:$Z$167,0),0))=0,OFFSET($AA$7,MATCH($Y125,$Z$8:$Z$167,0),0),""),"")</f>
        <v/>
      </c>
      <c r="AD125" s="177" t="str">
        <f ca="1">_xlfn.IFNA(OFFSET('4.1(2)新規再エネ導入予定(FS調査、系統接続検討状況)'!$W$1,MATCH(G125,'4.1(2)新規再エネ導入予定(FS調査、系統接続検討状況)'!G:G,0)-1,0),"//")</f>
        <v>//</v>
      </c>
      <c r="AE125" s="264" t="str">
        <f ca="1">_xlfn.IFNA(OFFSET('4.1(2)新規再エネ導入予定(合意形成)'!$AJ$1,MATCH(G125,'4.1(2)新規再エネ導入予定(合意形成)'!G:G,0)-1,0),"//")</f>
        <v>//</v>
      </c>
      <c r="AF125" s="177">
        <f t="shared" ca="1" si="25"/>
        <v>0</v>
      </c>
      <c r="AG125" s="217" t="str" cm="1">
        <f t="array" aca="1" ref="AG125" ca="1">IFERROR(_xlfn.IFS(COUNTIF($AB$8:$AC$167,G125)&gt;0,"",AF125&lt;=1,"D",AF125=2,"C",AF125=3,"B",AF125=4,"A"),"")</f>
        <v/>
      </c>
      <c r="AH125" s="177" t="str">
        <f ca="1">_xlfn.IFNA(OFFSET('4.1(2)新規再エネ導入予定(合意形成)'!$Z$1,MATCH($G125,'4.1(2)新規再エネ導入予定(合意形成)'!$G:$G,0)-1,0),"")</f>
        <v/>
      </c>
      <c r="AI125" s="217" t="str">
        <f t="shared" si="22"/>
        <v/>
      </c>
      <c r="AJ125" s="177" t="str">
        <f t="shared" si="17"/>
        <v/>
      </c>
      <c r="AK125" s="224" t="str">
        <f>IF(V125&lt;&gt;1,"",SUM($V$8:V125))</f>
        <v/>
      </c>
      <c r="AL125" s="177">
        <f t="shared" si="18"/>
        <v>1</v>
      </c>
    </row>
    <row r="126" spans="2:38" ht="9.75" customHeight="1">
      <c r="D126" s="14"/>
      <c r="E126" s="463"/>
      <c r="F126" s="463"/>
      <c r="G126" s="811"/>
      <c r="H126" s="463"/>
      <c r="I126" s="463"/>
      <c r="J126" s="463"/>
      <c r="K126" s="463"/>
      <c r="L126" s="753"/>
      <c r="M126" s="463"/>
      <c r="N126" s="747"/>
      <c r="O126" s="769"/>
      <c r="P126" s="463"/>
      <c r="Q126" s="466"/>
      <c r="R126" s="769"/>
      <c r="S126" s="463"/>
      <c r="T126" s="770"/>
      <c r="X126" s="224" t="s">
        <v>421</v>
      </c>
      <c r="Y126" s="177">
        <f t="shared" si="14"/>
        <v>119</v>
      </c>
      <c r="Z126" s="177" t="str">
        <f>IF(AA126&lt;&gt;"//",COUNTA($AA$8:AA126)-COUNTIF($AA$8:AA126,"//"),"")</f>
        <v/>
      </c>
      <c r="AA126" s="177" t="str">
        <f t="shared" si="21"/>
        <v>//</v>
      </c>
      <c r="AB126" s="177" t="str">
        <f ca="1">_xlfn.IFNA(IF(COUNTIF('4.1(2)新規再エネ導入予定(FS調査、系統接続検討状況)'!$G:$G,OFFSET($AA$7,MATCH($Y126,$Z$8:$Z$167,0),0))=0,OFFSET($AA$7,MATCH($Y126,$Z$8:$Z$167,0),0),""),"")</f>
        <v/>
      </c>
      <c r="AC126" s="177" t="str">
        <f ca="1">_xlfn.IFNA(IF(COUNTIF('4.1(2)新規再エネ導入予定(合意形成)'!$G:$G,OFFSET($AA$7,MATCH($Y126,$Z$8:$Z$167,0),0))=0,OFFSET($AA$7,MATCH($Y126,$Z$8:$Z$167,0),0),""),"")</f>
        <v/>
      </c>
      <c r="AD126" s="177" t="str">
        <f ca="1">_xlfn.IFNA(OFFSET('4.1(2)新規再エネ導入予定(FS調査、系統接続検討状況)'!$W$1,MATCH(G126,'4.1(2)新規再エネ導入予定(FS調査、系統接続検討状況)'!G:G,0)-1,0),"//")</f>
        <v>//</v>
      </c>
      <c r="AE126" s="264" t="str">
        <f ca="1">_xlfn.IFNA(OFFSET('4.1(2)新規再エネ導入予定(合意形成)'!$AJ$1,MATCH(G126,'4.1(2)新規再エネ導入予定(合意形成)'!G:G,0)-1,0),"//")</f>
        <v>//</v>
      </c>
      <c r="AF126" s="177">
        <f t="shared" ca="1" si="25"/>
        <v>0</v>
      </c>
      <c r="AG126" s="217" t="str" cm="1">
        <f t="array" aca="1" ref="AG126" ca="1">IFERROR(_xlfn.IFS(COUNTIF($AB$8:$AC$167,G126)&gt;0,"",AF126&lt;=1,"D",AF126=2,"C",AF126=3,"B",AF126=4,"A"),"")</f>
        <v/>
      </c>
      <c r="AH126" s="177" t="str">
        <f ca="1">_xlfn.IFNA(OFFSET('4.1(2)新規再エネ導入予定(合意形成)'!$Z$1,MATCH($G126,'4.1(2)新規再エネ導入予定(合意形成)'!$G:$G,0)-1,0),"")</f>
        <v/>
      </c>
      <c r="AI126" s="217" t="str">
        <f t="shared" si="22"/>
        <v/>
      </c>
      <c r="AJ126" s="177" t="str">
        <f t="shared" si="17"/>
        <v/>
      </c>
      <c r="AK126" s="224" t="str">
        <f>IF(V126&lt;&gt;1,"",SUM($V$8:V126))</f>
        <v/>
      </c>
      <c r="AL126" s="177">
        <f t="shared" si="18"/>
        <v>1</v>
      </c>
    </row>
    <row r="127" spans="2:38" ht="29">
      <c r="D127" s="239" t="s">
        <v>190</v>
      </c>
      <c r="F127" s="812"/>
      <c r="G127" s="813"/>
      <c r="N127" s="748"/>
      <c r="S127" s="325"/>
      <c r="T127" s="771"/>
      <c r="X127" s="224" t="s">
        <v>421</v>
      </c>
      <c r="Y127" s="177">
        <f t="shared" si="14"/>
        <v>120</v>
      </c>
      <c r="Z127" s="177" t="str">
        <f>IF(AA127&lt;&gt;"//",COUNTA($AA$8:AA127)-COUNTIF($AA$8:AA127,"//"),"")</f>
        <v/>
      </c>
      <c r="AA127" s="177" t="str">
        <f t="shared" si="21"/>
        <v>//</v>
      </c>
      <c r="AB127" s="177" t="str">
        <f ca="1">_xlfn.IFNA(IF(COUNTIF('4.1(2)新規再エネ導入予定(FS調査、系統接続検討状況)'!$G:$G,OFFSET($AA$7,MATCH($Y127,$Z$8:$Z$167,0),0))=0,OFFSET($AA$7,MATCH($Y127,$Z$8:$Z$167,0),0),""),"")</f>
        <v/>
      </c>
      <c r="AC127" s="177" t="str">
        <f ca="1">_xlfn.IFNA(IF(COUNTIF('4.1(2)新規再エネ導入予定(合意形成)'!$G:$G,OFFSET($AA$7,MATCH($Y127,$Z$8:$Z$167,0),0))=0,OFFSET($AA$7,MATCH($Y127,$Z$8:$Z$167,0),0),""),"")</f>
        <v/>
      </c>
      <c r="AD127" s="177" t="str">
        <f ca="1">_xlfn.IFNA(OFFSET('4.1(2)新規再エネ導入予定(FS調査、系統接続検討状況)'!$W$1,MATCH(G127,'4.1(2)新規再エネ導入予定(FS調査、系統接続検討状況)'!G:G,0)-1,0),"//")</f>
        <v>//</v>
      </c>
      <c r="AE127" s="264" t="str">
        <f ca="1">_xlfn.IFNA(OFFSET('4.1(2)新規再エネ導入予定(合意形成)'!$AJ$1,MATCH(G127,'4.1(2)新規再エネ導入予定(合意形成)'!G:G,0)-1,0),"//")</f>
        <v>//</v>
      </c>
      <c r="AF127" s="177">
        <f t="shared" ca="1" si="25"/>
        <v>0</v>
      </c>
      <c r="AG127" s="217" t="str" cm="1">
        <f t="array" aca="1" ref="AG127" ca="1">IFERROR(_xlfn.IFS(COUNTIF($AB$8:$AC$167,G127)&gt;0,"",AF127&lt;=1,"D",AF127=2,"C",AF127=3,"B",AF127=4,"A"),"")</f>
        <v/>
      </c>
      <c r="AH127" s="177" t="str">
        <f ca="1">_xlfn.IFNA(OFFSET('4.1(2)新規再エネ導入予定(合意形成)'!$Z$1,MATCH($G127,'4.1(2)新規再エネ導入予定(合意形成)'!$G:$G,0)-1,0),"")</f>
        <v/>
      </c>
      <c r="AI127" s="217" t="str">
        <f t="shared" si="22"/>
        <v/>
      </c>
      <c r="AJ127" s="177" t="str">
        <f t="shared" si="17"/>
        <v/>
      </c>
      <c r="AK127" s="224" t="str">
        <f>IF(V127&lt;&gt;1,"",SUM($V$8:V127))</f>
        <v/>
      </c>
      <c r="AL127" s="177">
        <f t="shared" si="18"/>
        <v>1</v>
      </c>
    </row>
    <row r="128" spans="2:38" ht="60">
      <c r="D128" s="16"/>
      <c r="E128" s="831"/>
      <c r="F128" s="814" t="s">
        <v>8</v>
      </c>
      <c r="G128" s="742" t="s">
        <v>186</v>
      </c>
      <c r="H128" s="742" t="s">
        <v>181</v>
      </c>
      <c r="I128" s="742" t="s">
        <v>9</v>
      </c>
      <c r="J128" s="742" t="s">
        <v>10</v>
      </c>
      <c r="K128" s="815" t="s">
        <v>11</v>
      </c>
      <c r="L128" s="757" t="s">
        <v>31</v>
      </c>
      <c r="M128" s="742" t="s">
        <v>13</v>
      </c>
      <c r="N128" s="818" t="s">
        <v>82</v>
      </c>
      <c r="O128" s="742" t="s">
        <v>192</v>
      </c>
      <c r="P128" s="742" t="s">
        <v>81</v>
      </c>
      <c r="Q128" s="743" t="s">
        <v>83</v>
      </c>
      <c r="R128" s="742" t="s">
        <v>14</v>
      </c>
      <c r="S128" s="742" t="s">
        <v>300</v>
      </c>
      <c r="T128" s="771"/>
      <c r="V128" s="436" t="s">
        <v>194</v>
      </c>
      <c r="X128" s="224" t="s">
        <v>421</v>
      </c>
      <c r="Y128" s="177">
        <f t="shared" si="14"/>
        <v>121</v>
      </c>
      <c r="Z128" s="177" t="str">
        <f>IF(AA128&lt;&gt;"//",COUNTA($AA$8:AA128)-COUNTIF($AA$8:AA128,"//"),"")</f>
        <v/>
      </c>
      <c r="AA128" s="177" t="str">
        <f t="shared" si="21"/>
        <v>//</v>
      </c>
      <c r="AB128" s="177" t="str">
        <f ca="1">_xlfn.IFNA(IF(COUNTIF('4.1(2)新規再エネ導入予定(FS調査、系統接続検討状況)'!$G:$G,OFFSET($AA$7,MATCH($Y128,$Z$8:$Z$167,0),0))=0,OFFSET($AA$7,MATCH($Y128,$Z$8:$Z$167,0),0),""),"")</f>
        <v/>
      </c>
      <c r="AC128" s="177" t="str">
        <f ca="1">_xlfn.IFNA(IF(COUNTIF('4.1(2)新規再エネ導入予定(合意形成)'!$G:$G,OFFSET($AA$7,MATCH($Y128,$Z$8:$Z$167,0),0))=0,OFFSET($AA$7,MATCH($Y128,$Z$8:$Z$167,0),0),""),"")</f>
        <v/>
      </c>
      <c r="AD128" s="177" t="str">
        <f ca="1">_xlfn.IFNA(OFFSET('4.1(2)新規再エネ導入予定(FS調査、系統接続検討状況)'!$W$1,MATCH(G128,'4.1(2)新規再エネ導入予定(FS調査、系統接続検討状況)'!G:G,0)-1,0),"//")</f>
        <v>採点</v>
      </c>
      <c r="AE128" s="264" t="str">
        <f ca="1">_xlfn.IFNA(OFFSET('4.1(2)新規再エネ導入予定(合意形成)'!$AJ$1,MATCH(G128,'4.1(2)新規再エネ導入予定(合意形成)'!G:G,0)-1,0),"//")</f>
        <v>施設
スコア</v>
      </c>
      <c r="AF128" s="177">
        <f t="shared" ca="1" si="25"/>
        <v>0</v>
      </c>
      <c r="AG128" s="217" t="str" cm="1">
        <f t="array" aca="1" ref="AG128" ca="1">IFERROR(_xlfn.IFS(COUNTIF($AB$8:$AC$167,G128)&gt;0,"",AF128&lt;=1,"D",AF128=2,"C",AF128=3,"B",AF128=4,"A"),"")</f>
        <v>D</v>
      </c>
      <c r="AH128" s="177" t="str">
        <f ca="1">_xlfn.IFNA(OFFSET('4.1(2)新規再エネ導入予定(合意形成)'!$Z$1,MATCH($G128,'4.1(2)新規再エネ導入予定(合意形成)'!$G:$G,0)-1,0),"")</f>
        <v>代表者数</v>
      </c>
      <c r="AI128" s="217" t="str">
        <f t="shared" ca="1" si="22"/>
        <v>D</v>
      </c>
      <c r="AJ128" s="177">
        <f t="shared" si="17"/>
        <v>1</v>
      </c>
      <c r="AK128" s="224" t="str">
        <f>IF(V128&lt;&gt;1,"",SUM($V$8:V128))</f>
        <v/>
      </c>
      <c r="AL128" s="177">
        <f t="shared" si="18"/>
        <v>1</v>
      </c>
    </row>
    <row r="129" spans="2:38" s="11" customFormat="1" ht="20" hidden="1">
      <c r="B129" s="21"/>
      <c r="C129" s="21"/>
      <c r="D129" s="22"/>
      <c r="E129" s="832"/>
      <c r="F129" s="781"/>
      <c r="G129" s="782"/>
      <c r="H129" s="783"/>
      <c r="I129" s="783"/>
      <c r="J129" s="784"/>
      <c r="K129" s="784"/>
      <c r="L129" s="901"/>
      <c r="M129" s="902"/>
      <c r="N129" s="907"/>
      <c r="O129" s="798"/>
      <c r="P129" s="902"/>
      <c r="Q129" s="908"/>
      <c r="R129" s="798"/>
      <c r="S129" s="785" t="str">
        <f>IF(G129="","",AG129)</f>
        <v/>
      </c>
      <c r="T129" s="786"/>
      <c r="U129" s="116"/>
      <c r="V129" s="787"/>
      <c r="X129" s="127" t="s">
        <v>421</v>
      </c>
      <c r="Y129" s="257">
        <f t="shared" si="14"/>
        <v>122</v>
      </c>
      <c r="Z129" s="257" t="str">
        <f>IF(AA129&lt;&gt;"//",COUNTA($AA$8:AA129)-COUNTIF($AA$8:AA129,"//"),"")</f>
        <v/>
      </c>
      <c r="AA129" s="257" t="str">
        <f t="shared" si="21"/>
        <v>//</v>
      </c>
      <c r="AB129" s="257" t="str">
        <f ca="1">_xlfn.IFNA(IF(COUNTIF('4.1(2)新規再エネ導入予定(FS調査、系統接続検討状況)'!$G:$G,OFFSET($AA$7,MATCH($Y129,$Z$8:$Z$167,0),0))=0,OFFSET($AA$7,MATCH($Y129,$Z$8:$Z$167,0),0),""),"")</f>
        <v/>
      </c>
      <c r="AC129" s="257" t="str">
        <f ca="1">_xlfn.IFNA(IF(COUNTIF('4.1(2)新規再エネ導入予定(合意形成)'!$G:$G,OFFSET($AA$7,MATCH($Y129,$Z$8:$Z$167,0),0))=0,OFFSET($AA$7,MATCH($Y129,$Z$8:$Z$167,0),0),""),"")</f>
        <v/>
      </c>
      <c r="AD129" s="257" t="str">
        <f ca="1">_xlfn.IFNA(OFFSET('4.1(2)新規再エネ導入予定(FS調査、系統接続検討状況)'!$W$1,MATCH(G129,'4.1(2)新規再エネ導入予定(FS調査、系統接続検討状況)'!G:G,0)-1,0),"//")</f>
        <v>//</v>
      </c>
      <c r="AE129" s="279" t="str">
        <f ca="1">_xlfn.IFNA(OFFSET('4.1(2)新規再エネ導入予定(合意形成)'!$AJ$1,MATCH(G129,'4.1(2)新規再エネ導入予定(合意形成)'!G:G,0)-1,0),"//")</f>
        <v>//</v>
      </c>
      <c r="AF129" s="257">
        <f t="shared" ca="1" si="25"/>
        <v>0</v>
      </c>
      <c r="AG129" s="131" t="str" cm="1">
        <f t="array" aca="1" ref="AG129" ca="1">IFERROR(_xlfn.IFS(COUNTIF($AB$8:$AC$167,G129)&gt;0,"",AF129&lt;=1,"D",AF129=2,"C",AF129=3,"B",AF129=4,"A"),"")</f>
        <v/>
      </c>
      <c r="AH129" s="257" t="str">
        <f ca="1">_xlfn.IFNA(OFFSET('4.1(2)新規再エネ導入予定(合意形成)'!$Z$1,MATCH($G129,'4.1(2)新規再エネ導入予定(合意形成)'!$G:$G,0)-1,0),"")</f>
        <v/>
      </c>
      <c r="AI129" s="131" t="str">
        <f t="shared" si="22"/>
        <v/>
      </c>
      <c r="AJ129" s="257" t="str">
        <f t="shared" si="17"/>
        <v/>
      </c>
      <c r="AK129" s="127" t="str">
        <f>IF(V129&lt;&gt;1,"",SUM($V$8:V129))</f>
        <v/>
      </c>
      <c r="AL129" s="257">
        <f t="shared" si="18"/>
        <v>1</v>
      </c>
    </row>
    <row r="130" spans="2:38" s="11" customFormat="1" ht="20">
      <c r="B130" s="21"/>
      <c r="C130" s="21"/>
      <c r="D130" s="22"/>
      <c r="E130" s="832"/>
      <c r="F130" s="788"/>
      <c r="G130" s="789"/>
      <c r="H130" s="790"/>
      <c r="I130" s="790"/>
      <c r="J130" s="791"/>
      <c r="K130" s="791"/>
      <c r="L130" s="731"/>
      <c r="M130" s="904"/>
      <c r="N130" s="907"/>
      <c r="O130" s="795"/>
      <c r="P130" s="904"/>
      <c r="Q130" s="908"/>
      <c r="R130" s="795"/>
      <c r="S130" s="793" t="str">
        <f>IF(G130="","",AG130)</f>
        <v/>
      </c>
      <c r="T130" s="786"/>
      <c r="U130" s="116"/>
      <c r="V130" s="794" t="str">
        <f>IF(H130&lt;&gt;"",1,"")</f>
        <v/>
      </c>
      <c r="X130" s="127" t="s">
        <v>421</v>
      </c>
      <c r="Y130" s="257">
        <f t="shared" si="14"/>
        <v>123</v>
      </c>
      <c r="Z130" s="257" t="str">
        <f>IF(AA130&lt;&gt;"//",COUNTA($AA$8:AA130)-COUNTIF($AA$8:AA130,"//"),"")</f>
        <v/>
      </c>
      <c r="AA130" s="257" t="str">
        <f t="shared" si="21"/>
        <v>//</v>
      </c>
      <c r="AB130" s="257" t="str">
        <f ca="1">_xlfn.IFNA(IF(COUNTIF('4.1(2)新規再エネ導入予定(FS調査、系統接続検討状況)'!$G:$G,OFFSET($AA$7,MATCH($Y130,$Z$8:$Z$167,0),0))=0,OFFSET($AA$7,MATCH($Y130,$Z$8:$Z$167,0),0),""),"")</f>
        <v/>
      </c>
      <c r="AC130" s="257" t="str">
        <f ca="1">_xlfn.IFNA(IF(COUNTIF('4.1(2)新規再エネ導入予定(合意形成)'!$G:$G,OFFSET($AA$7,MATCH($Y130,$Z$8:$Z$167,0),0))=0,OFFSET($AA$7,MATCH($Y130,$Z$8:$Z$167,0),0),""),"")</f>
        <v/>
      </c>
      <c r="AD130" s="257" t="str">
        <f ca="1">_xlfn.IFNA(OFFSET('4.1(2)新規再エネ導入予定(FS調査、系統接続検討状況)'!$W$1,MATCH(G130,'4.1(2)新規再エネ導入予定(FS調査、系統接続検討状況)'!G:G,0)-1,0),"//")</f>
        <v>//</v>
      </c>
      <c r="AE130" s="279" t="str">
        <f ca="1">_xlfn.IFNA(OFFSET('4.1(2)新規再エネ導入予定(合意形成)'!$AJ$1,MATCH(G130,'4.1(2)新規再エネ導入予定(合意形成)'!G:G,0)-1,0),"//")</f>
        <v>//</v>
      </c>
      <c r="AF130" s="257">
        <f t="shared" ca="1" si="25"/>
        <v>0</v>
      </c>
      <c r="AG130" s="131" t="str" cm="1">
        <f t="array" aca="1" ref="AG130" ca="1">IFERROR(_xlfn.IFS(COUNTIF($AB$8:$AC$167,G130)&gt;0,"",AF130&lt;=1,"D",AF130=2,"C",AF130=3,"B",AF130=4,"A"),"")</f>
        <v/>
      </c>
      <c r="AH130" s="257" t="str">
        <f ca="1">_xlfn.IFNA(OFFSET('4.1(2)新規再エネ導入予定(合意形成)'!$Z$1,MATCH($G130,'4.1(2)新規再エネ導入予定(合意形成)'!$G:$G,0)-1,0),"")</f>
        <v/>
      </c>
      <c r="AI130" s="131" t="str">
        <f t="shared" si="22"/>
        <v/>
      </c>
      <c r="AJ130" s="257" t="str">
        <f t="shared" si="17"/>
        <v/>
      </c>
      <c r="AK130" s="127" t="str">
        <f>IF(V130&lt;&gt;1,"",SUM($V$8:V130))</f>
        <v/>
      </c>
      <c r="AL130" s="257">
        <f t="shared" si="18"/>
        <v>1</v>
      </c>
    </row>
    <row r="131" spans="2:38" s="11" customFormat="1" ht="20">
      <c r="B131" s="21"/>
      <c r="C131" s="21"/>
      <c r="D131" s="22"/>
      <c r="E131" s="832"/>
      <c r="F131" s="788"/>
      <c r="G131" s="789"/>
      <c r="H131" s="790"/>
      <c r="I131" s="790"/>
      <c r="J131" s="791"/>
      <c r="K131" s="791"/>
      <c r="L131" s="906"/>
      <c r="M131" s="904"/>
      <c r="N131" s="907"/>
      <c r="O131" s="795"/>
      <c r="P131" s="904"/>
      <c r="Q131" s="908"/>
      <c r="R131" s="795"/>
      <c r="S131" s="793" t="str">
        <f>IF(G131="","",AG131)</f>
        <v/>
      </c>
      <c r="T131" s="786"/>
      <c r="U131" s="116"/>
      <c r="V131" s="794" t="str">
        <f>IF(H131&lt;&gt;"",1,"")</f>
        <v/>
      </c>
      <c r="X131" s="127" t="s">
        <v>421</v>
      </c>
      <c r="Y131" s="257">
        <f t="shared" si="14"/>
        <v>124</v>
      </c>
      <c r="Z131" s="257" t="str">
        <f>IF(AA131&lt;&gt;"//",COUNTA($AA$8:AA131)-COUNTIF($AA$8:AA131,"//"),"")</f>
        <v/>
      </c>
      <c r="AA131" s="257" t="str">
        <f t="shared" si="21"/>
        <v>//</v>
      </c>
      <c r="AB131" s="257" t="str">
        <f ca="1">_xlfn.IFNA(IF(COUNTIF('4.1(2)新規再エネ導入予定(FS調査、系統接続検討状況)'!$G:$G,OFFSET($AA$7,MATCH($Y131,$Z$8:$Z$167,0),0))=0,OFFSET($AA$7,MATCH($Y131,$Z$8:$Z$167,0),0),""),"")</f>
        <v/>
      </c>
      <c r="AC131" s="257" t="str">
        <f ca="1">_xlfn.IFNA(IF(COUNTIF('4.1(2)新規再エネ導入予定(合意形成)'!$G:$G,OFFSET($AA$7,MATCH($Y131,$Z$8:$Z$167,0),0))=0,OFFSET($AA$7,MATCH($Y131,$Z$8:$Z$167,0),0),""),"")</f>
        <v/>
      </c>
      <c r="AD131" s="257" t="str">
        <f ca="1">_xlfn.IFNA(OFFSET('4.1(2)新規再エネ導入予定(FS調査、系統接続検討状況)'!$W$1,MATCH(G131,'4.1(2)新規再エネ導入予定(FS調査、系統接続検討状況)'!G:G,0)-1,0),"//")</f>
        <v>//</v>
      </c>
      <c r="AE131" s="279" t="str">
        <f ca="1">_xlfn.IFNA(OFFSET('4.1(2)新規再エネ導入予定(合意形成)'!$AJ$1,MATCH(G131,'4.1(2)新規再エネ導入予定(合意形成)'!G:G,0)-1,0),"//")</f>
        <v>//</v>
      </c>
      <c r="AF131" s="257">
        <f t="shared" ca="1" si="25"/>
        <v>0</v>
      </c>
      <c r="AG131" s="131" t="str" cm="1">
        <f t="array" aca="1" ref="AG131" ca="1">IFERROR(_xlfn.IFS(COUNTIF($AB$8:$AC$167,G131)&gt;0,"",AF131&lt;=1,"D",AF131=2,"C",AF131=3,"B",AF131=4,"A"),"")</f>
        <v/>
      </c>
      <c r="AH131" s="257" t="str">
        <f ca="1">_xlfn.IFNA(OFFSET('4.1(2)新規再エネ導入予定(合意形成)'!$Z$1,MATCH($G131,'4.1(2)新規再エネ導入予定(合意形成)'!$G:$G,0)-1,0),"")</f>
        <v/>
      </c>
      <c r="AI131" s="131" t="str">
        <f t="shared" si="22"/>
        <v/>
      </c>
      <c r="AJ131" s="257" t="str">
        <f t="shared" si="17"/>
        <v/>
      </c>
      <c r="AK131" s="127" t="str">
        <f>IF(V131&lt;&gt;1,"",SUM($V$8:V131))</f>
        <v/>
      </c>
      <c r="AL131" s="257">
        <f t="shared" si="18"/>
        <v>1</v>
      </c>
    </row>
    <row r="132" spans="2:38" s="11" customFormat="1" ht="20">
      <c r="B132" s="21"/>
      <c r="C132" s="21"/>
      <c r="D132" s="22"/>
      <c r="E132" s="832"/>
      <c r="F132" s="788"/>
      <c r="G132" s="789"/>
      <c r="H132" s="790"/>
      <c r="I132" s="790"/>
      <c r="J132" s="791"/>
      <c r="K132" s="791"/>
      <c r="L132" s="731"/>
      <c r="M132" s="734"/>
      <c r="N132" s="907"/>
      <c r="O132" s="795"/>
      <c r="P132" s="904"/>
      <c r="Q132" s="908"/>
      <c r="R132" s="795"/>
      <c r="S132" s="793" t="str">
        <f>IF(G132="","",AG132)</f>
        <v/>
      </c>
      <c r="T132" s="786"/>
      <c r="U132" s="116"/>
      <c r="V132" s="794" t="str">
        <f>IF(H132&lt;&gt;"",1,"")</f>
        <v/>
      </c>
      <c r="X132" s="127" t="s">
        <v>421</v>
      </c>
      <c r="Y132" s="257">
        <f t="shared" si="14"/>
        <v>125</v>
      </c>
      <c r="Z132" s="257" t="str">
        <f>IF(AA132&lt;&gt;"//",COUNTA($AA$8:AA132)-COUNTIF($AA$8:AA132,"//"),"")</f>
        <v/>
      </c>
      <c r="AA132" s="257" t="str">
        <f t="shared" si="21"/>
        <v>//</v>
      </c>
      <c r="AB132" s="257" t="str">
        <f ca="1">_xlfn.IFNA(IF(COUNTIF('4.1(2)新規再エネ導入予定(FS調査、系統接続検討状況)'!$G:$G,OFFSET($AA$7,MATCH($Y132,$Z$8:$Z$167,0),0))=0,OFFSET($AA$7,MATCH($Y132,$Z$8:$Z$167,0),0),""),"")</f>
        <v/>
      </c>
      <c r="AC132" s="257" t="str">
        <f ca="1">_xlfn.IFNA(IF(COUNTIF('4.1(2)新規再エネ導入予定(合意形成)'!$G:$G,OFFSET($AA$7,MATCH($Y132,$Z$8:$Z$167,0),0))=0,OFFSET($AA$7,MATCH($Y132,$Z$8:$Z$167,0),0),""),"")</f>
        <v/>
      </c>
      <c r="AD132" s="257" t="str">
        <f ca="1">_xlfn.IFNA(OFFSET('4.1(2)新規再エネ導入予定(FS調査、系統接続検討状況)'!$W$1,MATCH(G132,'4.1(2)新規再エネ導入予定(FS調査、系統接続検討状況)'!G:G,0)-1,0),"//")</f>
        <v>//</v>
      </c>
      <c r="AE132" s="279" t="str">
        <f ca="1">_xlfn.IFNA(OFFSET('4.1(2)新規再エネ導入予定(合意形成)'!$AJ$1,MATCH(G132,'4.1(2)新規再エネ導入予定(合意形成)'!G:G,0)-1,0),"//")</f>
        <v>//</v>
      </c>
      <c r="AF132" s="257">
        <f t="shared" ca="1" si="25"/>
        <v>0</v>
      </c>
      <c r="AG132" s="131" t="str" cm="1">
        <f t="array" aca="1" ref="AG132" ca="1">IFERROR(_xlfn.IFS(COUNTIF($AB$8:$AC$167,G132)&gt;0,"",AF132&lt;=1,"D",AF132=2,"C",AF132=3,"B",AF132=4,"A"),"")</f>
        <v/>
      </c>
      <c r="AH132" s="257" t="str">
        <f ca="1">_xlfn.IFNA(OFFSET('4.1(2)新規再エネ導入予定(合意形成)'!$Z$1,MATCH($G132,'4.1(2)新規再エネ導入予定(合意形成)'!$G:$G,0)-1,0),"")</f>
        <v/>
      </c>
      <c r="AI132" s="131" t="str">
        <f t="shared" si="22"/>
        <v/>
      </c>
      <c r="AJ132" s="257" t="str">
        <f t="shared" si="17"/>
        <v/>
      </c>
      <c r="AK132" s="127" t="str">
        <f>IF(V132&lt;&gt;1,"",SUM($V$8:V132))</f>
        <v/>
      </c>
      <c r="AL132" s="257">
        <f t="shared" si="18"/>
        <v>1</v>
      </c>
    </row>
    <row r="133" spans="2:38" ht="20">
      <c r="D133" s="16"/>
      <c r="E133" s="833"/>
      <c r="F133" s="816" t="s">
        <v>26</v>
      </c>
      <c r="G133" s="802"/>
      <c r="H133" s="802"/>
      <c r="I133" s="802"/>
      <c r="J133" s="802"/>
      <c r="K133" s="802"/>
      <c r="L133" s="758"/>
      <c r="M133" s="502">
        <f ca="1">SUM(INDIRECT("M"&amp;ROW(M128)&amp;":M"&amp;ROW()-1))</f>
        <v>0</v>
      </c>
      <c r="N133" s="750"/>
      <c r="O133" s="817"/>
      <c r="P133" s="710">
        <f ca="1">SUM(INDIRECT("P"&amp;ROW(P128)&amp;":P"&amp;ROW()-1))</f>
        <v>0</v>
      </c>
      <c r="Q133" s="744"/>
      <c r="R133" s="806"/>
      <c r="S133" s="803"/>
      <c r="T133" s="771"/>
      <c r="V133" s="224" t="str">
        <f t="shared" ref="V133" si="26">IF(H133&lt;&gt;"",1,"")</f>
        <v/>
      </c>
      <c r="X133" s="224" t="s">
        <v>421</v>
      </c>
      <c r="Y133" s="177">
        <f t="shared" si="14"/>
        <v>126</v>
      </c>
      <c r="Z133" s="177" t="str">
        <f>IF(AA133&lt;&gt;"//",COUNTA($AA$8:AA133)-COUNTIF($AA$8:AA133,"//"),"")</f>
        <v/>
      </c>
      <c r="AA133" s="177" t="str">
        <f t="shared" si="21"/>
        <v>//</v>
      </c>
      <c r="AB133" s="177" t="str">
        <f ca="1">_xlfn.IFNA(IF(COUNTIF('4.1(2)新規再エネ導入予定(FS調査、系統接続検討状況)'!$G:$G,OFFSET($AA$7,MATCH($Y133,$Z$8:$Z$167,0),0))=0,OFFSET($AA$7,MATCH($Y133,$Z$8:$Z$167,0),0),""),"")</f>
        <v/>
      </c>
      <c r="AC133" s="177" t="str">
        <f ca="1">_xlfn.IFNA(IF(COUNTIF('4.1(2)新規再エネ導入予定(合意形成)'!$G:$G,OFFSET($AA$7,MATCH($Y133,$Z$8:$Z$167,0),0))=0,OFFSET($AA$7,MATCH($Y133,$Z$8:$Z$167,0),0),""),"")</f>
        <v/>
      </c>
      <c r="AD133" s="177" t="str">
        <f ca="1">_xlfn.IFNA(OFFSET('4.1(2)新規再エネ導入予定(FS調査、系統接続検討状況)'!$W$1,MATCH(G133,'4.1(2)新規再エネ導入予定(FS調査、系統接続検討状況)'!G:G,0)-1,0),"//")</f>
        <v>//</v>
      </c>
      <c r="AE133" s="264" t="str">
        <f ca="1">_xlfn.IFNA(OFFSET('4.1(2)新規再エネ導入予定(合意形成)'!$AJ$1,MATCH(G133,'4.1(2)新規再エネ導入予定(合意形成)'!G:G,0)-1,0),"//")</f>
        <v>//</v>
      </c>
      <c r="AF133" s="177">
        <f t="shared" ca="1" si="25"/>
        <v>0</v>
      </c>
      <c r="AG133" s="217" t="str" cm="1">
        <f t="array" aca="1" ref="AG133" ca="1">IFERROR(_xlfn.IFS(COUNTIF($AB$8:$AC$167,G133)&gt;0,"",AF133&lt;=1,"D",AF133=2,"C",AF133=3,"B",AF133=4,"A"),"")</f>
        <v/>
      </c>
      <c r="AH133" s="177" t="str">
        <f ca="1">_xlfn.IFNA(OFFSET('4.1(2)新規再エネ導入予定(合意形成)'!$Z$1,MATCH($G133,'4.1(2)新規再エネ導入予定(合意形成)'!$G:$G,0)-1,0),"")</f>
        <v/>
      </c>
      <c r="AI133" s="217" t="str">
        <f t="shared" si="22"/>
        <v/>
      </c>
      <c r="AJ133" s="177" t="str">
        <f t="shared" si="17"/>
        <v/>
      </c>
      <c r="AK133" s="224" t="str">
        <f>IF(V133&lt;&gt;1,"",SUM($V$8:V133))</f>
        <v/>
      </c>
      <c r="AL133" s="177">
        <f t="shared" si="18"/>
        <v>1</v>
      </c>
    </row>
    <row r="134" spans="2:38">
      <c r="D134" s="46"/>
      <c r="E134" s="470"/>
      <c r="F134" s="470"/>
      <c r="G134" s="470"/>
      <c r="H134" s="470"/>
      <c r="I134" s="470"/>
      <c r="J134" s="470"/>
      <c r="K134" s="470"/>
      <c r="L134" s="759"/>
      <c r="M134" s="470"/>
      <c r="N134" s="473"/>
      <c r="O134" s="808"/>
      <c r="P134" s="470"/>
      <c r="Q134" s="473"/>
      <c r="R134" s="808"/>
      <c r="S134" s="470"/>
      <c r="T134" s="809"/>
      <c r="X134" s="224" t="s">
        <v>421</v>
      </c>
      <c r="Y134" s="177">
        <f t="shared" si="14"/>
        <v>127</v>
      </c>
      <c r="Z134" s="177" t="str">
        <f>IF(AA134&lt;&gt;"//",COUNTA($AA$8:AA134)-COUNTIF($AA$8:AA134,"//"),"")</f>
        <v/>
      </c>
      <c r="AA134" s="177" t="str">
        <f t="shared" si="21"/>
        <v>//</v>
      </c>
      <c r="AB134" s="177" t="str">
        <f ca="1">_xlfn.IFNA(IF(COUNTIF('4.1(2)新規再エネ導入予定(FS調査、系統接続検討状況)'!$G:$G,OFFSET($AA$7,MATCH($Y134,$Z$8:$Z$167,0),0))=0,OFFSET($AA$7,MATCH($Y134,$Z$8:$Z$167,0),0),""),"")</f>
        <v/>
      </c>
      <c r="AC134" s="177" t="str">
        <f ca="1">_xlfn.IFNA(IF(COUNTIF('4.1(2)新規再エネ導入予定(合意形成)'!$G:$G,OFFSET($AA$7,MATCH($Y134,$Z$8:$Z$167,0),0))=0,OFFSET($AA$7,MATCH($Y134,$Z$8:$Z$167,0),0),""),"")</f>
        <v/>
      </c>
      <c r="AD134" s="177" t="str">
        <f ca="1">_xlfn.IFNA(OFFSET('4.1(2)新規再エネ導入予定(FS調査、系統接続検討状況)'!$W$1,MATCH(G134,'4.1(2)新規再エネ導入予定(FS調査、系統接続検討状況)'!G:G,0)-1,0),"//")</f>
        <v>//</v>
      </c>
      <c r="AE134" s="264" t="str">
        <f ca="1">_xlfn.IFNA(OFFSET('4.1(2)新規再エネ導入予定(合意形成)'!$AJ$1,MATCH(G134,'4.1(2)新規再エネ導入予定(合意形成)'!G:G,0)-1,0),"//")</f>
        <v>//</v>
      </c>
      <c r="AF134" s="177">
        <f t="shared" ca="1" si="25"/>
        <v>0</v>
      </c>
      <c r="AG134" s="217" t="str" cm="1">
        <f t="array" aca="1" ref="AG134" ca="1">IFERROR(_xlfn.IFS(COUNTIF($AB$8:$AC$167,G134)&gt;0,"",AF134&lt;=1,"D",AF134=2,"C",AF134=3,"B",AF134=4,"A"),"")</f>
        <v/>
      </c>
      <c r="AH134" s="177" t="str">
        <f ca="1">_xlfn.IFNA(OFFSET('4.1(2)新規再エネ導入予定(合意形成)'!$Z$1,MATCH($G134,'4.1(2)新規再エネ導入予定(合意形成)'!$G:$G,0)-1,0),"")</f>
        <v/>
      </c>
      <c r="AI134" s="217" t="str">
        <f t="shared" si="22"/>
        <v/>
      </c>
      <c r="AJ134" s="177" t="str">
        <f t="shared" si="17"/>
        <v/>
      </c>
      <c r="AK134" s="224" t="str">
        <f>IF(V134&lt;&gt;1,"",SUM($V$8:V134))</f>
        <v/>
      </c>
      <c r="AL134" s="177">
        <f t="shared" si="18"/>
        <v>1</v>
      </c>
    </row>
    <row r="135" spans="2:38">
      <c r="F135" s="741"/>
      <c r="G135" s="741"/>
      <c r="H135" s="741"/>
      <c r="I135" s="741"/>
      <c r="J135" s="741"/>
      <c r="K135" s="741"/>
      <c r="L135" s="756"/>
      <c r="M135" s="741"/>
      <c r="N135" s="746"/>
      <c r="O135" s="810"/>
      <c r="P135" s="741"/>
      <c r="X135" s="224" t="s">
        <v>421</v>
      </c>
      <c r="Y135" s="177">
        <f t="shared" ref="Y135:Y167" si="27">ROW()-ROW($Y$7)</f>
        <v>128</v>
      </c>
      <c r="Z135" s="177" t="str">
        <f>IF(AA135&lt;&gt;"//",COUNTA($AA$8:AA135)-COUNTIF($AA$8:AA135,"//"),"")</f>
        <v/>
      </c>
      <c r="AA135" s="177" t="str">
        <f t="shared" si="21"/>
        <v>//</v>
      </c>
      <c r="AB135" s="177" t="str">
        <f ca="1">_xlfn.IFNA(IF(COUNTIF('4.1(2)新規再エネ導入予定(FS調査、系統接続検討状況)'!$G:$G,OFFSET($AA$7,MATCH($Y135,$Z$8:$Z$167,0),0))=0,OFFSET($AA$7,MATCH($Y135,$Z$8:$Z$167,0),0),""),"")</f>
        <v/>
      </c>
      <c r="AC135" s="177" t="str">
        <f ca="1">_xlfn.IFNA(IF(COUNTIF('4.1(2)新規再エネ導入予定(合意形成)'!$G:$G,OFFSET($AA$7,MATCH($Y135,$Z$8:$Z$167,0),0))=0,OFFSET($AA$7,MATCH($Y135,$Z$8:$Z$167,0),0),""),"")</f>
        <v/>
      </c>
      <c r="AD135" s="177" t="str">
        <f ca="1">_xlfn.IFNA(OFFSET('4.1(2)新規再エネ導入予定(FS調査、系統接続検討状況)'!$W$1,MATCH(G135,'4.1(2)新規再エネ導入予定(FS調査、系統接続検討状況)'!G:G,0)-1,0),"//")</f>
        <v>//</v>
      </c>
      <c r="AE135" s="264" t="str">
        <f ca="1">_xlfn.IFNA(OFFSET('4.1(2)新規再エネ導入予定(合意形成)'!$AJ$1,MATCH(G135,'4.1(2)新規再エネ導入予定(合意形成)'!G:G,0)-1,0),"//")</f>
        <v>//</v>
      </c>
      <c r="AF135" s="177">
        <f t="shared" ca="1" si="25"/>
        <v>0</v>
      </c>
      <c r="AG135" s="217" t="str" cm="1">
        <f t="array" aca="1" ref="AG135" ca="1">IFERROR(_xlfn.IFS(COUNTIF($AB$8:$AC$167,G135)&gt;0,"",AF135&lt;=1,"D",AF135=2,"C",AF135=3,"B",AF135=4,"A"),"")</f>
        <v/>
      </c>
      <c r="AH135" s="177" t="str">
        <f ca="1">_xlfn.IFNA(OFFSET('4.1(2)新規再エネ導入予定(合意形成)'!$Z$1,MATCH($G135,'4.1(2)新規再エネ導入予定(合意形成)'!$G:$G,0)-1,0),"")</f>
        <v/>
      </c>
      <c r="AI135" s="217" t="str">
        <f t="shared" si="22"/>
        <v/>
      </c>
      <c r="AJ135" s="177" t="str">
        <f t="shared" si="17"/>
        <v/>
      </c>
      <c r="AK135" s="224" t="str">
        <f>IF(V135&lt;&gt;1,"",SUM($V$8:V135))</f>
        <v/>
      </c>
      <c r="AL135" s="177">
        <f t="shared" si="18"/>
        <v>1</v>
      </c>
    </row>
    <row r="136" spans="2:38" ht="9.75" customHeight="1">
      <c r="D136" s="14"/>
      <c r="E136" s="463"/>
      <c r="F136" s="811"/>
      <c r="G136" s="463"/>
      <c r="H136" s="463"/>
      <c r="I136" s="463"/>
      <c r="J136" s="463"/>
      <c r="K136" s="463"/>
      <c r="L136" s="753"/>
      <c r="M136" s="463"/>
      <c r="N136" s="747"/>
      <c r="O136" s="769"/>
      <c r="P136" s="463"/>
      <c r="Q136" s="466"/>
      <c r="R136" s="769"/>
      <c r="S136" s="463"/>
      <c r="T136" s="770"/>
      <c r="X136" s="224" t="s">
        <v>422</v>
      </c>
      <c r="Y136" s="177">
        <f t="shared" si="27"/>
        <v>129</v>
      </c>
      <c r="Z136" s="177" t="str">
        <f>IF(AA136&lt;&gt;"//",COUNTA($AA$8:AA136)-COUNTIF($AA$8:AA136,"//"),"")</f>
        <v/>
      </c>
      <c r="AA136" s="177" t="str">
        <f t="shared" ref="AA136:AA167" si="28">IF(OR(G136="",G136="施設番号"),"//",G136)</f>
        <v>//</v>
      </c>
      <c r="AB136" s="177" t="str">
        <f ca="1">_xlfn.IFNA(IF(COUNTIF('4.1(2)新規再エネ導入予定(FS調査、系統接続検討状況)'!$G:$G,OFFSET($AA$7,MATCH($Y136,$Z$8:$Z$167,0),0))=0,OFFSET($AA$7,MATCH($Y136,$Z$8:$Z$167,0),0),""),"")</f>
        <v/>
      </c>
      <c r="AC136" s="177" t="str">
        <f ca="1">_xlfn.IFNA(IF(COUNTIF('4.1(2)新規再エネ導入予定(合意形成)'!$G:$G,OFFSET($AA$7,MATCH($Y136,$Z$8:$Z$167,0),0))=0,OFFSET($AA$7,MATCH($Y136,$Z$8:$Z$167,0),0),""),"")</f>
        <v/>
      </c>
      <c r="AD136" s="177" t="str">
        <f ca="1">_xlfn.IFNA(OFFSET('4.1(2)新規再エネ導入予定(FS調査、系統接続検討状況)'!$W$1,MATCH(G136,'4.1(2)新規再エネ導入予定(FS調査、系統接続検討状況)'!G:G,0)-1,0),"//")</f>
        <v>//</v>
      </c>
      <c r="AE136" s="264" t="str">
        <f ca="1">_xlfn.IFNA(OFFSET('4.1(2)新規再エネ導入予定(合意形成)'!$AJ$1,MATCH(G136,'4.1(2)新規再エネ導入予定(合意形成)'!G:G,0)-1,0),"//")</f>
        <v>//</v>
      </c>
      <c r="AF136" s="177">
        <f t="shared" ca="1" si="25"/>
        <v>0</v>
      </c>
      <c r="AG136" s="217" t="str" cm="1">
        <f t="array" aca="1" ref="AG136" ca="1">IFERROR(_xlfn.IFS(COUNTIF($AB$8:$AC$167,G136)&gt;0,"",AF136&lt;=1,"D",AF136=2,"C",AF136=3,"B",AF136=4,"A"),"")</f>
        <v/>
      </c>
      <c r="AH136" s="177" t="str">
        <f ca="1">_xlfn.IFNA(OFFSET('4.1(2)新規再エネ導入予定(合意形成)'!$Z$1,MATCH($G136,'4.1(2)新規再エネ導入予定(合意形成)'!$G:$G,0)-1,0),"")</f>
        <v/>
      </c>
      <c r="AI136" s="217" t="str">
        <f t="shared" ref="AI136:AI167" si="29">IF(G136="","",AG136)</f>
        <v/>
      </c>
      <c r="AJ136" s="177" t="str">
        <f t="shared" ref="AJ136:AJ146" si="30">IF(D136="【その他発電】","",IF(H136&lt;&gt;"",1,""))</f>
        <v/>
      </c>
      <c r="AK136" s="224" t="str">
        <f>IF(V136&lt;&gt;1,"",SUM($V$8:V136))</f>
        <v/>
      </c>
      <c r="AL136" s="177">
        <f t="shared" si="18"/>
        <v>1</v>
      </c>
    </row>
    <row r="137" spans="2:38" ht="29">
      <c r="D137" s="239" t="s">
        <v>92</v>
      </c>
      <c r="F137" s="813"/>
      <c r="N137" s="748"/>
      <c r="S137" s="325"/>
      <c r="T137" s="771"/>
      <c r="X137" s="224" t="s">
        <v>422</v>
      </c>
      <c r="Y137" s="177">
        <f t="shared" si="27"/>
        <v>130</v>
      </c>
      <c r="Z137" s="177" t="str">
        <f>IF(AA137&lt;&gt;"//",COUNTA($AA$8:AA137)-COUNTIF($AA$8:AA137,"//"),"")</f>
        <v/>
      </c>
      <c r="AA137" s="177" t="str">
        <f t="shared" si="28"/>
        <v>//</v>
      </c>
      <c r="AB137" s="177" t="str">
        <f ca="1">_xlfn.IFNA(IF(COUNTIF('4.1(2)新規再エネ導入予定(FS調査、系統接続検討状況)'!$G:$G,OFFSET($AA$7,MATCH($Y137,$Z$8:$Z$167,0),0))=0,OFFSET($AA$7,MATCH($Y137,$Z$8:$Z$167,0),0),""),"")</f>
        <v/>
      </c>
      <c r="AC137" s="177" t="str">
        <f ca="1">_xlfn.IFNA(IF(COUNTIF('4.1(2)新規再エネ導入予定(合意形成)'!$G:$G,OFFSET($AA$7,MATCH($Y137,$Z$8:$Z$167,0),0))=0,OFFSET($AA$7,MATCH($Y137,$Z$8:$Z$167,0),0),""),"")</f>
        <v/>
      </c>
      <c r="AD137" s="177" t="str">
        <f ca="1">_xlfn.IFNA(OFFSET('4.1(2)新規再エネ導入予定(FS調査、系統接続検討状況)'!$W$1,MATCH(G137,'4.1(2)新規再エネ導入予定(FS調査、系統接続検討状況)'!G:G,0)-1,0),"//")</f>
        <v>//</v>
      </c>
      <c r="AE137" s="264" t="str">
        <f ca="1">_xlfn.IFNA(OFFSET('4.1(2)新規再エネ導入予定(合意形成)'!$AJ$1,MATCH(G137,'4.1(2)新規再エネ導入予定(合意形成)'!G:G,0)-1,0),"//")</f>
        <v>//</v>
      </c>
      <c r="AF137" s="177">
        <f t="shared" ca="1" si="25"/>
        <v>0</v>
      </c>
      <c r="AG137" s="217" t="str" cm="1">
        <f t="array" aca="1" ref="AG137" ca="1">IFERROR(_xlfn.IFS(COUNTIF($AB$8:$AC$167,G137)&gt;0,"",AF137&lt;=1,"D",AF137=2,"C",AF137=3,"B",AF137=4,"A"),"")</f>
        <v/>
      </c>
      <c r="AH137" s="177" t="str">
        <f ca="1">_xlfn.IFNA(OFFSET('4.1(2)新規再エネ導入予定(合意形成)'!$Z$1,MATCH($G137,'4.1(2)新規再エネ導入予定(合意形成)'!$G:$G,0)-1,0),"")</f>
        <v/>
      </c>
      <c r="AI137" s="217" t="str">
        <f t="shared" si="29"/>
        <v/>
      </c>
      <c r="AJ137" s="177" t="str">
        <f t="shared" si="30"/>
        <v/>
      </c>
      <c r="AK137" s="224" t="str">
        <f>IF(V137&lt;&gt;1,"",SUM($V$8:V137))</f>
        <v/>
      </c>
      <c r="AL137" s="177">
        <f t="shared" ref="AL137:AL167" si="31">IF(S137="設備導入の実現可能性",1,IF(AND(S137=AI137,V137=AJ137),1,0))</f>
        <v>1</v>
      </c>
    </row>
    <row r="138" spans="2:38" ht="60">
      <c r="D138" s="16"/>
      <c r="E138" s="831"/>
      <c r="F138" s="742" t="s">
        <v>8</v>
      </c>
      <c r="G138" s="742" t="s">
        <v>186</v>
      </c>
      <c r="H138" s="742" t="s">
        <v>181</v>
      </c>
      <c r="I138" s="742" t="s">
        <v>9</v>
      </c>
      <c r="J138" s="742" t="s">
        <v>10</v>
      </c>
      <c r="K138" s="757" t="s">
        <v>97</v>
      </c>
      <c r="L138" s="742" t="s">
        <v>31</v>
      </c>
      <c r="M138" s="757" t="s">
        <v>13</v>
      </c>
      <c r="N138" s="757" t="s">
        <v>180</v>
      </c>
      <c r="O138" s="742" t="s">
        <v>192</v>
      </c>
      <c r="P138" s="742" t="s">
        <v>605</v>
      </c>
      <c r="Q138" s="742" t="s">
        <v>179</v>
      </c>
      <c r="R138" s="742" t="s">
        <v>14</v>
      </c>
      <c r="S138" s="742" t="s">
        <v>177</v>
      </c>
      <c r="T138" s="771"/>
      <c r="V138" s="436" t="s">
        <v>194</v>
      </c>
      <c r="X138" s="224" t="s">
        <v>422</v>
      </c>
      <c r="Y138" s="177">
        <f t="shared" si="27"/>
        <v>131</v>
      </c>
      <c r="Z138" s="177" t="str">
        <f>IF(AA138&lt;&gt;"//",COUNTA($AA$8:AA138)-COUNTIF($AA$8:AA138,"//"),"")</f>
        <v/>
      </c>
      <c r="AA138" s="177" t="str">
        <f t="shared" si="28"/>
        <v>//</v>
      </c>
      <c r="AB138" s="177" t="str">
        <f ca="1">_xlfn.IFNA(IF(COUNTIF('4.1(2)新規再エネ導入予定(FS調査、系統接続検討状況)'!$G:$G,OFFSET($AA$7,MATCH($Y138,$Z$8:$Z$167,0),0))=0,OFFSET($AA$7,MATCH($Y138,$Z$8:$Z$167,0),0),""),"")</f>
        <v/>
      </c>
      <c r="AC138" s="177" t="str">
        <f ca="1">_xlfn.IFNA(IF(COUNTIF('4.1(2)新規再エネ導入予定(合意形成)'!$G:$G,OFFSET($AA$7,MATCH($Y138,$Z$8:$Z$167,0),0))=0,OFFSET($AA$7,MATCH($Y138,$Z$8:$Z$167,0),0),""),"")</f>
        <v/>
      </c>
      <c r="AD138" s="177" t="str">
        <f ca="1">_xlfn.IFNA(OFFSET('4.1(2)新規再エネ導入予定(FS調査、系統接続検討状況)'!$W$1,MATCH(G138,'4.1(2)新規再エネ導入予定(FS調査、系統接続検討状況)'!G:G,0)-1,0),"//")</f>
        <v>採点</v>
      </c>
      <c r="AE138" s="264" t="str">
        <f ca="1">_xlfn.IFNA(OFFSET('4.1(2)新規再エネ導入予定(合意形成)'!$AJ$1,MATCH(G138,'4.1(2)新規再エネ導入予定(合意形成)'!G:G,0)-1,0),"//")</f>
        <v>施設
スコア</v>
      </c>
      <c r="AF138" s="177">
        <f t="shared" ca="1" si="25"/>
        <v>0</v>
      </c>
      <c r="AG138" s="217" t="str" cm="1">
        <f t="array" aca="1" ref="AG138" ca="1">IFERROR(_xlfn.IFS(COUNTIF($AB$8:$AC$167,G138)&gt;0,"",AF138&lt;=1,"D",AF138=2,"C",AF138=3,"B",AF138=4,"A"),"")</f>
        <v>D</v>
      </c>
      <c r="AH138" s="177" t="str">
        <f ca="1">_xlfn.IFNA(OFFSET('4.1(2)新規再エネ導入予定(合意形成)'!$Z$1,MATCH($G138,'4.1(2)新規再エネ導入予定(合意形成)'!$G:$G,0)-1,0),"")</f>
        <v>代表者数</v>
      </c>
      <c r="AI138" s="217" t="str">
        <f t="shared" ca="1" si="29"/>
        <v>D</v>
      </c>
      <c r="AJ138" s="177">
        <f t="shared" si="30"/>
        <v>1</v>
      </c>
      <c r="AK138" s="224" t="str">
        <f>IF(V138&lt;&gt;1,"",SUM($V$8:V138))</f>
        <v/>
      </c>
      <c r="AL138" s="177">
        <f t="shared" si="31"/>
        <v>1</v>
      </c>
    </row>
    <row r="139" spans="2:38" s="11" customFormat="1" ht="20" hidden="1">
      <c r="B139" s="21"/>
      <c r="C139" s="21"/>
      <c r="D139" s="22"/>
      <c r="E139" s="832"/>
      <c r="F139" s="781"/>
      <c r="G139" s="782"/>
      <c r="H139" s="783"/>
      <c r="I139" s="783"/>
      <c r="J139" s="784"/>
      <c r="K139" s="784"/>
      <c r="L139" s="901"/>
      <c r="M139" s="913"/>
      <c r="N139" s="909"/>
      <c r="O139" s="798"/>
      <c r="P139" s="902"/>
      <c r="Q139" s="910"/>
      <c r="R139" s="798"/>
      <c r="S139" s="785" t="str">
        <f>IF(G139="","",AG139)</f>
        <v/>
      </c>
      <c r="T139" s="786"/>
      <c r="U139" s="116"/>
      <c r="V139" s="787"/>
      <c r="X139" s="127" t="s">
        <v>422</v>
      </c>
      <c r="Y139" s="257">
        <f t="shared" si="27"/>
        <v>132</v>
      </c>
      <c r="Z139" s="257" t="str">
        <f>IF(AA139&lt;&gt;"//",COUNTA($AA$8:AA139)-COUNTIF($AA$8:AA139,"//"),"")</f>
        <v/>
      </c>
      <c r="AA139" s="257" t="str">
        <f t="shared" si="28"/>
        <v>//</v>
      </c>
      <c r="AB139" s="257" t="str">
        <f ca="1">_xlfn.IFNA(IF(COUNTIF('4.1(2)新規再エネ導入予定(FS調査、系統接続検討状況)'!$G:$G,OFFSET($AA$7,MATCH($Y139,$Z$8:$Z$167,0),0))=0,OFFSET($AA$7,MATCH($Y139,$Z$8:$Z$167,0),0),""),"")</f>
        <v/>
      </c>
      <c r="AC139" s="257" t="str">
        <f ca="1">_xlfn.IFNA(IF(COUNTIF('4.1(2)新規再エネ導入予定(合意形成)'!$G:$G,OFFSET($AA$7,MATCH($Y139,$Z$8:$Z$167,0),0))=0,OFFSET($AA$7,MATCH($Y139,$Z$8:$Z$167,0),0),""),"")</f>
        <v/>
      </c>
      <c r="AD139" s="257" t="str">
        <f ca="1">_xlfn.IFNA(OFFSET('4.1(2)新規再エネ導入予定(FS調査、系統接続検討状況)'!$W$1,MATCH(G139,'4.1(2)新規再エネ導入予定(FS調査、系統接続検討状況)'!G:G,0)-1,0),"//")</f>
        <v>//</v>
      </c>
      <c r="AE139" s="279" t="str">
        <f ca="1">_xlfn.IFNA(OFFSET('4.1(2)新規再エネ導入予定(合意形成)'!$AJ$1,MATCH(G139,'4.1(2)新規再エネ導入予定(合意形成)'!G:G,0)-1,0),"//")</f>
        <v>//</v>
      </c>
      <c r="AF139" s="257">
        <f t="shared" ca="1" si="25"/>
        <v>0</v>
      </c>
      <c r="AG139" s="131" t="str" cm="1">
        <f t="array" aca="1" ref="AG139" ca="1">IFERROR(_xlfn.IFS(COUNTIF($AB$8:$AC$167,G139)&gt;0,"",AF139&lt;=1,"D",AF139=2,"C",AF139=3,"B",AF139=4,"A"),"")</f>
        <v/>
      </c>
      <c r="AH139" s="257" t="str">
        <f ca="1">_xlfn.IFNA(OFFSET('4.1(2)新規再エネ導入予定(合意形成)'!$Z$1,MATCH($G139,'4.1(2)新規再エネ導入予定(合意形成)'!$G:$G,0)-1,0),"")</f>
        <v/>
      </c>
      <c r="AI139" s="131" t="str">
        <f t="shared" si="29"/>
        <v/>
      </c>
      <c r="AJ139" s="257" t="str">
        <f t="shared" si="30"/>
        <v/>
      </c>
      <c r="AK139" s="127" t="str">
        <f>IF(V139&lt;&gt;1,"",SUM($V$8:V139))</f>
        <v/>
      </c>
      <c r="AL139" s="257">
        <f t="shared" si="31"/>
        <v>1</v>
      </c>
    </row>
    <row r="140" spans="2:38" s="11" customFormat="1" ht="20">
      <c r="B140" s="21"/>
      <c r="C140" s="21"/>
      <c r="D140" s="22"/>
      <c r="E140" s="832"/>
      <c r="F140" s="788"/>
      <c r="G140" s="789"/>
      <c r="H140" s="790"/>
      <c r="I140" s="790"/>
      <c r="J140" s="791"/>
      <c r="K140" s="791"/>
      <c r="L140" s="731"/>
      <c r="M140" s="914"/>
      <c r="N140" s="911"/>
      <c r="O140" s="795"/>
      <c r="P140" s="904"/>
      <c r="Q140" s="912"/>
      <c r="R140" s="795"/>
      <c r="S140" s="793" t="str">
        <f>IF(G140="","",AG140)</f>
        <v/>
      </c>
      <c r="T140" s="786"/>
      <c r="U140" s="116"/>
      <c r="V140" s="794" t="str">
        <f>IF(H140&lt;&gt;"",1,"")</f>
        <v/>
      </c>
      <c r="X140" s="127" t="s">
        <v>422</v>
      </c>
      <c r="Y140" s="257">
        <f t="shared" si="27"/>
        <v>133</v>
      </c>
      <c r="Z140" s="257" t="str">
        <f>IF(AA140&lt;&gt;"//",COUNTA($AA$8:AA140)-COUNTIF($AA$8:AA140,"//"),"")</f>
        <v/>
      </c>
      <c r="AA140" s="257" t="str">
        <f t="shared" si="28"/>
        <v>//</v>
      </c>
      <c r="AB140" s="257" t="str">
        <f ca="1">_xlfn.IFNA(IF(COUNTIF('4.1(2)新規再エネ導入予定(FS調査、系統接続検討状況)'!$G:$G,OFFSET($AA$7,MATCH($Y140,$Z$8:$Z$167,0),0))=0,OFFSET($AA$7,MATCH($Y140,$Z$8:$Z$167,0),0),""),"")</f>
        <v/>
      </c>
      <c r="AC140" s="257" t="str">
        <f ca="1">_xlfn.IFNA(IF(COUNTIF('4.1(2)新規再エネ導入予定(合意形成)'!$G:$G,OFFSET($AA$7,MATCH($Y140,$Z$8:$Z$167,0),0))=0,OFFSET($AA$7,MATCH($Y140,$Z$8:$Z$167,0),0),""),"")</f>
        <v/>
      </c>
      <c r="AD140" s="257" t="str">
        <f ca="1">_xlfn.IFNA(OFFSET('4.1(2)新規再エネ導入予定(FS調査、系統接続検討状況)'!$W$1,MATCH(G140,'4.1(2)新規再エネ導入予定(FS調査、系統接続検討状況)'!G:G,0)-1,0),"//")</f>
        <v>//</v>
      </c>
      <c r="AE140" s="279" t="str">
        <f ca="1">_xlfn.IFNA(OFFSET('4.1(2)新規再エネ導入予定(合意形成)'!$AJ$1,MATCH(G140,'4.1(2)新規再エネ導入予定(合意形成)'!G:G,0)-1,0),"//")</f>
        <v>//</v>
      </c>
      <c r="AF140" s="257">
        <f t="shared" ca="1" si="25"/>
        <v>0</v>
      </c>
      <c r="AG140" s="131" t="str" cm="1">
        <f t="array" aca="1" ref="AG140" ca="1">IFERROR(_xlfn.IFS(COUNTIF($AB$8:$AC$167,G140)&gt;0,"",AF140&lt;=1,"D",AF140=2,"C",AF140=3,"B",AF140=4,"A"),"")</f>
        <v/>
      </c>
      <c r="AH140" s="257" t="str">
        <f ca="1">_xlfn.IFNA(OFFSET('4.1(2)新規再エネ導入予定(合意形成)'!$Z$1,MATCH($G140,'4.1(2)新規再エネ導入予定(合意形成)'!$G:$G,0)-1,0),"")</f>
        <v/>
      </c>
      <c r="AI140" s="131" t="str">
        <f t="shared" si="29"/>
        <v/>
      </c>
      <c r="AJ140" s="257" t="str">
        <f t="shared" si="30"/>
        <v/>
      </c>
      <c r="AK140" s="127" t="str">
        <f>IF(V140&lt;&gt;1,"",SUM($V$8:V140))</f>
        <v/>
      </c>
      <c r="AL140" s="257">
        <f t="shared" si="31"/>
        <v>1</v>
      </c>
    </row>
    <row r="141" spans="2:38" s="11" customFormat="1" ht="20">
      <c r="B141" s="21"/>
      <c r="C141" s="21"/>
      <c r="D141" s="22"/>
      <c r="E141" s="832"/>
      <c r="F141" s="788"/>
      <c r="G141" s="789"/>
      <c r="H141" s="790"/>
      <c r="I141" s="790"/>
      <c r="J141" s="791"/>
      <c r="K141" s="791"/>
      <c r="L141" s="731"/>
      <c r="M141" s="914"/>
      <c r="N141" s="911"/>
      <c r="O141" s="795"/>
      <c r="P141" s="904"/>
      <c r="Q141" s="912"/>
      <c r="R141" s="795"/>
      <c r="S141" s="793" t="str">
        <f>IF(G141="","",AG141)</f>
        <v/>
      </c>
      <c r="T141" s="786"/>
      <c r="U141" s="116"/>
      <c r="V141" s="794" t="str">
        <f>IF(H141&lt;&gt;"",1,"")</f>
        <v/>
      </c>
      <c r="X141" s="127" t="s">
        <v>422</v>
      </c>
      <c r="Y141" s="257">
        <f t="shared" si="27"/>
        <v>134</v>
      </c>
      <c r="Z141" s="257" t="str">
        <f>IF(AA141&lt;&gt;"//",COUNTA($AA$8:AA141)-COUNTIF($AA$8:AA141,"//"),"")</f>
        <v/>
      </c>
      <c r="AA141" s="257" t="str">
        <f t="shared" si="28"/>
        <v>//</v>
      </c>
      <c r="AB141" s="257" t="str">
        <f ca="1">_xlfn.IFNA(IF(COUNTIF('4.1(2)新規再エネ導入予定(FS調査、系統接続検討状況)'!$G:$G,OFFSET($AA$7,MATCH($Y141,$Z$8:$Z$167,0),0))=0,OFFSET($AA$7,MATCH($Y141,$Z$8:$Z$167,0),0),""),"")</f>
        <v/>
      </c>
      <c r="AC141" s="257" t="str">
        <f ca="1">_xlfn.IFNA(IF(COUNTIF('4.1(2)新規再エネ導入予定(合意形成)'!$G:$G,OFFSET($AA$7,MATCH($Y141,$Z$8:$Z$167,0),0))=0,OFFSET($AA$7,MATCH($Y141,$Z$8:$Z$167,0),0),""),"")</f>
        <v/>
      </c>
      <c r="AD141" s="257" t="str">
        <f ca="1">_xlfn.IFNA(OFFSET('4.1(2)新規再エネ導入予定(FS調査、系統接続検討状況)'!$W$1,MATCH(G141,'4.1(2)新規再エネ導入予定(FS調査、系統接続検討状況)'!G:G,0)-1,0),"//")</f>
        <v>//</v>
      </c>
      <c r="AE141" s="279" t="str">
        <f ca="1">_xlfn.IFNA(OFFSET('4.1(2)新規再エネ導入予定(合意形成)'!$AJ$1,MATCH(G141,'4.1(2)新規再エネ導入予定(合意形成)'!G:G,0)-1,0),"//")</f>
        <v>//</v>
      </c>
      <c r="AF141" s="257">
        <f t="shared" ca="1" si="25"/>
        <v>0</v>
      </c>
      <c r="AG141" s="131" t="str" cm="1">
        <f t="array" aca="1" ref="AG141" ca="1">IFERROR(_xlfn.IFS(COUNTIF($AB$8:$AC$167,G141)&gt;0,"",AF141&lt;=1,"D",AF141=2,"C",AF141=3,"B",AF141=4,"A"),"")</f>
        <v/>
      </c>
      <c r="AH141" s="257" t="str">
        <f ca="1">_xlfn.IFNA(OFFSET('4.1(2)新規再エネ導入予定(合意形成)'!$Z$1,MATCH($G141,'4.1(2)新規再エネ導入予定(合意形成)'!$G:$G,0)-1,0),"")</f>
        <v/>
      </c>
      <c r="AI141" s="131" t="str">
        <f t="shared" si="29"/>
        <v/>
      </c>
      <c r="AJ141" s="257" t="str">
        <f t="shared" si="30"/>
        <v/>
      </c>
      <c r="AK141" s="127" t="str">
        <f>IF(V141&lt;&gt;1,"",SUM($V$8:V141))</f>
        <v/>
      </c>
      <c r="AL141" s="257">
        <f t="shared" si="31"/>
        <v>1</v>
      </c>
    </row>
    <row r="142" spans="2:38" s="11" customFormat="1" ht="20">
      <c r="B142" s="21"/>
      <c r="C142" s="21"/>
      <c r="D142" s="22"/>
      <c r="E142" s="832"/>
      <c r="F142" s="788"/>
      <c r="G142" s="789"/>
      <c r="H142" s="790"/>
      <c r="I142" s="790"/>
      <c r="J142" s="791"/>
      <c r="K142" s="791"/>
      <c r="L142" s="731"/>
      <c r="M142" s="915"/>
      <c r="N142" s="911"/>
      <c r="O142" s="795"/>
      <c r="P142" s="904"/>
      <c r="Q142" s="912"/>
      <c r="R142" s="795"/>
      <c r="S142" s="793" t="str">
        <f>IF(G142="","",AG142)</f>
        <v/>
      </c>
      <c r="T142" s="786"/>
      <c r="U142" s="116"/>
      <c r="V142" s="794" t="str">
        <f>IF(H142&lt;&gt;"",1,"")</f>
        <v/>
      </c>
      <c r="X142" s="127" t="s">
        <v>422</v>
      </c>
      <c r="Y142" s="257">
        <f t="shared" si="27"/>
        <v>135</v>
      </c>
      <c r="Z142" s="257" t="str">
        <f>IF(AA142&lt;&gt;"//",COUNTA($AA$8:AA142)-COUNTIF($AA$8:AA142,"//"),"")</f>
        <v/>
      </c>
      <c r="AA142" s="257" t="str">
        <f t="shared" si="28"/>
        <v>//</v>
      </c>
      <c r="AB142" s="257" t="str">
        <f ca="1">_xlfn.IFNA(IF(COUNTIF('4.1(2)新規再エネ導入予定(FS調査、系統接続検討状況)'!$G:$G,OFFSET($AA$7,MATCH($Y142,$Z$8:$Z$167,0),0))=0,OFFSET($AA$7,MATCH($Y142,$Z$8:$Z$167,0),0),""),"")</f>
        <v/>
      </c>
      <c r="AC142" s="257" t="str">
        <f ca="1">_xlfn.IFNA(IF(COUNTIF('4.1(2)新規再エネ導入予定(合意形成)'!$G:$G,OFFSET($AA$7,MATCH($Y142,$Z$8:$Z$167,0),0))=0,OFFSET($AA$7,MATCH($Y142,$Z$8:$Z$167,0),0),""),"")</f>
        <v/>
      </c>
      <c r="AD142" s="257" t="str">
        <f ca="1">_xlfn.IFNA(OFFSET('4.1(2)新規再エネ導入予定(FS調査、系統接続検討状況)'!$W$1,MATCH(G142,'4.1(2)新規再エネ導入予定(FS調査、系統接続検討状況)'!G:G,0)-1,0),"//")</f>
        <v>//</v>
      </c>
      <c r="AE142" s="279" t="str">
        <f ca="1">_xlfn.IFNA(OFFSET('4.1(2)新規再エネ導入予定(合意形成)'!$AJ$1,MATCH(G142,'4.1(2)新規再エネ導入予定(合意形成)'!G:G,0)-1,0),"//")</f>
        <v>//</v>
      </c>
      <c r="AF142" s="257">
        <f t="shared" ca="1" si="25"/>
        <v>0</v>
      </c>
      <c r="AG142" s="131" t="str" cm="1">
        <f t="array" aca="1" ref="AG142" ca="1">IFERROR(_xlfn.IFS(COUNTIF($AB$8:$AC$167,G142)&gt;0,"",AF142&lt;=1,"D",AF142=2,"C",AF142=3,"B",AF142=4,"A"),"")</f>
        <v/>
      </c>
      <c r="AH142" s="257" t="str">
        <f ca="1">_xlfn.IFNA(OFFSET('4.1(2)新規再エネ導入予定(合意形成)'!$Z$1,MATCH($G142,'4.1(2)新規再エネ導入予定(合意形成)'!$G:$G,0)-1,0),"")</f>
        <v/>
      </c>
      <c r="AI142" s="131" t="str">
        <f t="shared" si="29"/>
        <v/>
      </c>
      <c r="AJ142" s="257" t="str">
        <f t="shared" si="30"/>
        <v/>
      </c>
      <c r="AK142" s="127" t="str">
        <f>IF(V142&lt;&gt;1,"",SUM($V$8:V142))</f>
        <v/>
      </c>
      <c r="AL142" s="257">
        <f t="shared" si="31"/>
        <v>1</v>
      </c>
    </row>
    <row r="143" spans="2:38" ht="20">
      <c r="D143" s="16"/>
      <c r="E143" s="831"/>
      <c r="F143" s="816" t="s">
        <v>26</v>
      </c>
      <c r="G143" s="802"/>
      <c r="H143" s="802"/>
      <c r="I143" s="802"/>
      <c r="J143" s="802"/>
      <c r="K143" s="802"/>
      <c r="L143" s="758"/>
      <c r="M143" s="502">
        <f ca="1">SUM(INDIRECT("M"&amp;ROW(M138)&amp;":M"&amp;ROW()-1))</f>
        <v>0</v>
      </c>
      <c r="N143" s="711">
        <f ca="1">SUM(INDIRECT("N"&amp;ROW(N138)&amp;":N"&amp;ROW()-1))</f>
        <v>0</v>
      </c>
      <c r="O143" s="817"/>
      <c r="P143" s="710">
        <f ca="1">SUM(INDIRECT("P"&amp;ROW(P138)&amp;":P"&amp;ROW()-1))</f>
        <v>0</v>
      </c>
      <c r="Q143" s="819"/>
      <c r="R143" s="806"/>
      <c r="S143" s="803"/>
      <c r="T143" s="771"/>
      <c r="V143" s="224" t="str">
        <f t="shared" ref="V143" si="32">IF(H143&lt;&gt;"",1,"")</f>
        <v/>
      </c>
      <c r="X143" s="224" t="s">
        <v>422</v>
      </c>
      <c r="Y143" s="177">
        <f t="shared" si="27"/>
        <v>136</v>
      </c>
      <c r="Z143" s="177" t="str">
        <f>IF(AA143&lt;&gt;"//",COUNTA($AA$8:AA143)-COUNTIF($AA$8:AA143,"//"),"")</f>
        <v/>
      </c>
      <c r="AA143" s="177" t="str">
        <f t="shared" si="28"/>
        <v>//</v>
      </c>
      <c r="AB143" s="177" t="str">
        <f ca="1">_xlfn.IFNA(IF(COUNTIF('4.1(2)新規再エネ導入予定(FS調査、系統接続検討状況)'!$G:$G,OFFSET($AA$7,MATCH($Y143,$Z$8:$Z$167,0),0))=0,OFFSET($AA$7,MATCH($Y143,$Z$8:$Z$167,0),0),""),"")</f>
        <v/>
      </c>
      <c r="AC143" s="177" t="str">
        <f ca="1">_xlfn.IFNA(IF(COUNTIF('4.1(2)新規再エネ導入予定(合意形成)'!$G:$G,OFFSET($AA$7,MATCH($Y143,$Z$8:$Z$167,0),0))=0,OFFSET($AA$7,MATCH($Y143,$Z$8:$Z$167,0),0),""),"")</f>
        <v/>
      </c>
      <c r="AD143" s="177" t="str">
        <f ca="1">_xlfn.IFNA(OFFSET('4.1(2)新規再エネ導入予定(FS調査、系統接続検討状況)'!$W$1,MATCH(G143,'4.1(2)新規再エネ導入予定(FS調査、系統接続検討状況)'!G:G,0)-1,0),"//")</f>
        <v>//</v>
      </c>
      <c r="AE143" s="264" t="str">
        <f ca="1">_xlfn.IFNA(OFFSET('4.1(2)新規再エネ導入予定(合意形成)'!$AJ$1,MATCH(G143,'4.1(2)新規再エネ導入予定(合意形成)'!G:G,0)-1,0),"//")</f>
        <v>//</v>
      </c>
      <c r="AF143" s="177">
        <f t="shared" ca="1" si="25"/>
        <v>0</v>
      </c>
      <c r="AG143" s="217" t="str" cm="1">
        <f t="array" aca="1" ref="AG143" ca="1">IFERROR(_xlfn.IFS(COUNTIF($AB$8:$AC$167,G143)&gt;0,"",AF143&lt;=1,"D",AF143=2,"C",AF143=3,"B",AF143=4,"A"),"")</f>
        <v/>
      </c>
      <c r="AH143" s="177" t="str">
        <f ca="1">_xlfn.IFNA(OFFSET('4.1(2)新規再エネ導入予定(合意形成)'!$Z$1,MATCH($G143,'4.1(2)新規再エネ導入予定(合意形成)'!$G:$G,0)-1,0),"")</f>
        <v/>
      </c>
      <c r="AI143" s="217" t="str">
        <f t="shared" si="29"/>
        <v/>
      </c>
      <c r="AJ143" s="177" t="str">
        <f t="shared" si="30"/>
        <v/>
      </c>
      <c r="AK143" s="224" t="str">
        <f>IF(V143&lt;&gt;1,"",SUM($V$8:V143))</f>
        <v/>
      </c>
      <c r="AL143" s="177">
        <f t="shared" si="31"/>
        <v>1</v>
      </c>
    </row>
    <row r="144" spans="2:38" ht="20">
      <c r="D144" s="46"/>
      <c r="E144" s="821"/>
      <c r="F144" s="820"/>
      <c r="G144" s="821"/>
      <c r="H144" s="822"/>
      <c r="I144" s="822"/>
      <c r="J144" s="822"/>
      <c r="K144" s="822"/>
      <c r="L144" s="760"/>
      <c r="M144" s="822"/>
      <c r="N144" s="473"/>
      <c r="O144" s="808"/>
      <c r="P144" s="470"/>
      <c r="Q144" s="473"/>
      <c r="R144" s="808"/>
      <c r="S144" s="470"/>
      <c r="T144" s="823"/>
      <c r="X144" s="224" t="s">
        <v>422</v>
      </c>
      <c r="Y144" s="177">
        <f t="shared" si="27"/>
        <v>137</v>
      </c>
      <c r="Z144" s="177" t="str">
        <f>IF(AA144&lt;&gt;"//",COUNTA($AA$8:AA144)-COUNTIF($AA$8:AA144,"//"),"")</f>
        <v/>
      </c>
      <c r="AA144" s="177" t="str">
        <f t="shared" si="28"/>
        <v>//</v>
      </c>
      <c r="AB144" s="177" t="str">
        <f ca="1">_xlfn.IFNA(IF(COUNTIF('4.1(2)新規再エネ導入予定(FS調査、系統接続検討状況)'!$G:$G,OFFSET($AA$7,MATCH($Y144,$Z$8:$Z$167,0),0))=0,OFFSET($AA$7,MATCH($Y144,$Z$8:$Z$167,0),0),""),"")</f>
        <v/>
      </c>
      <c r="AC144" s="177" t="str">
        <f ca="1">_xlfn.IFNA(IF(COUNTIF('4.1(2)新規再エネ導入予定(合意形成)'!$G:$G,OFFSET($AA$7,MATCH($Y144,$Z$8:$Z$167,0),0))=0,OFFSET($AA$7,MATCH($Y144,$Z$8:$Z$167,0),0),""),"")</f>
        <v/>
      </c>
      <c r="AD144" s="177" t="str">
        <f ca="1">_xlfn.IFNA(OFFSET('4.1(2)新規再エネ導入予定(FS調査、系統接続検討状況)'!$W$1,MATCH(G144,'4.1(2)新規再エネ導入予定(FS調査、系統接続検討状況)'!G:G,0)-1,0),"//")</f>
        <v>//</v>
      </c>
      <c r="AE144" s="264" t="str">
        <f ca="1">_xlfn.IFNA(OFFSET('4.1(2)新規再エネ導入予定(合意形成)'!$AJ$1,MATCH(G144,'4.1(2)新規再エネ導入予定(合意形成)'!G:G,0)-1,0),"//")</f>
        <v>//</v>
      </c>
      <c r="AF144" s="177">
        <f t="shared" ca="1" si="25"/>
        <v>0</v>
      </c>
      <c r="AG144" s="217" t="str" cm="1">
        <f t="array" aca="1" ref="AG144" ca="1">IFERROR(_xlfn.IFS(COUNTIF($AB$8:$AC$167,G144)&gt;0,"",AF144&lt;=1,"D",AF144=2,"C",AF144=3,"B",AF144=4,"A"),"")</f>
        <v/>
      </c>
      <c r="AH144" s="177" t="str">
        <f ca="1">_xlfn.IFNA(OFFSET('4.1(2)新規再エネ導入予定(合意形成)'!$Z$1,MATCH($G144,'4.1(2)新規再エネ導入予定(合意形成)'!$G:$G,0)-1,0),"")</f>
        <v/>
      </c>
      <c r="AI144" s="217" t="str">
        <f t="shared" si="29"/>
        <v/>
      </c>
      <c r="AJ144" s="177" t="str">
        <f t="shared" si="30"/>
        <v/>
      </c>
      <c r="AK144" s="224" t="str">
        <f>IF(V144&lt;&gt;1,"",SUM($V$8:V144))</f>
        <v/>
      </c>
      <c r="AL144" s="177">
        <f t="shared" si="31"/>
        <v>1</v>
      </c>
    </row>
    <row r="145" spans="2:38">
      <c r="F145" s="741"/>
      <c r="G145" s="741"/>
      <c r="H145" s="741"/>
      <c r="I145" s="741"/>
      <c r="J145" s="741"/>
      <c r="K145" s="741"/>
      <c r="L145" s="756"/>
      <c r="M145" s="741"/>
      <c r="N145" s="746"/>
      <c r="O145" s="810"/>
      <c r="P145" s="741"/>
      <c r="X145" s="224" t="s">
        <v>422</v>
      </c>
      <c r="Y145" s="177">
        <f t="shared" si="27"/>
        <v>138</v>
      </c>
      <c r="Z145" s="177" t="str">
        <f>IF(AA145&lt;&gt;"//",COUNTA($AA$8:AA145)-COUNTIF($AA$8:AA145,"//"),"")</f>
        <v/>
      </c>
      <c r="AA145" s="177" t="str">
        <f t="shared" si="28"/>
        <v>//</v>
      </c>
      <c r="AB145" s="177" t="str">
        <f ca="1">_xlfn.IFNA(IF(COUNTIF('4.1(2)新規再エネ導入予定(FS調査、系統接続検討状況)'!$G:$G,OFFSET($AA$7,MATCH($Y145,$Z$8:$Z$167,0),0))=0,OFFSET($AA$7,MATCH($Y145,$Z$8:$Z$167,0),0),""),"")</f>
        <v/>
      </c>
      <c r="AC145" s="177" t="str">
        <f ca="1">_xlfn.IFNA(IF(COUNTIF('4.1(2)新規再エネ導入予定(合意形成)'!$G:$G,OFFSET($AA$7,MATCH($Y145,$Z$8:$Z$167,0),0))=0,OFFSET($AA$7,MATCH($Y145,$Z$8:$Z$167,0),0),""),"")</f>
        <v/>
      </c>
      <c r="AD145" s="177" t="str">
        <f ca="1">_xlfn.IFNA(OFFSET('4.1(2)新規再エネ導入予定(FS調査、系統接続検討状況)'!$W$1,MATCH(G145,'4.1(2)新規再エネ導入予定(FS調査、系統接続検討状況)'!G:G,0)-1,0),"//")</f>
        <v>//</v>
      </c>
      <c r="AE145" s="264" t="str">
        <f ca="1">_xlfn.IFNA(OFFSET('4.1(2)新規再エネ導入予定(合意形成)'!$AJ$1,MATCH(G145,'4.1(2)新規再エネ導入予定(合意形成)'!G:G,0)-1,0),"//")</f>
        <v>//</v>
      </c>
      <c r="AF145" s="177">
        <f t="shared" ca="1" si="25"/>
        <v>0</v>
      </c>
      <c r="AG145" s="217" t="str" cm="1">
        <f t="array" aca="1" ref="AG145" ca="1">IFERROR(_xlfn.IFS(COUNTIF($AB$8:$AC$167,G145)&gt;0,"",AF145&lt;=1,"D",AF145=2,"C",AF145=3,"B",AF145=4,"A"),"")</f>
        <v/>
      </c>
      <c r="AH145" s="177" t="str">
        <f ca="1">_xlfn.IFNA(OFFSET('4.1(2)新規再エネ導入予定(合意形成)'!$Z$1,MATCH($G145,'4.1(2)新規再エネ導入予定(合意形成)'!$G:$G,0)-1,0),"")</f>
        <v/>
      </c>
      <c r="AI145" s="217" t="str">
        <f t="shared" si="29"/>
        <v/>
      </c>
      <c r="AJ145" s="177" t="str">
        <f t="shared" si="30"/>
        <v/>
      </c>
      <c r="AK145" s="224" t="str">
        <f>IF(V145&lt;&gt;1,"",SUM($V$8:V145))</f>
        <v/>
      </c>
      <c r="AL145" s="177">
        <f t="shared" si="31"/>
        <v>1</v>
      </c>
    </row>
    <row r="146" spans="2:38" ht="27.75" customHeight="1">
      <c r="D146" s="14"/>
      <c r="E146" s="834" t="s">
        <v>285</v>
      </c>
      <c r="F146" s="811"/>
      <c r="G146" s="463"/>
      <c r="H146" s="463"/>
      <c r="I146" s="463"/>
      <c r="J146" s="463"/>
      <c r="K146" s="463"/>
      <c r="L146" s="753"/>
      <c r="M146" s="463"/>
      <c r="N146" s="747"/>
      <c r="O146" s="769"/>
      <c r="P146" s="463"/>
      <c r="Q146" s="466"/>
      <c r="R146" s="463"/>
      <c r="S146" s="769"/>
      <c r="T146" s="770"/>
      <c r="X146" s="224" t="s">
        <v>423</v>
      </c>
      <c r="Y146" s="177">
        <f t="shared" si="27"/>
        <v>139</v>
      </c>
      <c r="Z146" s="177" t="str">
        <f>IF(AA146&lt;&gt;"//",COUNTA($AA$8:AA146)-COUNTIF($AA$8:AA146,"//"),"")</f>
        <v/>
      </c>
      <c r="AA146" s="177" t="str">
        <f t="shared" si="28"/>
        <v>//</v>
      </c>
      <c r="AB146" s="177" t="str">
        <f ca="1">_xlfn.IFNA(IF(COUNTIF('4.1(2)新規再エネ導入予定(FS調査、系統接続検討状況)'!$G:$G,OFFSET($AA$7,MATCH($Y146,$Z$8:$Z$167,0),0))=0,OFFSET($AA$7,MATCH($Y146,$Z$8:$Z$167,0),0),""),"")</f>
        <v/>
      </c>
      <c r="AC146" s="177" t="str">
        <f ca="1">_xlfn.IFNA(IF(COUNTIF('4.1(2)新規再エネ導入予定(合意形成)'!$G:$G,OFFSET($AA$7,MATCH($Y146,$Z$8:$Z$167,0),0))=0,OFFSET($AA$7,MATCH($Y146,$Z$8:$Z$167,0),0),""),"")</f>
        <v/>
      </c>
      <c r="AD146" s="177" t="str">
        <f ca="1">_xlfn.IFNA(OFFSET('4.1(2)新規再エネ導入予定(FS調査、系統接続検討状況)'!$W$1,MATCH(G146,'4.1(2)新規再エネ導入予定(FS調査、系統接続検討状況)'!G:G,0)-1,0),"//")</f>
        <v>//</v>
      </c>
      <c r="AE146" s="264" t="str">
        <f ca="1">_xlfn.IFNA(OFFSET('4.1(2)新規再エネ導入予定(合意形成)'!$AJ$1,MATCH(G146,'4.1(2)新規再エネ導入予定(合意形成)'!G:G,0)-1,0),"//")</f>
        <v>//</v>
      </c>
      <c r="AF146" s="177">
        <f t="shared" ca="1" si="25"/>
        <v>0</v>
      </c>
      <c r="AG146" s="217" t="str" cm="1">
        <f t="array" aca="1" ref="AG146" ca="1">IFERROR(_xlfn.IFS(COUNTIF($AB$8:$AC$167,G146)&gt;0,"",AF146&lt;=1,"D",AF146=2,"C",AF146=3,"B",AF146=4,"A"),"")</f>
        <v/>
      </c>
      <c r="AH146" s="177" t="str">
        <f ca="1">_xlfn.IFNA(OFFSET('4.1(2)新規再エネ導入予定(合意形成)'!$Z$1,MATCH($G146,'4.1(2)新規再エネ導入予定(合意形成)'!$G:$G,0)-1,0),"")</f>
        <v/>
      </c>
      <c r="AI146" s="217" t="str">
        <f t="shared" si="29"/>
        <v/>
      </c>
      <c r="AJ146" s="177" t="str">
        <f t="shared" si="30"/>
        <v/>
      </c>
      <c r="AK146" s="224" t="str">
        <f>IF(V146&lt;&gt;1,"",SUM($V$8:V146))</f>
        <v/>
      </c>
      <c r="AL146" s="177">
        <f t="shared" si="31"/>
        <v>1</v>
      </c>
    </row>
    <row r="147" spans="2:38" ht="27.75" customHeight="1">
      <c r="D147" s="239" t="s">
        <v>324</v>
      </c>
      <c r="F147" s="812"/>
      <c r="H147" s="844" t="s">
        <v>554</v>
      </c>
      <c r="I147" s="838"/>
      <c r="J147" s="838"/>
      <c r="K147" s="838"/>
      <c r="L147" s="839"/>
      <c r="M147" s="838"/>
      <c r="N147" s="840"/>
      <c r="O147" s="841"/>
      <c r="P147" s="838"/>
      <c r="Q147" s="842"/>
      <c r="R147" s="842"/>
      <c r="S147" s="843"/>
      <c r="T147" s="824"/>
      <c r="U147" s="123"/>
      <c r="V147" s="123"/>
      <c r="W147" s="123"/>
      <c r="X147" s="224" t="s">
        <v>423</v>
      </c>
      <c r="Y147" s="177">
        <f t="shared" si="27"/>
        <v>140</v>
      </c>
      <c r="Z147" s="177" t="str">
        <f>IF(AA147&lt;&gt;"//",COUNTA($AA$8:AA147)-COUNTIF($AA$8:AA147,"//"),"")</f>
        <v/>
      </c>
      <c r="AA147" s="177" t="str">
        <f t="shared" si="28"/>
        <v>//</v>
      </c>
      <c r="AB147" s="177" t="str">
        <f ca="1">_xlfn.IFNA(IF(COUNTIF('4.1(2)新規再エネ導入予定(FS調査、系統接続検討状況)'!$G:$G,OFFSET($AA$7,MATCH($Y147,$Z$8:$Z$167,0),0))=0,OFFSET($AA$7,MATCH($Y147,$Z$8:$Z$167,0),0),""),"")</f>
        <v/>
      </c>
      <c r="AC147" s="177" t="str">
        <f ca="1">_xlfn.IFNA(IF(COUNTIF('4.1(2)新規再エネ導入予定(合意形成)'!$G:$G,OFFSET($AA$7,MATCH($Y147,$Z$8:$Z$167,0),0))=0,OFFSET($AA$7,MATCH($Y147,$Z$8:$Z$167,0),0),""),"")</f>
        <v/>
      </c>
      <c r="AD147" s="177" t="str">
        <f ca="1">_xlfn.IFNA(OFFSET('4.1(2)新規再エネ導入予定(FS調査、系統接続検討状況)'!$W$1,MATCH(G147,'4.1(2)新規再エネ導入予定(FS調査、系統接続検討状況)'!G:G,0)-1,0),"//")</f>
        <v>//</v>
      </c>
      <c r="AE147" s="177" t="str">
        <f ca="1">_xlfn.IFNA(OFFSET('4.1(2)新規再エネ導入予定(合意形成)'!$AJ$1,MATCH(G147,'4.1(2)新規再エネ導入予定(合意形成)'!G:G,0)-1,0),"//")</f>
        <v>//</v>
      </c>
      <c r="AF147" s="177">
        <f t="shared" ca="1" si="25"/>
        <v>0</v>
      </c>
      <c r="AG147" s="217" t="str" cm="1">
        <f t="array" aca="1" ref="AG147" ca="1">IFERROR(_xlfn.IFS(COUNTIF($AB$8:$AC$167,G147)&gt;0,"",AF147&lt;=1,"D",AF147=2,"C",AF147=3,"B",AF147=4,"A"),"")</f>
        <v/>
      </c>
      <c r="AH147" s="177" t="str">
        <f ca="1">_xlfn.IFNA(OFFSET('4.1(2)新規再エネ導入予定(合意形成)'!$Z$1,MATCH($G147,'4.1(2)新規再エネ導入予定(合意形成)'!$G:$G,0)-1,0),"")</f>
        <v/>
      </c>
      <c r="AI147" s="217" t="str">
        <f t="shared" si="29"/>
        <v/>
      </c>
      <c r="AJ147" s="177" t="str">
        <f>IF(D147="【その他発電】","",IF(H147&lt;&gt;"",1,""))</f>
        <v/>
      </c>
      <c r="AK147" s="224" t="str">
        <f>IF(V147&lt;&gt;1,"",SUM($V$8:V147))</f>
        <v/>
      </c>
      <c r="AL147" s="177">
        <f>IF(S147="設備導入の実現可能性",1,IF(AND(S147=AI147,V147=AJ147),1,0))</f>
        <v>1</v>
      </c>
    </row>
    <row r="148" spans="2:38" ht="60">
      <c r="D148" s="16"/>
      <c r="E148" s="831"/>
      <c r="F148" s="898" t="s">
        <v>8</v>
      </c>
      <c r="G148" s="742" t="s">
        <v>186</v>
      </c>
      <c r="H148" s="742" t="s">
        <v>181</v>
      </c>
      <c r="I148" s="742" t="s">
        <v>9</v>
      </c>
      <c r="J148" s="742" t="s">
        <v>10</v>
      </c>
      <c r="K148" s="815" t="s">
        <v>11</v>
      </c>
      <c r="L148" s="757" t="s">
        <v>31</v>
      </c>
      <c r="M148" s="742" t="s">
        <v>13</v>
      </c>
      <c r="N148" s="749" t="s">
        <v>82</v>
      </c>
      <c r="O148" s="742" t="s">
        <v>192</v>
      </c>
      <c r="P148" s="742" t="s">
        <v>81</v>
      </c>
      <c r="Q148" s="743" t="s">
        <v>83</v>
      </c>
      <c r="R148" s="742" t="s">
        <v>275</v>
      </c>
      <c r="S148" s="742" t="s">
        <v>502</v>
      </c>
      <c r="T148" s="771"/>
      <c r="V148" s="436" t="s">
        <v>194</v>
      </c>
      <c r="X148" s="224" t="s">
        <v>423</v>
      </c>
      <c r="Y148" s="177">
        <f t="shared" si="27"/>
        <v>141</v>
      </c>
      <c r="Z148" s="177" t="str">
        <f>IF(AA148&lt;&gt;"//",COUNTA($AA$8:AA148)-COUNTIF($AA$8:AA148,"//"),"")</f>
        <v/>
      </c>
      <c r="AA148" s="177" t="str">
        <f t="shared" si="28"/>
        <v>//</v>
      </c>
      <c r="AB148" s="177" t="str">
        <f ca="1">_xlfn.IFNA(IF(COUNTIF('4.1(2)新規再エネ導入予定(FS調査、系統接続検討状況)'!$G:$G,OFFSET($AA$7,MATCH($Y148,$Z$8:$Z$167,0),0))=0,OFFSET($AA$7,MATCH($Y148,$Z$8:$Z$167,0),0),""),"")</f>
        <v/>
      </c>
      <c r="AC148" s="177" t="str">
        <f ca="1">_xlfn.IFNA(IF(COUNTIF('4.1(2)新規再エネ導入予定(合意形成)'!$G:$G,OFFSET($AA$7,MATCH($Y148,$Z$8:$Z$167,0),0))=0,OFFSET($AA$7,MATCH($Y148,$Z$8:$Z$167,0),0),""),"")</f>
        <v/>
      </c>
      <c r="AD148" s="177" t="str">
        <f ca="1">_xlfn.IFNA(OFFSET('4.1(2)新規再エネ導入予定(FS調査、系統接続検討状況)'!$W$1,MATCH(G148,'4.1(2)新規再エネ導入予定(FS調査、系統接続検討状況)'!G:G,0)-1,0),"//")</f>
        <v>採点</v>
      </c>
      <c r="AE148" s="264" t="str">
        <f ca="1">_xlfn.IFNA(OFFSET('4.1(2)新規再エネ導入予定(合意形成)'!$AJ$1,MATCH(G148,'4.1(2)新規再エネ導入予定(合意形成)'!G:G,0)-1,0),"//")</f>
        <v>施設
スコア</v>
      </c>
      <c r="AF148" s="177">
        <f t="shared" ca="1" si="25"/>
        <v>0</v>
      </c>
      <c r="AG148" s="217" t="str" cm="1">
        <f t="array" aca="1" ref="AG148" ca="1">IFERROR(_xlfn.IFS(COUNTIF($AB$8:$AC$167,G148)&gt;0,"",AF148&lt;=1,"D",AF148=2,"C",AF148=3,"B",AF148=4,"A"),"")</f>
        <v>D</v>
      </c>
      <c r="AH148" s="177" t="str">
        <f ca="1">_xlfn.IFNA(OFFSET('4.1(2)新規再エネ導入予定(合意形成)'!$Z$1,MATCH($G148,'4.1(2)新規再エネ導入予定(合意形成)'!$G:$G,0)-1,0),"")</f>
        <v>代表者数</v>
      </c>
      <c r="AI148" s="217" t="str">
        <f t="shared" ca="1" si="29"/>
        <v>D</v>
      </c>
      <c r="AJ148" s="177">
        <f>IF(D148="【その他発電】","",IF(H148&lt;&gt;"",1,""))</f>
        <v>1</v>
      </c>
      <c r="AK148" s="224" t="str">
        <f>IF(V148&lt;&gt;1,"",SUM($V$8:V148))</f>
        <v/>
      </c>
      <c r="AL148" s="177">
        <f t="shared" si="31"/>
        <v>1</v>
      </c>
    </row>
    <row r="149" spans="2:38" s="160" customFormat="1" ht="20" hidden="1">
      <c r="B149" s="159"/>
      <c r="C149" s="159"/>
      <c r="D149" s="198"/>
      <c r="E149" s="835"/>
      <c r="F149" s="781"/>
      <c r="G149" s="782"/>
      <c r="H149" s="783"/>
      <c r="I149" s="783"/>
      <c r="J149" s="784"/>
      <c r="K149" s="784"/>
      <c r="L149" s="901"/>
      <c r="M149" s="902"/>
      <c r="N149" s="907"/>
      <c r="O149" s="798"/>
      <c r="P149" s="902"/>
      <c r="Q149" s="908"/>
      <c r="R149" s="798"/>
      <c r="S149" s="785" t="str">
        <f>IF(G149="","",AG149)</f>
        <v/>
      </c>
      <c r="T149" s="786"/>
      <c r="U149" s="116"/>
      <c r="V149" s="787"/>
      <c r="X149" s="127" t="s">
        <v>423</v>
      </c>
      <c r="Y149" s="437">
        <f t="shared" si="27"/>
        <v>142</v>
      </c>
      <c r="Z149" s="437" t="str">
        <f>IF(AA149&lt;&gt;"//",COUNTA($AA$8:AA149)-COUNTIF($AA$8:AA149,"//"),"")</f>
        <v/>
      </c>
      <c r="AA149" s="437" t="str">
        <f t="shared" si="28"/>
        <v>//</v>
      </c>
      <c r="AB149" s="437" t="str">
        <f ca="1">_xlfn.IFNA(IF(COUNTIF('4.1(2)新規再エネ導入予定(FS調査、系統接続検討状況)'!$G:$G,OFFSET($AA$7,MATCH($Y149,$Z$8:$Z$167,0),0))=0,OFFSET($AA$7,MATCH($Y149,$Z$8:$Z$167,0),0),""),"")</f>
        <v/>
      </c>
      <c r="AC149" s="437" t="str">
        <f ca="1">_xlfn.IFNA(IF(COUNTIF('4.1(2)新規再エネ導入予定(合意形成)'!$G:$G,OFFSET($AA$7,MATCH($Y149,$Z$8:$Z$167,0),0))=0,OFFSET($AA$7,MATCH($Y149,$Z$8:$Z$167,0),0),""),"")</f>
        <v/>
      </c>
      <c r="AD149" s="437" t="str">
        <f ca="1">_xlfn.IFNA(OFFSET('4.1(2)新規再エネ導入予定(FS調査、系統接続検討状況)'!$W$1,MATCH(G149,'4.1(2)新規再エネ導入予定(FS調査、系統接続検討状況)'!G:G,0)-1,0),"//")</f>
        <v>//</v>
      </c>
      <c r="AE149" s="424" t="str">
        <f ca="1">_xlfn.IFNA(OFFSET('4.1(2)新規再エネ導入予定(合意形成)'!$AJ$1,MATCH(G149,'4.1(2)新規再エネ導入予定(合意形成)'!G:G,0)-1,0),"//")</f>
        <v>//</v>
      </c>
      <c r="AF149" s="437">
        <f t="shared" ca="1" si="25"/>
        <v>0</v>
      </c>
      <c r="AG149" s="131" t="str" cm="1">
        <f t="array" aca="1" ref="AG149" ca="1">IFERROR(_xlfn.IFS(COUNTIF($AB$8:$AC$167,G149)&gt;0,"",AF149&lt;=1,"D",AF149=2,"C",AF149=3,"B",AF149=4,"A"),"")</f>
        <v/>
      </c>
      <c r="AH149" s="437" t="str">
        <f ca="1">_xlfn.IFNA(OFFSET('4.1(2)新規再エネ導入予定(合意形成)'!$Z$1,MATCH($G149,'4.1(2)新規再エネ導入予定(合意形成)'!$G:$G,0)-1,0),"")</f>
        <v/>
      </c>
      <c r="AI149" s="131" t="str">
        <f t="shared" si="29"/>
        <v/>
      </c>
      <c r="AJ149" s="257" t="str">
        <f t="shared" ref="AJ149:AJ167" si="33">IF(H149&lt;&gt;"",1,"")</f>
        <v/>
      </c>
      <c r="AK149" s="199" t="str">
        <f>IF(V149&lt;&gt;1,"",SUM($V$8:V149))</f>
        <v/>
      </c>
      <c r="AL149" s="257">
        <f t="shared" si="31"/>
        <v>1</v>
      </c>
    </row>
    <row r="150" spans="2:38" s="160" customFormat="1" ht="20">
      <c r="B150" s="159"/>
      <c r="C150" s="159"/>
      <c r="D150" s="198"/>
      <c r="E150" s="835"/>
      <c r="F150" s="788"/>
      <c r="G150" s="789"/>
      <c r="H150" s="790"/>
      <c r="I150" s="790"/>
      <c r="J150" s="791"/>
      <c r="K150" s="791"/>
      <c r="L150" s="731"/>
      <c r="M150" s="904"/>
      <c r="N150" s="907"/>
      <c r="O150" s="795"/>
      <c r="P150" s="904"/>
      <c r="Q150" s="908"/>
      <c r="R150" s="795"/>
      <c r="S150" s="793" t="str">
        <f>IF(G150="","",AG150)</f>
        <v/>
      </c>
      <c r="T150" s="786"/>
      <c r="U150" s="116"/>
      <c r="V150" s="794" t="str">
        <f>IF(H150&lt;&gt;"",1,"")</f>
        <v/>
      </c>
      <c r="X150" s="127" t="s">
        <v>423</v>
      </c>
      <c r="Y150" s="437">
        <f t="shared" si="27"/>
        <v>143</v>
      </c>
      <c r="Z150" s="437" t="str">
        <f>IF(AA150&lt;&gt;"//",COUNTA($AA$8:AA150)-COUNTIF($AA$8:AA150,"//"),"")</f>
        <v/>
      </c>
      <c r="AA150" s="437" t="str">
        <f>IF(OR(G150="",G150="施設番号"),"//",G150)</f>
        <v>//</v>
      </c>
      <c r="AB150" s="437" t="str">
        <f ca="1">_xlfn.IFNA(IF(COUNTIF('4.1(2)新規再エネ導入予定(FS調査、系統接続検討状況)'!$G:$G,OFFSET($AA$7,MATCH($Y150,$Z$8:$Z$167,0),0))=0,OFFSET($AA$7,MATCH($Y150,$Z$8:$Z$167,0),0),""),"")</f>
        <v/>
      </c>
      <c r="AC150" s="437" t="str">
        <f ca="1">_xlfn.IFNA(IF(COUNTIF('4.1(2)新規再エネ導入予定(合意形成)'!$G:$G,OFFSET($AA$7,MATCH($Y150,$Z$8:$Z$167,0),0))=0,OFFSET($AA$7,MATCH($Y150,$Z$8:$Z$167,0),0),""),"")</f>
        <v/>
      </c>
      <c r="AD150" s="437" t="str">
        <f ca="1">_xlfn.IFNA(OFFSET('4.1(2)新規再エネ導入予定(FS調査、系統接続検討状況)'!$W$1,MATCH(G150,'4.1(2)新規再エネ導入予定(FS調査、系統接続検討状況)'!G:G,0)-1,0),"//")</f>
        <v>//</v>
      </c>
      <c r="AE150" s="424" t="str">
        <f ca="1">_xlfn.IFNA(OFFSET('4.1(2)新規再エネ導入予定(合意形成)'!$AJ$1,MATCH(G150,'4.1(2)新規再エネ導入予定(合意形成)'!G:G,0)-1,0),"//")</f>
        <v>//</v>
      </c>
      <c r="AF150" s="437">
        <f t="shared" ca="1" si="25"/>
        <v>0</v>
      </c>
      <c r="AG150" s="131" t="str" cm="1">
        <f t="array" aca="1" ref="AG150" ca="1">IFERROR(_xlfn.IFS(COUNTIF($AB$8:$AC$167,G150)&gt;0,"",AF150&lt;=1,"D",AF150=2,"C",AF150=3,"B",AF150=4,"A"),"")</f>
        <v/>
      </c>
      <c r="AH150" s="437" t="str">
        <f ca="1">_xlfn.IFNA(OFFSET('4.1(2)新規再エネ導入予定(合意形成)'!$Z$1,MATCH($G150,'4.1(2)新規再エネ導入予定(合意形成)'!$G:$G,0)-1,0),"")</f>
        <v/>
      </c>
      <c r="AI150" s="131" t="str">
        <f>IF(G150="","",AG150)</f>
        <v/>
      </c>
      <c r="AJ150" s="257" t="str">
        <f>IF(H150&lt;&gt;"",1,"")</f>
        <v/>
      </c>
      <c r="AK150" s="199" t="str">
        <f>IF(V150&lt;&gt;1,"",SUM($V$8:V150))</f>
        <v/>
      </c>
      <c r="AL150" s="257">
        <f t="shared" si="31"/>
        <v>1</v>
      </c>
    </row>
    <row r="151" spans="2:38" s="160" customFormat="1" ht="20">
      <c r="B151" s="159"/>
      <c r="C151" s="159"/>
      <c r="D151" s="198"/>
      <c r="E151" s="835"/>
      <c r="F151" s="788"/>
      <c r="G151" s="789"/>
      <c r="H151" s="790"/>
      <c r="I151" s="790"/>
      <c r="J151" s="791"/>
      <c r="K151" s="791"/>
      <c r="L151" s="731"/>
      <c r="M151" s="904"/>
      <c r="N151" s="907"/>
      <c r="O151" s="795"/>
      <c r="P151" s="904"/>
      <c r="Q151" s="908"/>
      <c r="R151" s="795"/>
      <c r="S151" s="793" t="str">
        <f>IF(G151="","",AG151)</f>
        <v/>
      </c>
      <c r="T151" s="786"/>
      <c r="U151" s="116"/>
      <c r="V151" s="794" t="str">
        <f>IF(H151&lt;&gt;"",1,"")</f>
        <v/>
      </c>
      <c r="X151" s="127" t="s">
        <v>423</v>
      </c>
      <c r="Y151" s="437">
        <f t="shared" si="27"/>
        <v>144</v>
      </c>
      <c r="Z151" s="437" t="str">
        <f>IF(AA151&lt;&gt;"//",COUNTA($AA$8:AA151)-COUNTIF($AA$8:AA151,"//"),"")</f>
        <v/>
      </c>
      <c r="AA151" s="437" t="str">
        <f>IF(OR(G151="",G151="施設番号"),"//",G151)</f>
        <v>//</v>
      </c>
      <c r="AB151" s="437" t="str">
        <f ca="1">_xlfn.IFNA(IF(COUNTIF('4.1(2)新規再エネ導入予定(FS調査、系統接続検討状況)'!$G:$G,OFFSET($AA$7,MATCH($Y151,$Z$8:$Z$167,0),0))=0,OFFSET($AA$7,MATCH($Y151,$Z$8:$Z$167,0),0),""),"")</f>
        <v/>
      </c>
      <c r="AC151" s="437" t="str">
        <f ca="1">_xlfn.IFNA(IF(COUNTIF('4.1(2)新規再エネ導入予定(合意形成)'!$G:$G,OFFSET($AA$7,MATCH($Y151,$Z$8:$Z$167,0),0))=0,OFFSET($AA$7,MATCH($Y151,$Z$8:$Z$167,0),0),""),"")</f>
        <v/>
      </c>
      <c r="AD151" s="437" t="str">
        <f ca="1">_xlfn.IFNA(OFFSET('4.1(2)新規再エネ導入予定(FS調査、系統接続検討状況)'!$W$1,MATCH(G151,'4.1(2)新規再エネ導入予定(FS調査、系統接続検討状況)'!G:G,0)-1,0),"//")</f>
        <v>//</v>
      </c>
      <c r="AE151" s="424" t="str">
        <f ca="1">_xlfn.IFNA(OFFSET('4.1(2)新規再エネ導入予定(合意形成)'!$AJ$1,MATCH(G151,'4.1(2)新規再エネ導入予定(合意形成)'!G:G,0)-1,0),"//")</f>
        <v>//</v>
      </c>
      <c r="AF151" s="437">
        <f t="shared" ca="1" si="25"/>
        <v>0</v>
      </c>
      <c r="AG151" s="131" t="str" cm="1">
        <f t="array" aca="1" ref="AG151" ca="1">IFERROR(_xlfn.IFS(COUNTIF($AB$8:$AC$167,G151)&gt;0,"",AF151&lt;=1,"D",AF151=2,"C",AF151=3,"B",AF151=4,"A"),"")</f>
        <v/>
      </c>
      <c r="AH151" s="437" t="str">
        <f ca="1">_xlfn.IFNA(OFFSET('4.1(2)新規再エネ導入予定(合意形成)'!$Z$1,MATCH($G151,'4.1(2)新規再エネ導入予定(合意形成)'!$G:$G,0)-1,0),"")</f>
        <v/>
      </c>
      <c r="AI151" s="131" t="str">
        <f>IF(G151="","",AG151)</f>
        <v/>
      </c>
      <c r="AJ151" s="257" t="str">
        <f>IF(H151&lt;&gt;"",1,"")</f>
        <v/>
      </c>
      <c r="AK151" s="199" t="str">
        <f>IF(V151&lt;&gt;1,"",SUM($V$8:V151))</f>
        <v/>
      </c>
      <c r="AL151" s="257">
        <f t="shared" si="31"/>
        <v>1</v>
      </c>
    </row>
    <row r="152" spans="2:38" s="160" customFormat="1" ht="20">
      <c r="B152" s="159"/>
      <c r="C152" s="159"/>
      <c r="D152" s="198"/>
      <c r="E152" s="835"/>
      <c r="F152" s="788"/>
      <c r="G152" s="789"/>
      <c r="H152" s="790"/>
      <c r="I152" s="790"/>
      <c r="J152" s="791"/>
      <c r="K152" s="791"/>
      <c r="L152" s="731"/>
      <c r="M152" s="734"/>
      <c r="N152" s="907"/>
      <c r="O152" s="795"/>
      <c r="P152" s="904"/>
      <c r="Q152" s="908"/>
      <c r="R152" s="795"/>
      <c r="S152" s="793" t="str">
        <f>IF(G152="","",AG152)</f>
        <v/>
      </c>
      <c r="T152" s="786"/>
      <c r="U152" s="116"/>
      <c r="V152" s="794" t="str">
        <f>IF(H152&lt;&gt;"",1,"")</f>
        <v/>
      </c>
      <c r="X152" s="127" t="s">
        <v>423</v>
      </c>
      <c r="Y152" s="437">
        <f t="shared" si="27"/>
        <v>145</v>
      </c>
      <c r="Z152" s="437" t="str">
        <f>IF(AA152&lt;&gt;"//",COUNTA($AA$8:AA152)-COUNTIF($AA$8:AA152,"//"),"")</f>
        <v/>
      </c>
      <c r="AA152" s="437" t="str">
        <f t="shared" si="28"/>
        <v>//</v>
      </c>
      <c r="AB152" s="437" t="str">
        <f ca="1">_xlfn.IFNA(IF(COUNTIF('4.1(2)新規再エネ導入予定(FS調査、系統接続検討状況)'!$G:$G,OFFSET($AA$7,MATCH($Y152,$Z$8:$Z$167,0),0))=0,OFFSET($AA$7,MATCH($Y152,$Z$8:$Z$167,0),0),""),"")</f>
        <v/>
      </c>
      <c r="AC152" s="437" t="str">
        <f ca="1">_xlfn.IFNA(IF(COUNTIF('4.1(2)新規再エネ導入予定(合意形成)'!$G:$G,OFFSET($AA$7,MATCH($Y152,$Z$8:$Z$167,0),0))=0,OFFSET($AA$7,MATCH($Y152,$Z$8:$Z$167,0),0),""),"")</f>
        <v/>
      </c>
      <c r="AD152" s="437" t="str">
        <f ca="1">_xlfn.IFNA(OFFSET('4.1(2)新規再エネ導入予定(FS調査、系統接続検討状況)'!$W$1,MATCH(G152,'4.1(2)新規再エネ導入予定(FS調査、系統接続検討状況)'!G:G,0)-1,0),"//")</f>
        <v>//</v>
      </c>
      <c r="AE152" s="424" t="str">
        <f ca="1">_xlfn.IFNA(OFFSET('4.1(2)新規再エネ導入予定(合意形成)'!$AJ$1,MATCH(G152,'4.1(2)新規再エネ導入予定(合意形成)'!G:G,0)-1,0),"//")</f>
        <v>//</v>
      </c>
      <c r="AF152" s="437">
        <f t="shared" ca="1" si="25"/>
        <v>0</v>
      </c>
      <c r="AG152" s="131" t="str" cm="1">
        <f t="array" aca="1" ref="AG152" ca="1">IFERROR(_xlfn.IFS(COUNTIF($AB$8:$AC$167,G152)&gt;0,"",AF152&lt;=1,"D",AF152=2,"C",AF152=3,"B",AF152=4,"A"),"")</f>
        <v/>
      </c>
      <c r="AH152" s="437" t="str">
        <f ca="1">_xlfn.IFNA(OFFSET('4.1(2)新規再エネ導入予定(合意形成)'!$Z$1,MATCH($G152,'4.1(2)新規再エネ導入予定(合意形成)'!$G:$G,0)-1,0),"")</f>
        <v/>
      </c>
      <c r="AI152" s="131" t="str">
        <f t="shared" si="29"/>
        <v/>
      </c>
      <c r="AJ152" s="257" t="str">
        <f t="shared" si="33"/>
        <v/>
      </c>
      <c r="AK152" s="199" t="str">
        <f>IF(V152&lt;&gt;1,"",SUM($V$8:V152))</f>
        <v/>
      </c>
      <c r="AL152" s="257">
        <f t="shared" si="31"/>
        <v>1</v>
      </c>
    </row>
    <row r="153" spans="2:38" ht="20">
      <c r="D153" s="16"/>
      <c r="E153" s="833"/>
      <c r="F153" s="816" t="s">
        <v>26</v>
      </c>
      <c r="G153" s="802"/>
      <c r="H153" s="802"/>
      <c r="I153" s="802"/>
      <c r="J153" s="802"/>
      <c r="K153" s="802"/>
      <c r="L153" s="758"/>
      <c r="M153" s="502">
        <f ca="1">SUM(INDIRECT("M"&amp;ROW(M148)&amp;":M"&amp;ROW()-1))</f>
        <v>0</v>
      </c>
      <c r="N153" s="750"/>
      <c r="O153" s="817"/>
      <c r="P153" s="710">
        <f ca="1">SUM(INDIRECT("P"&amp;ROW(P148)&amp;":P"&amp;ROW()-1))</f>
        <v>0</v>
      </c>
      <c r="Q153" s="744"/>
      <c r="R153" s="806"/>
      <c r="S153" s="803"/>
      <c r="T153" s="771"/>
      <c r="V153" s="224" t="str">
        <f t="shared" ref="V153" si="34">IF(H153&lt;&gt;"",1,"")</f>
        <v/>
      </c>
      <c r="X153" s="224" t="s">
        <v>423</v>
      </c>
      <c r="Y153" s="177">
        <f t="shared" si="27"/>
        <v>146</v>
      </c>
      <c r="Z153" s="177" t="str">
        <f>IF(AA153&lt;&gt;"//",COUNTA($AA$8:AA153)-COUNTIF($AA$8:AA153,"//"),"")</f>
        <v/>
      </c>
      <c r="AA153" s="177" t="str">
        <f t="shared" si="28"/>
        <v>//</v>
      </c>
      <c r="AB153" s="177" t="str">
        <f ca="1">_xlfn.IFNA(IF(COUNTIF('4.1(2)新規再エネ導入予定(FS調査、系統接続検討状況)'!$G:$G,OFFSET($AA$7,MATCH($Y153,$Z$8:$Z$167,0),0))=0,OFFSET($AA$7,MATCH($Y153,$Z$8:$Z$167,0),0),""),"")</f>
        <v/>
      </c>
      <c r="AC153" s="177" t="str">
        <f ca="1">_xlfn.IFNA(IF(COUNTIF('4.1(2)新規再エネ導入予定(合意形成)'!$G:$G,OFFSET($AA$7,MATCH($Y153,$Z$8:$Z$167,0),0))=0,OFFSET($AA$7,MATCH($Y153,$Z$8:$Z$167,0),0),""),"")</f>
        <v/>
      </c>
      <c r="AD153" s="177" t="str">
        <f ca="1">_xlfn.IFNA(OFFSET('4.1(2)新規再エネ導入予定(FS調査、系統接続検討状況)'!$W$1,MATCH(G153,'4.1(2)新規再エネ導入予定(FS調査、系統接続検討状況)'!G:G,0)-1,0),"//")</f>
        <v>//</v>
      </c>
      <c r="AE153" s="264" t="str">
        <f ca="1">_xlfn.IFNA(OFFSET('4.1(2)新規再エネ導入予定(合意形成)'!$AJ$1,MATCH(G153,'4.1(2)新規再エネ導入予定(合意形成)'!G:G,0)-1,0),"//")</f>
        <v>//</v>
      </c>
      <c r="AF153" s="177">
        <f t="shared" ca="1" si="25"/>
        <v>0</v>
      </c>
      <c r="AG153" s="217" t="str" cm="1">
        <f t="array" aca="1" ref="AG153" ca="1">IFERROR(_xlfn.IFS(COUNTIF($AB$8:$AC$167,G153)&gt;0,"",AF153&lt;=1,"D",AF153=2,"C",AF153=3,"B",AF153=4,"A"),"")</f>
        <v/>
      </c>
      <c r="AH153" s="177" t="str">
        <f ca="1">_xlfn.IFNA(OFFSET('4.1(2)新規再エネ導入予定(合意形成)'!$Z$1,MATCH($G153,'4.1(2)新規再エネ導入予定(合意形成)'!$G:$G,0)-1,0),"")</f>
        <v/>
      </c>
      <c r="AI153" s="217" t="str">
        <f t="shared" si="29"/>
        <v/>
      </c>
      <c r="AJ153" s="177" t="str">
        <f t="shared" si="33"/>
        <v/>
      </c>
      <c r="AK153" s="224" t="str">
        <f>IF(V153&lt;&gt;1,"",SUM($V$8:V153))</f>
        <v/>
      </c>
      <c r="AL153" s="177">
        <f t="shared" si="31"/>
        <v>1</v>
      </c>
    </row>
    <row r="154" spans="2:38">
      <c r="D154" s="46"/>
      <c r="E154" s="470"/>
      <c r="F154" s="470"/>
      <c r="G154" s="470"/>
      <c r="H154" s="470"/>
      <c r="I154" s="470"/>
      <c r="J154" s="470"/>
      <c r="K154" s="470"/>
      <c r="L154" s="759"/>
      <c r="M154" s="470"/>
      <c r="N154" s="473"/>
      <c r="O154" s="808"/>
      <c r="P154" s="470"/>
      <c r="Q154" s="473"/>
      <c r="R154" s="808"/>
      <c r="S154" s="470"/>
      <c r="T154" s="809"/>
      <c r="X154" s="224" t="s">
        <v>423</v>
      </c>
      <c r="Y154" s="177">
        <f t="shared" si="27"/>
        <v>147</v>
      </c>
      <c r="Z154" s="177" t="str">
        <f>IF(AA154&lt;&gt;"//",COUNTA($AA$8:AA154)-COUNTIF($AA$8:AA154,"//"),"")</f>
        <v/>
      </c>
      <c r="AA154" s="177" t="str">
        <f t="shared" si="28"/>
        <v>//</v>
      </c>
      <c r="AB154" s="177" t="str">
        <f ca="1">_xlfn.IFNA(IF(COUNTIF('4.1(2)新規再エネ導入予定(FS調査、系統接続検討状況)'!$G:$G,OFFSET($AA$7,MATCH($Y154,$Z$8:$Z$167,0),0))=0,OFFSET($AA$7,MATCH($Y154,$Z$8:$Z$167,0),0),""),"")</f>
        <v/>
      </c>
      <c r="AC154" s="177" t="str">
        <f ca="1">_xlfn.IFNA(IF(COUNTIF('4.1(2)新規再エネ導入予定(合意形成)'!$G:$G,OFFSET($AA$7,MATCH($Y154,$Z$8:$Z$167,0),0))=0,OFFSET($AA$7,MATCH($Y154,$Z$8:$Z$167,0),0),""),"")</f>
        <v/>
      </c>
      <c r="AD154" s="177" t="str">
        <f ca="1">_xlfn.IFNA(OFFSET('4.1(2)新規再エネ導入予定(FS調査、系統接続検討状況)'!$W$1,MATCH(G154,'4.1(2)新規再エネ導入予定(FS調査、系統接続検討状況)'!G:G,0)-1,0),"//")</f>
        <v>//</v>
      </c>
      <c r="AE154" s="264" t="str">
        <f ca="1">_xlfn.IFNA(OFFSET('4.1(2)新規再エネ導入予定(合意形成)'!$AJ$1,MATCH(G154,'4.1(2)新規再エネ導入予定(合意形成)'!G:G,0)-1,0),"//")</f>
        <v>//</v>
      </c>
      <c r="AF154" s="177">
        <f t="shared" ca="1" si="25"/>
        <v>0</v>
      </c>
      <c r="AG154" s="217" t="str" cm="1">
        <f t="array" aca="1" ref="AG154" ca="1">IFERROR(_xlfn.IFS(COUNTIF($AB$8:$AC$167,G154)&gt;0,"",AF154&lt;=1,"D",AF154=2,"C",AF154=3,"B",AF154=4,"A"),"")</f>
        <v/>
      </c>
      <c r="AH154" s="177" t="str">
        <f ca="1">_xlfn.IFNA(OFFSET('4.1(2)新規再エネ導入予定(合意形成)'!$Z$1,MATCH($G154,'4.1(2)新規再エネ導入予定(合意形成)'!$G:$G,0)-1,0),"")</f>
        <v/>
      </c>
      <c r="AI154" s="217" t="str">
        <f t="shared" si="29"/>
        <v/>
      </c>
      <c r="AJ154" s="177" t="str">
        <f t="shared" si="33"/>
        <v/>
      </c>
      <c r="AK154" s="224" t="str">
        <f>IF(V154&lt;&gt;1,"",SUM($V$8:V154))</f>
        <v/>
      </c>
      <c r="AL154" s="177">
        <f t="shared" si="31"/>
        <v>1</v>
      </c>
    </row>
    <row r="155" spans="2:38">
      <c r="F155" s="741"/>
      <c r="G155" s="741"/>
      <c r="H155" s="741"/>
      <c r="I155" s="741"/>
      <c r="J155" s="741"/>
      <c r="K155" s="741"/>
      <c r="L155" s="756"/>
      <c r="M155" s="741"/>
      <c r="N155" s="746"/>
      <c r="O155" s="810"/>
      <c r="P155" s="741"/>
      <c r="T155" s="764"/>
      <c r="X155" s="224" t="s">
        <v>423</v>
      </c>
      <c r="Y155" s="177">
        <f t="shared" si="27"/>
        <v>148</v>
      </c>
      <c r="Z155" s="177" t="str">
        <f>IF(AA155&lt;&gt;"//",COUNTA($AA$8:AA155)-COUNTIF($AA$8:AA155,"//"),"")</f>
        <v/>
      </c>
      <c r="AA155" s="177" t="str">
        <f t="shared" si="28"/>
        <v>//</v>
      </c>
      <c r="AB155" s="177" t="str">
        <f ca="1">_xlfn.IFNA(IF(COUNTIF('4.1(2)新規再エネ導入予定(FS調査、系統接続検討状況)'!$G:$G,OFFSET($AA$7,MATCH($Y155,$Z$8:$Z$167,0),0))=0,OFFSET($AA$7,MATCH($Y155,$Z$8:$Z$167,0),0),""),"")</f>
        <v/>
      </c>
      <c r="AC155" s="177" t="str">
        <f ca="1">_xlfn.IFNA(IF(COUNTIF('4.1(2)新規再エネ導入予定(合意形成)'!$G:$G,OFFSET($AA$7,MATCH($Y155,$Z$8:$Z$167,0),0))=0,OFFSET($AA$7,MATCH($Y155,$Z$8:$Z$167,0),0),""),"")</f>
        <v/>
      </c>
      <c r="AD155" s="177" t="str">
        <f ca="1">_xlfn.IFNA(OFFSET('4.1(2)新規再エネ導入予定(FS調査、系統接続検討状況)'!$W$1,MATCH(G155,'4.1(2)新規再エネ導入予定(FS調査、系統接続検討状況)'!G:G,0)-1,0),"//")</f>
        <v>//</v>
      </c>
      <c r="AE155" s="264" t="str">
        <f ca="1">_xlfn.IFNA(OFFSET('4.1(2)新規再エネ導入予定(合意形成)'!$AJ$1,MATCH(G155,'4.1(2)新規再エネ導入予定(合意形成)'!G:G,0)-1,0),"//")</f>
        <v>//</v>
      </c>
      <c r="AF155" s="177">
        <f t="shared" ca="1" si="25"/>
        <v>0</v>
      </c>
      <c r="AG155" s="217" t="str" cm="1">
        <f t="array" aca="1" ref="AG155" ca="1">IFERROR(_xlfn.IFS(COUNTIF($AB$8:$AC$167,G155)&gt;0,"",AF155&lt;=1,"D",AF155=2,"C",AF155=3,"B",AF155=4,"A"),"")</f>
        <v/>
      </c>
      <c r="AH155" s="177" t="str">
        <f ca="1">_xlfn.IFNA(OFFSET('4.1(2)新規再エネ導入予定(合意形成)'!$Z$1,MATCH($G155,'4.1(2)新規再エネ導入予定(合意形成)'!$G:$G,0)-1,0),"")</f>
        <v/>
      </c>
      <c r="AI155" s="217" t="str">
        <f t="shared" si="29"/>
        <v/>
      </c>
      <c r="AJ155" s="177" t="str">
        <f t="shared" si="33"/>
        <v/>
      </c>
      <c r="AK155" s="224" t="str">
        <f>IF(V155&lt;&gt;1,"",SUM($V$8:V155))</f>
        <v/>
      </c>
      <c r="AL155" s="177">
        <f t="shared" si="31"/>
        <v>1</v>
      </c>
    </row>
    <row r="156" spans="2:38">
      <c r="F156" s="741"/>
      <c r="G156" s="741"/>
      <c r="H156" s="741"/>
      <c r="I156" s="741"/>
      <c r="J156" s="741"/>
      <c r="K156" s="741"/>
      <c r="L156" s="756"/>
      <c r="M156" s="741"/>
      <c r="N156" s="746"/>
      <c r="O156" s="810"/>
      <c r="P156" s="741"/>
      <c r="T156" s="764"/>
      <c r="U156" s="764"/>
      <c r="V156" s="764"/>
      <c r="W156" s="231"/>
      <c r="X156" s="224" t="s">
        <v>423</v>
      </c>
      <c r="Y156" s="177">
        <f t="shared" si="27"/>
        <v>149</v>
      </c>
      <c r="Z156" s="177" t="str">
        <f>IF(AA156&lt;&gt;"//",COUNTA($AA$8:AA156)-COUNTIF($AA$8:AA156,"//"),"")</f>
        <v/>
      </c>
      <c r="AA156" s="177" t="str">
        <f t="shared" si="28"/>
        <v>//</v>
      </c>
      <c r="AB156" s="177" t="str">
        <f ca="1">_xlfn.IFNA(IF(COUNTIF('4.1(2)新規再エネ導入予定(FS調査、系統接続検討状況)'!$G:$G,OFFSET($AA$7,MATCH($Y156,$Z$8:$Z$167,0),0))=0,OFFSET($AA$7,MATCH($Y156,$Z$8:$Z$167,0),0),""),"")</f>
        <v/>
      </c>
      <c r="AC156" s="177" t="str">
        <f ca="1">_xlfn.IFNA(IF(COUNTIF('4.1(2)新規再エネ導入予定(合意形成)'!$G:$G,OFFSET($AA$7,MATCH($Y156,$Z$8:$Z$167,0),0))=0,OFFSET($AA$7,MATCH($Y156,$Z$8:$Z$167,0),0),""),"")</f>
        <v/>
      </c>
      <c r="AD156" s="177" t="str">
        <f ca="1">_xlfn.IFNA(OFFSET('4.1(2)新規再エネ導入予定(FS調査、系統接続検討状況)'!$W$1,MATCH(G156,'4.1(2)新規再エネ導入予定(FS調査、系統接続検討状況)'!G:G,0)-1,0),"//")</f>
        <v>//</v>
      </c>
      <c r="AE156" s="224" t="str">
        <f ca="1">_xlfn.IFNA(OFFSET('4.1(2)新規再エネ導入予定(合意形成)'!$AJ$1,MATCH(G156,'4.1(2)新規再エネ導入予定(合意形成)'!G:G,0)-1,0),"//")</f>
        <v>//</v>
      </c>
      <c r="AF156" s="177">
        <f t="shared" ca="1" si="25"/>
        <v>0</v>
      </c>
      <c r="AG156" s="217" t="str" cm="1">
        <f t="array" aca="1" ref="AG156" ca="1">IFERROR(_xlfn.IFS(COUNTIF($AB$8:$AC$167,G156)&gt;0,"",AF156&lt;=1,"D",AF156=2,"C",AF156=3,"B",AF156=4,"A"),"")</f>
        <v/>
      </c>
      <c r="AH156" s="177" t="str">
        <f ca="1">_xlfn.IFNA(OFFSET('4.1(2)新規再エネ導入予定(合意形成)'!$Z$1,MATCH($G156,'4.1(2)新規再エネ導入予定(合意形成)'!$G:$G,0)-1,0),"")</f>
        <v/>
      </c>
      <c r="AI156" s="217" t="str">
        <f t="shared" si="29"/>
        <v/>
      </c>
      <c r="AJ156" s="177" t="str">
        <f t="shared" si="33"/>
        <v/>
      </c>
      <c r="AK156" s="224" t="str">
        <f>IF(V156&lt;&gt;1,"",SUM($V$8:V156))</f>
        <v/>
      </c>
      <c r="AL156" s="177">
        <f t="shared" si="31"/>
        <v>1</v>
      </c>
    </row>
    <row r="157" spans="2:38" ht="27.75" customHeight="1">
      <c r="D157" s="14"/>
      <c r="E157" s="834"/>
      <c r="F157" s="811"/>
      <c r="G157" s="463"/>
      <c r="H157" s="463"/>
      <c r="I157" s="463"/>
      <c r="J157" s="463"/>
      <c r="K157" s="463"/>
      <c r="L157" s="753"/>
      <c r="M157" s="463"/>
      <c r="N157" s="747"/>
      <c r="O157" s="769"/>
      <c r="P157" s="463"/>
      <c r="Q157" s="466"/>
      <c r="R157" s="769"/>
      <c r="S157" s="463"/>
      <c r="T157" s="770"/>
      <c r="X157" s="224" t="s">
        <v>424</v>
      </c>
      <c r="Y157" s="177">
        <f t="shared" si="27"/>
        <v>150</v>
      </c>
      <c r="Z157" s="177" t="str">
        <f>IF(AA157&lt;&gt;"//",COUNTA($AA$8:AA157)-COUNTIF($AA$8:AA157,"//"),"")</f>
        <v/>
      </c>
      <c r="AA157" s="177" t="str">
        <f t="shared" si="28"/>
        <v>//</v>
      </c>
      <c r="AB157" s="177" t="str">
        <f ca="1">_xlfn.IFNA(IF(COUNTIF('4.1(2)新規再エネ導入予定(FS調査、系統接続検討状況)'!$G:$G,OFFSET($AA$7,MATCH($Y157,$Z$8:$Z$167,0),0))=0,OFFSET($AA$7,MATCH($Y157,$Z$8:$Z$167,0),0),""),"")</f>
        <v/>
      </c>
      <c r="AC157" s="177" t="str">
        <f ca="1">_xlfn.IFNA(IF(COUNTIF('4.1(2)新規再エネ導入予定(合意形成)'!$G:$G,OFFSET($AA$7,MATCH($Y157,$Z$8:$Z$167,0),0))=0,OFFSET($AA$7,MATCH($Y157,$Z$8:$Z$167,0),0),""),"")</f>
        <v/>
      </c>
      <c r="AD157" s="177" t="str">
        <f ca="1">_xlfn.IFNA(OFFSET('4.1(2)新規再エネ導入予定(FS調査、系統接続検討状況)'!$W$1,MATCH(G157,'4.1(2)新規再エネ導入予定(FS調査、系統接続検討状況)'!G:G,0)-1,0),"//")</f>
        <v>//</v>
      </c>
      <c r="AE157" s="264" t="str">
        <f ca="1">_xlfn.IFNA(OFFSET('4.1(2)新規再エネ導入予定(合意形成)'!$AJ$1,MATCH(G157,'4.1(2)新規再エネ導入予定(合意形成)'!G:G,0)-1,0),"//")</f>
        <v>//</v>
      </c>
      <c r="AF157" s="177">
        <f t="shared" ca="1" si="25"/>
        <v>0</v>
      </c>
      <c r="AG157" s="217" t="str" cm="1">
        <f t="array" aca="1" ref="AG157" ca="1">IFERROR(_xlfn.IFS(COUNTIF($AB$8:$AC$167,G157)&gt;0,"",AF157&lt;=1,"D",AF157=2,"C",AF157=3,"B",AF157=4,"A"),"")</f>
        <v/>
      </c>
      <c r="AH157" s="177" t="str">
        <f ca="1">_xlfn.IFNA(OFFSET('4.1(2)新規再エネ導入予定(合意形成)'!$Z$1,MATCH($G157,'4.1(2)新規再エネ導入予定(合意形成)'!$G:$G,0)-1,0),"")</f>
        <v/>
      </c>
      <c r="AI157" s="217" t="str">
        <f t="shared" si="29"/>
        <v/>
      </c>
      <c r="AJ157" s="177" t="str">
        <f t="shared" si="33"/>
        <v/>
      </c>
      <c r="AK157" s="224" t="str">
        <f>IF(V157&lt;&gt;1,"",SUM($V$8:V157))</f>
        <v/>
      </c>
      <c r="AL157" s="177">
        <f t="shared" si="31"/>
        <v>1</v>
      </c>
    </row>
    <row r="158" spans="2:38" ht="27.75" customHeight="1">
      <c r="D158" s="239" t="s">
        <v>617</v>
      </c>
      <c r="F158" s="812"/>
      <c r="G158" s="813"/>
      <c r="N158" s="748"/>
      <c r="S158" s="325"/>
      <c r="T158" s="771"/>
      <c r="X158" s="224" t="s">
        <v>424</v>
      </c>
      <c r="Y158" s="177">
        <f t="shared" si="27"/>
        <v>151</v>
      </c>
      <c r="Z158" s="177" t="str">
        <f>IF(AA158&lt;&gt;"//",COUNTA($AA$8:AA158)-COUNTIF($AA$8:AA158,"//"),"")</f>
        <v/>
      </c>
      <c r="AA158" s="177" t="str">
        <f t="shared" si="28"/>
        <v>//</v>
      </c>
      <c r="AB158" s="177" t="str">
        <f ca="1">_xlfn.IFNA(IF(COUNTIF('4.1(2)新規再エネ導入予定(FS調査、系統接続検討状況)'!$G:$G,OFFSET($AA$7,MATCH($Y158,$Z$8:$Z$167,0),0))=0,OFFSET($AA$7,MATCH($Y158,$Z$8:$Z$167,0),0),""),"")</f>
        <v/>
      </c>
      <c r="AC158" s="177" t="str">
        <f ca="1">_xlfn.IFNA(IF(COUNTIF('4.1(2)新規再エネ導入予定(合意形成)'!$G:$G,OFFSET($AA$7,MATCH($Y158,$Z$8:$Z$167,0),0))=0,OFFSET($AA$7,MATCH($Y158,$Z$8:$Z$167,0),0),""),"")</f>
        <v/>
      </c>
      <c r="AD158" s="177" t="str">
        <f ca="1">_xlfn.IFNA(OFFSET('4.1(2)新規再エネ導入予定(FS調査、系統接続検討状況)'!$W$1,MATCH(G158,'4.1(2)新規再エネ導入予定(FS調査、系統接続検討状況)'!G:G,0)-1,0),"//")</f>
        <v>//</v>
      </c>
      <c r="AE158" s="264" t="str">
        <f ca="1">_xlfn.IFNA(OFFSET('4.1(2)新規再エネ導入予定(合意形成)'!$AJ$1,MATCH(G158,'4.1(2)新規再エネ導入予定(合意形成)'!G:G,0)-1,0),"//")</f>
        <v>//</v>
      </c>
      <c r="AF158" s="177">
        <f t="shared" ca="1" si="25"/>
        <v>0</v>
      </c>
      <c r="AG158" s="217" t="str" cm="1">
        <f t="array" aca="1" ref="AG158" ca="1">IFERROR(_xlfn.IFS(COUNTIF($AB$8:$AC$167,G158)&gt;0,"",AF158&lt;=1,"D",AF158=2,"C",AF158=3,"B",AF158=4,"A"),"")</f>
        <v/>
      </c>
      <c r="AH158" s="177" t="str">
        <f ca="1">_xlfn.IFNA(OFFSET('4.1(2)新規再エネ導入予定(合意形成)'!$Z$1,MATCH($G158,'4.1(2)新規再エネ導入予定(合意形成)'!$G:$G,0)-1,0),"")</f>
        <v/>
      </c>
      <c r="AI158" s="217" t="str">
        <f t="shared" si="29"/>
        <v/>
      </c>
      <c r="AJ158" s="177" t="str">
        <f t="shared" si="33"/>
        <v/>
      </c>
      <c r="AK158" s="224" t="str">
        <f>IF(V158&lt;&gt;1,"",SUM($V$8:V158))</f>
        <v/>
      </c>
      <c r="AL158" s="177">
        <f t="shared" si="31"/>
        <v>1</v>
      </c>
    </row>
    <row r="159" spans="2:38" ht="60">
      <c r="D159" s="16"/>
      <c r="E159" s="831"/>
      <c r="F159" s="898" t="s">
        <v>8</v>
      </c>
      <c r="G159" s="742" t="s">
        <v>186</v>
      </c>
      <c r="H159" s="742" t="s">
        <v>181</v>
      </c>
      <c r="I159" s="742" t="s">
        <v>9</v>
      </c>
      <c r="J159" s="742" t="s">
        <v>10</v>
      </c>
      <c r="K159" s="815" t="s">
        <v>11</v>
      </c>
      <c r="L159" s="757" t="s">
        <v>31</v>
      </c>
      <c r="M159" s="742" t="s">
        <v>13</v>
      </c>
      <c r="N159" s="749" t="s">
        <v>82</v>
      </c>
      <c r="O159" s="742" t="s">
        <v>192</v>
      </c>
      <c r="P159" s="742" t="s">
        <v>81</v>
      </c>
      <c r="Q159" s="743" t="s">
        <v>83</v>
      </c>
      <c r="R159" s="742" t="s">
        <v>275</v>
      </c>
      <c r="S159" s="742" t="s">
        <v>503</v>
      </c>
      <c r="T159" s="771"/>
      <c r="V159" s="436" t="s">
        <v>194</v>
      </c>
      <c r="X159" s="224" t="s">
        <v>424</v>
      </c>
      <c r="Y159" s="177">
        <f t="shared" si="27"/>
        <v>152</v>
      </c>
      <c r="Z159" s="177" t="str">
        <f>IF(AA159&lt;&gt;"//",COUNTA($AA$8:AA159)-COUNTIF($AA$8:AA159,"//"),"")</f>
        <v/>
      </c>
      <c r="AA159" s="177" t="str">
        <f t="shared" si="28"/>
        <v>//</v>
      </c>
      <c r="AB159" s="177" t="str">
        <f ca="1">_xlfn.IFNA(IF(COUNTIF('4.1(2)新規再エネ導入予定(FS調査、系統接続検討状況)'!$G:$G,OFFSET($AA$7,MATCH($Y159,$Z$8:$Z$167,0),0))=0,OFFSET($AA$7,MATCH($Y159,$Z$8:$Z$167,0),0),""),"")</f>
        <v/>
      </c>
      <c r="AC159" s="177" t="str">
        <f ca="1">_xlfn.IFNA(IF(COUNTIF('4.1(2)新規再エネ導入予定(合意形成)'!$G:$G,OFFSET($AA$7,MATCH($Y159,$Z$8:$Z$167,0),0))=0,OFFSET($AA$7,MATCH($Y159,$Z$8:$Z$167,0),0),""),"")</f>
        <v/>
      </c>
      <c r="AD159" s="177" t="str">
        <f ca="1">_xlfn.IFNA(OFFSET('4.1(2)新規再エネ導入予定(FS調査、系統接続検討状況)'!$W$1,MATCH(G159,'4.1(2)新規再エネ導入予定(FS調査、系統接続検討状況)'!G:G,0)-1,0),"//")</f>
        <v>採点</v>
      </c>
      <c r="AE159" s="264" t="str">
        <f ca="1">_xlfn.IFNA(OFFSET('4.1(2)新規再エネ導入予定(合意形成)'!$AJ$1,MATCH(G159,'4.1(2)新規再エネ導入予定(合意形成)'!G:G,0)-1,0),"//")</f>
        <v>施設
スコア</v>
      </c>
      <c r="AF159" s="177">
        <f t="shared" ca="1" si="25"/>
        <v>0</v>
      </c>
      <c r="AG159" s="217" t="str" cm="1">
        <f t="array" aca="1" ref="AG159" ca="1">IFERROR(_xlfn.IFS(COUNTIF($AB$8:$AC$167,G159)&gt;0,"",AF159&lt;=1,"D",AF159=2,"C",AF159=3,"B",AF159=4,"A"),"")</f>
        <v>D</v>
      </c>
      <c r="AH159" s="177" t="str">
        <f ca="1">_xlfn.IFNA(OFFSET('4.1(2)新規再エネ導入予定(合意形成)'!$Z$1,MATCH($G159,'4.1(2)新規再エネ導入予定(合意形成)'!$G:$G,0)-1,0),"")</f>
        <v>代表者数</v>
      </c>
      <c r="AI159" s="217" t="str">
        <f t="shared" ca="1" si="29"/>
        <v>D</v>
      </c>
      <c r="AJ159" s="177">
        <f t="shared" si="33"/>
        <v>1</v>
      </c>
      <c r="AK159" s="224" t="str">
        <f>IF(V159&lt;&gt;1,"",SUM($V$8:V159))</f>
        <v/>
      </c>
      <c r="AL159" s="177">
        <f t="shared" si="31"/>
        <v>1</v>
      </c>
    </row>
    <row r="160" spans="2:38" s="11" customFormat="1" ht="20" hidden="1">
      <c r="B160" s="21"/>
      <c r="C160" s="21"/>
      <c r="D160" s="22"/>
      <c r="E160" s="832"/>
      <c r="F160" s="781"/>
      <c r="G160" s="782"/>
      <c r="H160" s="783"/>
      <c r="I160" s="783"/>
      <c r="J160" s="784"/>
      <c r="K160" s="784"/>
      <c r="L160" s="901"/>
      <c r="M160" s="902"/>
      <c r="N160" s="907"/>
      <c r="O160" s="798"/>
      <c r="P160" s="902"/>
      <c r="Q160" s="908"/>
      <c r="R160" s="798"/>
      <c r="S160" s="785" t="str">
        <f>IF(G160="","",AG160)</f>
        <v/>
      </c>
      <c r="T160" s="786"/>
      <c r="U160" s="116"/>
      <c r="V160" s="787"/>
      <c r="X160" s="127" t="s">
        <v>424</v>
      </c>
      <c r="Y160" s="257">
        <f t="shared" si="27"/>
        <v>153</v>
      </c>
      <c r="Z160" s="257" t="str">
        <f>IF(AA160&lt;&gt;"//",COUNTA($AA$8:AA160)-COUNTIF($AA$8:AA160,"//"),"")</f>
        <v/>
      </c>
      <c r="AA160" s="257" t="str">
        <f t="shared" si="28"/>
        <v>//</v>
      </c>
      <c r="AB160" s="257" t="str">
        <f ca="1">_xlfn.IFNA(IF(COUNTIF('4.1(2)新規再エネ導入予定(FS調査、系統接続検討状況)'!$G:$G,OFFSET($AA$7,MATCH($Y160,$Z$8:$Z$167,0),0))=0,OFFSET($AA$7,MATCH($Y160,$Z$8:$Z$167,0),0),""),"")</f>
        <v/>
      </c>
      <c r="AC160" s="257" t="str">
        <f ca="1">_xlfn.IFNA(IF(COUNTIF('4.1(2)新規再エネ導入予定(合意形成)'!$G:$G,OFFSET($AA$7,MATCH($Y160,$Z$8:$Z$167,0),0))=0,OFFSET($AA$7,MATCH($Y160,$Z$8:$Z$167,0),0),""),"")</f>
        <v/>
      </c>
      <c r="AD160" s="257" t="str">
        <f ca="1">_xlfn.IFNA(OFFSET('4.1(2)新規再エネ導入予定(FS調査、系統接続検討状況)'!$W$1,MATCH(G160,'4.1(2)新規再エネ導入予定(FS調査、系統接続検討状況)'!G:G,0)-1,0),"//")</f>
        <v>//</v>
      </c>
      <c r="AE160" s="279" t="str">
        <f ca="1">_xlfn.IFNA(OFFSET('4.1(2)新規再エネ導入予定(合意形成)'!$AJ$1,MATCH(G160,'4.1(2)新規再エネ導入予定(合意形成)'!G:G,0)-1,0),"//")</f>
        <v>//</v>
      </c>
      <c r="AF160" s="257">
        <f t="shared" ca="1" si="25"/>
        <v>0</v>
      </c>
      <c r="AG160" s="131" t="str" cm="1">
        <f t="array" aca="1" ref="AG160" ca="1">IFERROR(_xlfn.IFS(COUNTIF($AB$8:$AC$167,G160)&gt;0,"",AF160&lt;=1,"D",AF160=2,"C",AF160=3,"B",AF160=4,"A"),"")</f>
        <v/>
      </c>
      <c r="AH160" s="257" t="str">
        <f ca="1">_xlfn.IFNA(OFFSET('4.1(2)新規再エネ導入予定(合意形成)'!$Z$1,MATCH($G160,'4.1(2)新規再エネ導入予定(合意形成)'!$G:$G,0)-1,0),"")</f>
        <v/>
      </c>
      <c r="AI160" s="131" t="str">
        <f t="shared" si="29"/>
        <v/>
      </c>
      <c r="AJ160" s="257" t="str">
        <f t="shared" si="33"/>
        <v/>
      </c>
      <c r="AK160" s="127" t="str">
        <f>IF(V160&lt;&gt;1,"",SUM($V$8:V160))</f>
        <v/>
      </c>
      <c r="AL160" s="257">
        <f t="shared" si="31"/>
        <v>1</v>
      </c>
    </row>
    <row r="161" spans="2:38" s="11" customFormat="1" ht="20">
      <c r="B161" s="21"/>
      <c r="C161" s="21"/>
      <c r="D161" s="22"/>
      <c r="E161" s="832"/>
      <c r="F161" s="788"/>
      <c r="G161" s="789"/>
      <c r="H161" s="790"/>
      <c r="I161" s="790"/>
      <c r="J161" s="791"/>
      <c r="K161" s="791"/>
      <c r="L161" s="731"/>
      <c r="M161" s="904"/>
      <c r="N161" s="907"/>
      <c r="O161" s="795"/>
      <c r="P161" s="904"/>
      <c r="Q161" s="908"/>
      <c r="R161" s="795"/>
      <c r="S161" s="793" t="str">
        <f>IF(G161="","",AG161)</f>
        <v/>
      </c>
      <c r="T161" s="786"/>
      <c r="U161" s="116"/>
      <c r="V161" s="794" t="str">
        <f>IF(H161&lt;&gt;"",1,"")</f>
        <v/>
      </c>
      <c r="X161" s="127" t="s">
        <v>424</v>
      </c>
      <c r="Y161" s="257">
        <f t="shared" si="27"/>
        <v>154</v>
      </c>
      <c r="Z161" s="257" t="str">
        <f>IF(AA161&lt;&gt;"//",COUNTA($AA$8:AA161)-COUNTIF($AA$8:AA161,"//"),"")</f>
        <v/>
      </c>
      <c r="AA161" s="257" t="str">
        <f t="shared" si="28"/>
        <v>//</v>
      </c>
      <c r="AB161" s="257" t="str">
        <f ca="1">_xlfn.IFNA(IF(COUNTIF('4.1(2)新規再エネ導入予定(FS調査、系統接続検討状況)'!$G:$G,OFFSET($AA$7,MATCH($Y161,$Z$8:$Z$167,0),0))=0,OFFSET($AA$7,MATCH($Y161,$Z$8:$Z$167,0),0),""),"")</f>
        <v/>
      </c>
      <c r="AC161" s="257" t="str">
        <f ca="1">_xlfn.IFNA(IF(COUNTIF('4.1(2)新規再エネ導入予定(合意形成)'!$G:$G,OFFSET($AA$7,MATCH($Y161,$Z$8:$Z$167,0),0))=0,OFFSET($AA$7,MATCH($Y161,$Z$8:$Z$167,0),0),""),"")</f>
        <v/>
      </c>
      <c r="AD161" s="257" t="str">
        <f ca="1">_xlfn.IFNA(OFFSET('4.1(2)新規再エネ導入予定(FS調査、系統接続検討状況)'!$W$1,MATCH(G161,'4.1(2)新規再エネ導入予定(FS調査、系統接続検討状況)'!G:G,0)-1,0),"//")</f>
        <v>//</v>
      </c>
      <c r="AE161" s="279" t="str">
        <f ca="1">_xlfn.IFNA(OFFSET('4.1(2)新規再エネ導入予定(合意形成)'!$AJ$1,MATCH(G161,'4.1(2)新規再エネ導入予定(合意形成)'!G:G,0)-1,0),"//")</f>
        <v>//</v>
      </c>
      <c r="AF161" s="257">
        <f t="shared" ca="1" si="25"/>
        <v>0</v>
      </c>
      <c r="AG161" s="131" t="str" cm="1">
        <f t="array" aca="1" ref="AG161" ca="1">IFERROR(_xlfn.IFS(COUNTIF($AB$8:$AC$167,G161)&gt;0,"",AF161&lt;=1,"D",AF161=2,"C",AF161=3,"B",AF161=4,"A"),"")</f>
        <v/>
      </c>
      <c r="AH161" s="257" t="str">
        <f ca="1">_xlfn.IFNA(OFFSET('4.1(2)新規再エネ導入予定(合意形成)'!$Z$1,MATCH($G161,'4.1(2)新規再エネ導入予定(合意形成)'!$G:$G,0)-1,0),"")</f>
        <v/>
      </c>
      <c r="AI161" s="131" t="str">
        <f t="shared" si="29"/>
        <v/>
      </c>
      <c r="AJ161" s="257" t="str">
        <f t="shared" si="33"/>
        <v/>
      </c>
      <c r="AK161" s="127" t="str">
        <f>IF(V161&lt;&gt;1,"",SUM($V$8:V161))</f>
        <v/>
      </c>
      <c r="AL161" s="257">
        <f t="shared" si="31"/>
        <v>1</v>
      </c>
    </row>
    <row r="162" spans="2:38" s="11" customFormat="1" ht="20">
      <c r="B162" s="21"/>
      <c r="C162" s="21"/>
      <c r="D162" s="22"/>
      <c r="E162" s="832"/>
      <c r="F162" s="788"/>
      <c r="G162" s="789"/>
      <c r="H162" s="790"/>
      <c r="I162" s="790"/>
      <c r="J162" s="791"/>
      <c r="K162" s="791"/>
      <c r="L162" s="731"/>
      <c r="M162" s="904"/>
      <c r="N162" s="907"/>
      <c r="O162" s="795"/>
      <c r="P162" s="904"/>
      <c r="Q162" s="908"/>
      <c r="R162" s="795"/>
      <c r="S162" s="793" t="str">
        <f>IF(G162="","",AG162)</f>
        <v/>
      </c>
      <c r="T162" s="786"/>
      <c r="U162" s="116"/>
      <c r="V162" s="794" t="str">
        <f>IF(H162&lt;&gt;"",1,"")</f>
        <v/>
      </c>
      <c r="X162" s="127" t="s">
        <v>424</v>
      </c>
      <c r="Y162" s="257">
        <f t="shared" si="27"/>
        <v>155</v>
      </c>
      <c r="Z162" s="257" t="str">
        <f>IF(AA162&lt;&gt;"//",COUNTA($AA$8:AA162)-COUNTIF($AA$8:AA162,"//"),"")</f>
        <v/>
      </c>
      <c r="AA162" s="257" t="str">
        <f t="shared" si="28"/>
        <v>//</v>
      </c>
      <c r="AB162" s="257" t="str">
        <f ca="1">_xlfn.IFNA(IF(COUNTIF('4.1(2)新規再エネ導入予定(FS調査、系統接続検討状況)'!$G:$G,OFFSET($AA$7,MATCH($Y162,$Z$8:$Z$167,0),0))=0,OFFSET($AA$7,MATCH($Y162,$Z$8:$Z$167,0),0),""),"")</f>
        <v/>
      </c>
      <c r="AC162" s="257" t="str">
        <f ca="1">_xlfn.IFNA(IF(COUNTIF('4.1(2)新規再エネ導入予定(合意形成)'!$G:$G,OFFSET($AA$7,MATCH($Y162,$Z$8:$Z$167,0),0))=0,OFFSET($AA$7,MATCH($Y162,$Z$8:$Z$167,0),0),""),"")</f>
        <v/>
      </c>
      <c r="AD162" s="257" t="str">
        <f ca="1">_xlfn.IFNA(OFFSET('4.1(2)新規再エネ導入予定(FS調査、系統接続検討状況)'!$W$1,MATCH(G162,'4.1(2)新規再エネ導入予定(FS調査、系統接続検討状況)'!G:G,0)-1,0),"//")</f>
        <v>//</v>
      </c>
      <c r="AE162" s="279" t="str">
        <f ca="1">_xlfn.IFNA(OFFSET('4.1(2)新規再エネ導入予定(合意形成)'!$AJ$1,MATCH(G162,'4.1(2)新規再エネ導入予定(合意形成)'!G:G,0)-1,0),"//")</f>
        <v>//</v>
      </c>
      <c r="AF162" s="257">
        <f t="shared" ca="1" si="25"/>
        <v>0</v>
      </c>
      <c r="AG162" s="131" t="str" cm="1">
        <f t="array" aca="1" ref="AG162" ca="1">IFERROR(_xlfn.IFS(COUNTIF($AB$8:$AC$167,G162)&gt;0,"",AF162&lt;=1,"D",AF162=2,"C",AF162=3,"B",AF162=4,"A"),"")</f>
        <v/>
      </c>
      <c r="AH162" s="257" t="str">
        <f ca="1">_xlfn.IFNA(OFFSET('4.1(2)新規再エネ導入予定(合意形成)'!$Z$1,MATCH($G162,'4.1(2)新規再エネ導入予定(合意形成)'!$G:$G,0)-1,0),"")</f>
        <v/>
      </c>
      <c r="AI162" s="131" t="str">
        <f t="shared" si="29"/>
        <v/>
      </c>
      <c r="AJ162" s="257" t="str">
        <f t="shared" si="33"/>
        <v/>
      </c>
      <c r="AK162" s="127" t="str">
        <f>IF(V162&lt;&gt;1,"",SUM($V$8:V162))</f>
        <v/>
      </c>
      <c r="AL162" s="257">
        <f t="shared" si="31"/>
        <v>1</v>
      </c>
    </row>
    <row r="163" spans="2:38" s="11" customFormat="1" ht="20">
      <c r="B163" s="21"/>
      <c r="C163" s="21"/>
      <c r="D163" s="22"/>
      <c r="E163" s="832"/>
      <c r="F163" s="788"/>
      <c r="G163" s="789"/>
      <c r="H163" s="790"/>
      <c r="I163" s="790"/>
      <c r="J163" s="791"/>
      <c r="K163" s="791"/>
      <c r="L163" s="731"/>
      <c r="M163" s="734"/>
      <c r="N163" s="907"/>
      <c r="O163" s="795"/>
      <c r="P163" s="904"/>
      <c r="Q163" s="908"/>
      <c r="R163" s="795"/>
      <c r="S163" s="793" t="str">
        <f>IF(G163="","",AG163)</f>
        <v/>
      </c>
      <c r="T163" s="786"/>
      <c r="U163" s="116"/>
      <c r="V163" s="794" t="str">
        <f>IF(H163&lt;&gt;"",1,"")</f>
        <v/>
      </c>
      <c r="X163" s="127" t="s">
        <v>424</v>
      </c>
      <c r="Y163" s="257">
        <f t="shared" si="27"/>
        <v>156</v>
      </c>
      <c r="Z163" s="257" t="str">
        <f>IF(AA163&lt;&gt;"//",COUNTA($AA$8:AA163)-COUNTIF($AA$8:AA163,"//"),"")</f>
        <v/>
      </c>
      <c r="AA163" s="257" t="str">
        <f t="shared" si="28"/>
        <v>//</v>
      </c>
      <c r="AB163" s="257" t="str">
        <f ca="1">_xlfn.IFNA(IF(COUNTIF('4.1(2)新規再エネ導入予定(FS調査、系統接続検討状況)'!$G:$G,OFFSET($AA$7,MATCH($Y163,$Z$8:$Z$167,0),0))=0,OFFSET($AA$7,MATCH($Y163,$Z$8:$Z$167,0),0),""),"")</f>
        <v/>
      </c>
      <c r="AC163" s="257" t="str">
        <f ca="1">_xlfn.IFNA(IF(COUNTIF('4.1(2)新規再エネ導入予定(合意形成)'!$G:$G,OFFSET($AA$7,MATCH($Y163,$Z$8:$Z$167,0),0))=0,OFFSET($AA$7,MATCH($Y163,$Z$8:$Z$167,0),0),""),"")</f>
        <v/>
      </c>
      <c r="AD163" s="257" t="str">
        <f ca="1">_xlfn.IFNA(OFFSET('4.1(2)新規再エネ導入予定(FS調査、系統接続検討状況)'!$W$1,MATCH(G163,'4.1(2)新規再エネ導入予定(FS調査、系統接続検討状況)'!G:G,0)-1,0),"//")</f>
        <v>//</v>
      </c>
      <c r="AE163" s="279" t="str">
        <f ca="1">_xlfn.IFNA(OFFSET('4.1(2)新規再エネ導入予定(合意形成)'!$AJ$1,MATCH(G163,'4.1(2)新規再エネ導入予定(合意形成)'!G:G,0)-1,0),"//")</f>
        <v>//</v>
      </c>
      <c r="AF163" s="257">
        <f t="shared" ca="1" si="25"/>
        <v>0</v>
      </c>
      <c r="AG163" s="131" t="str" cm="1">
        <f t="array" aca="1" ref="AG163" ca="1">IFERROR(_xlfn.IFS(COUNTIF($AB$8:$AC$167,G163)&gt;0,"",AF163&lt;=1,"D",AF163=2,"C",AF163=3,"B",AF163=4,"A"),"")</f>
        <v/>
      </c>
      <c r="AH163" s="257" t="str">
        <f ca="1">_xlfn.IFNA(OFFSET('4.1(2)新規再エネ導入予定(合意形成)'!$Z$1,MATCH($G163,'4.1(2)新規再エネ導入予定(合意形成)'!$G:$G,0)-1,0),"")</f>
        <v/>
      </c>
      <c r="AI163" s="131" t="str">
        <f t="shared" si="29"/>
        <v/>
      </c>
      <c r="AJ163" s="257" t="str">
        <f t="shared" si="33"/>
        <v/>
      </c>
      <c r="AK163" s="127" t="str">
        <f>IF(V163&lt;&gt;1,"",SUM($V$8:V163))</f>
        <v/>
      </c>
      <c r="AL163" s="257">
        <f t="shared" si="31"/>
        <v>1</v>
      </c>
    </row>
    <row r="164" spans="2:38" ht="20">
      <c r="D164" s="16"/>
      <c r="E164" s="833"/>
      <c r="F164" s="816" t="s">
        <v>26</v>
      </c>
      <c r="G164" s="802"/>
      <c r="H164" s="802"/>
      <c r="I164" s="802"/>
      <c r="J164" s="802"/>
      <c r="K164" s="802"/>
      <c r="L164" s="758"/>
      <c r="M164" s="502">
        <f ca="1">SUM(INDIRECT("M"&amp;ROW(M159)&amp;":M"&amp;ROW()-1))</f>
        <v>0</v>
      </c>
      <c r="N164" s="750"/>
      <c r="O164" s="817"/>
      <c r="P164" s="710">
        <f ca="1">SUM(INDIRECT("P"&amp;ROW(P159)&amp;":P"&amp;ROW()-1))</f>
        <v>0</v>
      </c>
      <c r="Q164" s="744"/>
      <c r="R164" s="806"/>
      <c r="S164" s="803"/>
      <c r="T164" s="771"/>
      <c r="V164" s="224" t="str">
        <f t="shared" ref="V164" si="35">IF(H164&lt;&gt;"",1,"")</f>
        <v/>
      </c>
      <c r="X164" s="224" t="s">
        <v>424</v>
      </c>
      <c r="Y164" s="177">
        <f t="shared" si="27"/>
        <v>157</v>
      </c>
      <c r="Z164" s="177" t="str">
        <f>IF(AA164&lt;&gt;"//",COUNTA($AA$8:AA164)-COUNTIF($AA$8:AA164,"//"),"")</f>
        <v/>
      </c>
      <c r="AA164" s="177" t="str">
        <f t="shared" si="28"/>
        <v>//</v>
      </c>
      <c r="AB164" s="177" t="str">
        <f ca="1">_xlfn.IFNA(IF(COUNTIF('4.1(2)新規再エネ導入予定(FS調査、系統接続検討状況)'!$G:$G,OFFSET($AA$7,MATCH($Y164,$Z$8:$Z$167,0),0))=0,OFFSET($AA$7,MATCH($Y164,$Z$8:$Z$167,0),0),""),"")</f>
        <v/>
      </c>
      <c r="AC164" s="177" t="str">
        <f ca="1">_xlfn.IFNA(IF(COUNTIF('4.1(2)新規再エネ導入予定(合意形成)'!$G:$G,OFFSET($AA$7,MATCH($Y164,$Z$8:$Z$167,0),0))=0,OFFSET($AA$7,MATCH($Y164,$Z$8:$Z$167,0),0),""),"")</f>
        <v/>
      </c>
      <c r="AD164" s="177" t="str">
        <f ca="1">_xlfn.IFNA(OFFSET('4.1(2)新規再エネ導入予定(FS調査、系統接続検討状況)'!$W$1,MATCH(G164,'4.1(2)新規再エネ導入予定(FS調査、系統接続検討状況)'!G:G,0)-1,0),"//")</f>
        <v>//</v>
      </c>
      <c r="AE164" s="264" t="str">
        <f ca="1">_xlfn.IFNA(OFFSET('4.1(2)新規再エネ導入予定(合意形成)'!$AJ$1,MATCH(G164,'4.1(2)新規再エネ導入予定(合意形成)'!G:G,0)-1,0),"//")</f>
        <v>//</v>
      </c>
      <c r="AF164" s="177">
        <f t="shared" ca="1" si="25"/>
        <v>0</v>
      </c>
      <c r="AG164" s="217" t="str" cm="1">
        <f t="array" aca="1" ref="AG164" ca="1">IFERROR(_xlfn.IFS(COUNTIF($AB$8:$AC$167,G164)&gt;0,"",AF164&lt;=1,"D",AF164=2,"C",AF164=3,"B",AF164=4,"A"),"")</f>
        <v/>
      </c>
      <c r="AH164" s="177" t="str">
        <f ca="1">_xlfn.IFNA(OFFSET('4.1(2)新規再エネ導入予定(合意形成)'!$Z$1,MATCH($G164,'4.1(2)新規再エネ導入予定(合意形成)'!$G:$G,0)-1,0),"")</f>
        <v/>
      </c>
      <c r="AI164" s="217" t="str">
        <f t="shared" si="29"/>
        <v/>
      </c>
      <c r="AJ164" s="177" t="str">
        <f t="shared" si="33"/>
        <v/>
      </c>
      <c r="AK164" s="224" t="str">
        <f>IF(V164&lt;&gt;1,"",SUM($V$8:V164))</f>
        <v/>
      </c>
      <c r="AL164" s="177">
        <f t="shared" si="31"/>
        <v>1</v>
      </c>
    </row>
    <row r="165" spans="2:38">
      <c r="D165" s="46"/>
      <c r="E165" s="470"/>
      <c r="F165" s="470"/>
      <c r="G165" s="470"/>
      <c r="H165" s="470"/>
      <c r="I165" s="470"/>
      <c r="J165" s="470"/>
      <c r="K165" s="470"/>
      <c r="L165" s="759"/>
      <c r="M165" s="470"/>
      <c r="N165" s="473"/>
      <c r="O165" s="808"/>
      <c r="P165" s="470"/>
      <c r="Q165" s="473"/>
      <c r="R165" s="470"/>
      <c r="S165" s="470"/>
      <c r="T165" s="809"/>
      <c r="W165" s="261"/>
      <c r="X165" s="224" t="s">
        <v>424</v>
      </c>
      <c r="Y165" s="177">
        <f t="shared" si="27"/>
        <v>158</v>
      </c>
      <c r="Z165" s="177" t="str">
        <f>IF(AA165&lt;&gt;"//",COUNTA($AA$8:AA165)-COUNTIF($AA$8:AA165,"//"),"")</f>
        <v/>
      </c>
      <c r="AA165" s="177" t="str">
        <f t="shared" si="28"/>
        <v>//</v>
      </c>
      <c r="AB165" s="177" t="str">
        <f ca="1">_xlfn.IFNA(IF(COUNTIF('4.1(2)新規再エネ導入予定(FS調査、系統接続検討状況)'!$G:$G,OFFSET($AA$7,MATCH($Y165,$Z$8:$Z$167,0),0))=0,OFFSET($AA$7,MATCH($Y165,$Z$8:$Z$167,0),0),""),"")</f>
        <v/>
      </c>
      <c r="AC165" s="177" t="str">
        <f ca="1">_xlfn.IFNA(IF(COUNTIF('4.1(2)新規再エネ導入予定(合意形成)'!$G:$G,OFFSET($AA$7,MATCH($Y165,$Z$8:$Z$167,0),0))=0,OFFSET($AA$7,MATCH($Y165,$Z$8:$Z$167,0),0),""),"")</f>
        <v/>
      </c>
      <c r="AD165" s="177" t="str">
        <f ca="1">_xlfn.IFNA(OFFSET('4.1(2)新規再エネ導入予定(FS調査、系統接続検討状況)'!$W$1,MATCH(G165,'4.1(2)新規再エネ導入予定(FS調査、系統接続検討状況)'!G:G,0)-1,0),"//")</f>
        <v>//</v>
      </c>
      <c r="AE165" s="177" t="str">
        <f ca="1">_xlfn.IFNA(OFFSET('4.1(2)新規再エネ導入予定(合意形成)'!$AJ$1,MATCH(G165,'4.1(2)新規再エネ導入予定(合意形成)'!G:G,0)-1,0),"//")</f>
        <v>//</v>
      </c>
      <c r="AF165" s="177">
        <f t="shared" ca="1" si="25"/>
        <v>0</v>
      </c>
      <c r="AG165" s="217" t="str" cm="1">
        <f t="array" aca="1" ref="AG165" ca="1">IFERROR(_xlfn.IFS(COUNTIF($AB$8:$AC$167,G165)&gt;0,"",AF165&lt;=1,"D",AF165=2,"C",AF165=3,"B",AF165=4,"A"),"")</f>
        <v/>
      </c>
      <c r="AH165" s="177" t="str">
        <f ca="1">_xlfn.IFNA(OFFSET('4.1(2)新規再エネ導入予定(合意形成)'!$Z$1,MATCH($G165,'4.1(2)新規再エネ導入予定(合意形成)'!$G:$G,0)-1,0),"")</f>
        <v/>
      </c>
      <c r="AI165" s="217" t="str">
        <f t="shared" si="29"/>
        <v/>
      </c>
      <c r="AJ165" s="177" t="str">
        <f t="shared" si="33"/>
        <v/>
      </c>
      <c r="AK165" s="224" t="str">
        <f>IF(V165&lt;&gt;1,"",SUM($V$8:V165))</f>
        <v/>
      </c>
      <c r="AL165" s="177">
        <f t="shared" si="31"/>
        <v>1</v>
      </c>
    </row>
    <row r="166" spans="2:38">
      <c r="F166" s="741"/>
      <c r="G166" s="741"/>
      <c r="H166" s="741"/>
      <c r="I166" s="741"/>
      <c r="J166" s="741"/>
      <c r="K166" s="741"/>
      <c r="L166" s="756"/>
      <c r="M166" s="741"/>
      <c r="N166" s="746"/>
      <c r="O166" s="810"/>
      <c r="P166" s="741"/>
      <c r="T166" s="764"/>
      <c r="U166" s="764"/>
      <c r="V166" s="764"/>
      <c r="W166" s="231"/>
      <c r="X166" s="224" t="s">
        <v>424</v>
      </c>
      <c r="Y166" s="177">
        <f t="shared" si="27"/>
        <v>159</v>
      </c>
      <c r="Z166" s="177" t="str">
        <f>IF(AA166&lt;&gt;"//",COUNTA($AA$8:AA166)-COUNTIF($AA$8:AA166,"//"),"")</f>
        <v/>
      </c>
      <c r="AA166" s="177" t="str">
        <f t="shared" si="28"/>
        <v>//</v>
      </c>
      <c r="AB166" s="177" t="str">
        <f ca="1">_xlfn.IFNA(IF(COUNTIF('4.1(2)新規再エネ導入予定(FS調査、系統接続検討状況)'!$G:$G,OFFSET($AA$7,MATCH($Y166,$Z$8:$Z$167,0),0))=0,OFFSET($AA$7,MATCH($Y166,$Z$8:$Z$167,0),0),""),"")</f>
        <v/>
      </c>
      <c r="AC166" s="177" t="str">
        <f ca="1">_xlfn.IFNA(IF(COUNTIF('4.1(2)新規再エネ導入予定(合意形成)'!$G:$G,OFFSET($AA$7,MATCH($Y166,$Z$8:$Z$167,0),0))=0,OFFSET($AA$7,MATCH($Y166,$Z$8:$Z$167,0),0),""),"")</f>
        <v/>
      </c>
      <c r="AD166" s="177" t="str">
        <f ca="1">_xlfn.IFNA(OFFSET('4.1(2)新規再エネ導入予定(FS調査、系統接続検討状況)'!$W$1,MATCH(G166,'4.1(2)新規再エネ導入予定(FS調査、系統接続検討状況)'!G:G,0)-1,0),"//")</f>
        <v>//</v>
      </c>
      <c r="AE166" s="224" t="str">
        <f ca="1">_xlfn.IFNA(OFFSET('4.1(2)新規再エネ導入予定(合意形成)'!$AJ$1,MATCH(G166,'4.1(2)新規再エネ導入予定(合意形成)'!G:G,0)-1,0),"//")</f>
        <v>//</v>
      </c>
      <c r="AF166" s="177">
        <f t="shared" ca="1" si="25"/>
        <v>0</v>
      </c>
      <c r="AG166" s="217" t="str" cm="1">
        <f t="array" aca="1" ref="AG166" ca="1">IFERROR(_xlfn.IFS(COUNTIF($AB$8:$AC$167,G166)&gt;0,"",AF166&lt;=1,"D",AF166=2,"C",AF166=3,"B",AF166=4,"A"),"")</f>
        <v/>
      </c>
      <c r="AH166" s="177" t="str">
        <f ca="1">_xlfn.IFNA(OFFSET('4.1(2)新規再エネ導入予定(合意形成)'!$Z$1,MATCH($G166,'4.1(2)新規再エネ導入予定(合意形成)'!$G:$G,0)-1,0),"")</f>
        <v/>
      </c>
      <c r="AI166" s="217" t="str">
        <f t="shared" si="29"/>
        <v/>
      </c>
      <c r="AJ166" s="177" t="str">
        <f t="shared" si="33"/>
        <v/>
      </c>
      <c r="AK166" s="224" t="str">
        <f>IF(V166&lt;&gt;1,"",SUM($V$8:V166))</f>
        <v/>
      </c>
      <c r="AL166" s="177">
        <f t="shared" si="31"/>
        <v>1</v>
      </c>
    </row>
    <row r="167" spans="2:38">
      <c r="F167" s="741"/>
      <c r="G167" s="741"/>
      <c r="H167" s="741"/>
      <c r="I167" s="741"/>
      <c r="J167" s="741"/>
      <c r="K167" s="741"/>
      <c r="L167" s="756"/>
      <c r="M167" s="741"/>
      <c r="N167" s="746"/>
      <c r="O167" s="810"/>
      <c r="P167" s="741"/>
      <c r="R167" s="325"/>
      <c r="S167" s="325"/>
      <c r="T167" s="123"/>
      <c r="U167" s="123"/>
      <c r="V167" s="123"/>
      <c r="W167" s="123"/>
      <c r="X167" s="224" t="s">
        <v>424</v>
      </c>
      <c r="Y167" s="177">
        <f t="shared" si="27"/>
        <v>160</v>
      </c>
      <c r="Z167" s="177" t="str">
        <f>IF(AA167&lt;&gt;"//",COUNTA($AA$8:AA167)-COUNTIF($AA$8:AA167,"//"),"")</f>
        <v/>
      </c>
      <c r="AA167" s="177" t="str">
        <f t="shared" si="28"/>
        <v>//</v>
      </c>
      <c r="AB167" s="177" t="str">
        <f ca="1">_xlfn.IFNA(IF(COUNTIF('4.1(2)新規再エネ導入予定(FS調査、系統接続検討状況)'!$G:$G,OFFSET($AA$7,MATCH($Y167,$Z$8:$Z$167,0),0))=0,OFFSET($AA$7,MATCH($Y167,$Z$8:$Z$167,0),0),""),"")</f>
        <v/>
      </c>
      <c r="AC167" s="177" t="str">
        <f ca="1">_xlfn.IFNA(IF(COUNTIF('4.1(2)新規再エネ導入予定(合意形成)'!$G:$G,OFFSET($AA$7,MATCH($Y167,$Z$8:$Z$167,0),0))=0,OFFSET($AA$7,MATCH($Y167,$Z$8:$Z$167,0),0),""),"")</f>
        <v/>
      </c>
      <c r="AD167" s="177" t="str">
        <f ca="1">_xlfn.IFNA(OFFSET('4.1(2)新規再エネ導入予定(FS調査、系統接続検討状況)'!$W$1,MATCH(G167,'4.1(2)新規再エネ導入予定(FS調査、系統接続検討状況)'!G:G,0)-1,0),"//")</f>
        <v>//</v>
      </c>
      <c r="AE167" s="177" t="str">
        <f ca="1">_xlfn.IFNA(OFFSET('4.1(2)新規再エネ導入予定(合意形成)'!$AJ$1,MATCH(G167,'4.1(2)新規再エネ導入予定(合意形成)'!G:G,0)-1,0),"//")</f>
        <v>//</v>
      </c>
      <c r="AF167" s="177">
        <f t="shared" ca="1" si="25"/>
        <v>0</v>
      </c>
      <c r="AG167" s="217" t="str" cm="1">
        <f t="array" aca="1" ref="AG167" ca="1">IFERROR(_xlfn.IFS(COUNTIF($AB$8:$AC$167,G167)&gt;0,"",AF167&lt;=1,"D",AF167=2,"C",AF167=3,"B",AF167=4,"A"),"")</f>
        <v/>
      </c>
      <c r="AH167" s="177" t="str">
        <f ca="1">_xlfn.IFNA(OFFSET('4.1(2)新規再エネ導入予定(合意形成)'!$Z$1,MATCH($G167,'4.1(2)新規再エネ導入予定(合意形成)'!$G:$G,0)-1,0),"")</f>
        <v/>
      </c>
      <c r="AI167" s="217" t="str">
        <f t="shared" si="29"/>
        <v/>
      </c>
      <c r="AJ167" s="177" t="str">
        <f t="shared" si="33"/>
        <v/>
      </c>
      <c r="AK167" s="224" t="str">
        <f>IF(V167&lt;&gt;1,"",SUM($V$8:V167))</f>
        <v/>
      </c>
      <c r="AL167" s="177">
        <f t="shared" si="31"/>
        <v>1</v>
      </c>
    </row>
    <row r="168" spans="2:38" ht="18" customHeight="1">
      <c r="D168"/>
      <c r="M168" s="338"/>
      <c r="R168" s="325"/>
      <c r="S168" s="325"/>
      <c r="T168" s="123"/>
      <c r="U168" s="123"/>
      <c r="V168" s="123"/>
      <c r="W168" s="123"/>
      <c r="AB168" s="123"/>
      <c r="AC168" s="123"/>
      <c r="AD168" s="123"/>
      <c r="AE168" s="123"/>
      <c r="AF168" s="123"/>
      <c r="AG168" s="123"/>
      <c r="AH168" s="123"/>
      <c r="AI168" s="123"/>
      <c r="AJ168" s="123"/>
      <c r="AK168" s="123"/>
      <c r="AL168" s="123"/>
    </row>
    <row r="169" spans="2:38" ht="5.15" customHeight="1">
      <c r="D169" s="14"/>
      <c r="E169" s="463"/>
      <c r="F169" s="463"/>
      <c r="G169" s="463"/>
      <c r="H169" s="463"/>
      <c r="I169" s="463"/>
      <c r="J169" s="463"/>
      <c r="K169" s="463"/>
      <c r="L169" s="761"/>
      <c r="M169" s="825"/>
    </row>
    <row r="170" spans="2:38" ht="37.5" customHeight="1">
      <c r="D170" s="256" t="s">
        <v>166</v>
      </c>
      <c r="L170" s="762"/>
      <c r="M170" s="825"/>
      <c r="X170" s="123" t="s">
        <v>325</v>
      </c>
    </row>
    <row r="171" spans="2:38" ht="22.5">
      <c r="D171" s="16"/>
      <c r="E171" s="836" t="s">
        <v>162</v>
      </c>
      <c r="F171" s="826"/>
      <c r="G171" s="826"/>
      <c r="H171" s="826"/>
      <c r="I171" s="826"/>
      <c r="J171" s="958">
        <f ca="1">Q92</f>
        <v>0</v>
      </c>
      <c r="K171" s="959"/>
      <c r="L171" s="762"/>
      <c r="M171" s="825"/>
      <c r="X171" s="123" t="s">
        <v>15</v>
      </c>
      <c r="Y171" s="123">
        <f>COUNTIF($G$8:$G$15,"&lt;&gt;")</f>
        <v>0</v>
      </c>
      <c r="Z171" s="123">
        <v>1</v>
      </c>
    </row>
    <row r="172" spans="2:38" ht="22.5">
      <c r="D172" s="16"/>
      <c r="E172" s="836" t="s">
        <v>286</v>
      </c>
      <c r="F172" s="826"/>
      <c r="G172" s="826"/>
      <c r="H172" s="826"/>
      <c r="I172" s="826"/>
      <c r="J172" s="958">
        <f ca="1">P103</f>
        <v>0</v>
      </c>
      <c r="K172" s="959"/>
      <c r="L172" s="762"/>
      <c r="M172" s="825"/>
      <c r="X172" s="123" t="s">
        <v>16</v>
      </c>
      <c r="Y172" s="123">
        <f>COUNTIF($G$15:$G$22,"&lt;&gt;")</f>
        <v>0</v>
      </c>
      <c r="Z172" s="123">
        <f>SUM($Y$171:$Y171)+1</f>
        <v>1</v>
      </c>
    </row>
    <row r="173" spans="2:38" ht="22.5">
      <c r="D173" s="16"/>
      <c r="E173" s="836" t="s">
        <v>91</v>
      </c>
      <c r="F173" s="826"/>
      <c r="G173" s="826"/>
      <c r="H173" s="826"/>
      <c r="I173" s="826"/>
      <c r="J173" s="958">
        <f ca="1">P113</f>
        <v>0</v>
      </c>
      <c r="K173" s="959"/>
      <c r="L173" s="762"/>
      <c r="M173" s="825"/>
      <c r="X173" s="123" t="s">
        <v>17</v>
      </c>
      <c r="Y173" s="123">
        <f>COUNTIF($G$22:$G$29,"&lt;&gt;")</f>
        <v>0</v>
      </c>
      <c r="Z173" s="123">
        <f>SUM($Y$171:$Y172)+1</f>
        <v>1</v>
      </c>
    </row>
    <row r="174" spans="2:38" ht="22.5">
      <c r="D174" s="16"/>
      <c r="E174" s="836" t="s">
        <v>163</v>
      </c>
      <c r="F174" s="826"/>
      <c r="G174" s="826"/>
      <c r="H174" s="826"/>
      <c r="I174" s="826"/>
      <c r="J174" s="958">
        <f ca="1">P123</f>
        <v>0</v>
      </c>
      <c r="K174" s="959"/>
      <c r="L174" s="762"/>
      <c r="M174" s="825"/>
      <c r="X174" s="123" t="s">
        <v>18</v>
      </c>
      <c r="Y174" s="123">
        <f>COUNTIF($G$29:$G$36,"&lt;&gt;")</f>
        <v>0</v>
      </c>
      <c r="Z174" s="123">
        <f>SUM($Y$171:$Y173)+1</f>
        <v>1</v>
      </c>
    </row>
    <row r="175" spans="2:38" ht="22.5">
      <c r="D175" s="16"/>
      <c r="E175" s="836" t="s">
        <v>164</v>
      </c>
      <c r="F175" s="826"/>
      <c r="G175" s="826"/>
      <c r="H175" s="826"/>
      <c r="I175" s="826"/>
      <c r="J175" s="958">
        <f ca="1">P133</f>
        <v>0</v>
      </c>
      <c r="K175" s="959"/>
      <c r="L175" s="762"/>
      <c r="M175" s="825"/>
      <c r="X175" s="123" t="s">
        <v>19</v>
      </c>
      <c r="Y175" s="123">
        <f>COUNTIF($G$36:$G$43,"&lt;&gt;")</f>
        <v>0</v>
      </c>
      <c r="Z175" s="123">
        <f>SUM($Y$171:$Y174)+1</f>
        <v>1</v>
      </c>
    </row>
    <row r="176" spans="2:38" ht="22.5">
      <c r="D176" s="16"/>
      <c r="E176" s="836" t="s">
        <v>165</v>
      </c>
      <c r="F176" s="826"/>
      <c r="G176" s="826"/>
      <c r="H176" s="826"/>
      <c r="I176" s="826"/>
      <c r="J176" s="958">
        <f ca="1">P143</f>
        <v>0</v>
      </c>
      <c r="K176" s="959"/>
      <c r="L176" s="762"/>
      <c r="M176" s="825"/>
      <c r="X176" s="123" t="s">
        <v>198</v>
      </c>
      <c r="Y176" s="123">
        <f>COUNTIF($G$43:$G$50,"&lt;&gt;")</f>
        <v>0</v>
      </c>
      <c r="Z176" s="123">
        <f>SUM($Y$171:$Y175)+1</f>
        <v>1</v>
      </c>
    </row>
    <row r="177" spans="4:37" ht="22.5">
      <c r="D177" s="16"/>
      <c r="E177" s="836" t="s">
        <v>311</v>
      </c>
      <c r="F177" s="826"/>
      <c r="G177" s="826"/>
      <c r="H177" s="826"/>
      <c r="I177" s="826"/>
      <c r="J177" s="958">
        <f ca="1">P153</f>
        <v>0</v>
      </c>
      <c r="K177" s="959"/>
      <c r="L177" s="762"/>
      <c r="M177" s="825"/>
      <c r="X177" s="123" t="s">
        <v>20</v>
      </c>
      <c r="Y177" s="123">
        <f>COUNTIF($G$50:$G$57,"&lt;&gt;")</f>
        <v>0</v>
      </c>
      <c r="Z177" s="123">
        <f>SUM($Y$171:$Y176)+1</f>
        <v>1</v>
      </c>
    </row>
    <row r="178" spans="4:37" ht="22.5">
      <c r="D178" s="16"/>
      <c r="E178" s="837" t="s">
        <v>313</v>
      </c>
      <c r="F178" s="826"/>
      <c r="G178" s="826"/>
      <c r="H178" s="826"/>
      <c r="I178" s="826"/>
      <c r="J178" s="958">
        <f ca="1">SUM(J171:K177)</f>
        <v>0</v>
      </c>
      <c r="K178" s="959"/>
      <c r="L178" s="762"/>
      <c r="M178" s="825"/>
      <c r="X178" s="123" t="s">
        <v>21</v>
      </c>
      <c r="Y178" s="123">
        <f>COUNTIF($G$57:$G$64,"&lt;&gt;")</f>
        <v>0</v>
      </c>
      <c r="Z178" s="123">
        <f>SUM($Y$171:$Y177)+1</f>
        <v>1</v>
      </c>
    </row>
    <row r="179" spans="4:37" ht="22.5">
      <c r="D179" s="16"/>
      <c r="E179" s="836" t="s">
        <v>312</v>
      </c>
      <c r="F179" s="826"/>
      <c r="G179" s="826"/>
      <c r="H179" s="826"/>
      <c r="I179" s="826"/>
      <c r="J179" s="958">
        <f ca="1">P164</f>
        <v>0</v>
      </c>
      <c r="K179" s="959"/>
      <c r="L179" s="762"/>
      <c r="M179" s="825"/>
      <c r="X179" s="123" t="s">
        <v>22</v>
      </c>
      <c r="Y179" s="123">
        <f>COUNTIF($G$64:$G$71,"&lt;&gt;")</f>
        <v>0</v>
      </c>
      <c r="Z179" s="123">
        <f>SUM($Y$171:$Y178)+1</f>
        <v>1</v>
      </c>
    </row>
    <row r="180" spans="4:37" ht="12.75" customHeight="1">
      <c r="D180" s="46"/>
      <c r="E180" s="470"/>
      <c r="F180" s="470"/>
      <c r="G180" s="470"/>
      <c r="H180" s="470"/>
      <c r="I180" s="470"/>
      <c r="J180" s="470"/>
      <c r="K180" s="470"/>
      <c r="L180" s="763"/>
      <c r="M180" s="825"/>
      <c r="X180" s="123" t="s">
        <v>23</v>
      </c>
      <c r="Y180" s="123">
        <f>COUNTIF($G$71:$G$78,"&lt;&gt;")</f>
        <v>0</v>
      </c>
      <c r="Z180" s="123">
        <f>SUM($Y$171:$Y179)+1</f>
        <v>1</v>
      </c>
    </row>
    <row r="181" spans="4:37">
      <c r="D181"/>
      <c r="M181" s="338"/>
      <c r="X181" s="123" t="s">
        <v>24</v>
      </c>
      <c r="Y181" s="123">
        <f>COUNTIF($G$78:$G$85,"&lt;&gt;")</f>
        <v>0</v>
      </c>
      <c r="Z181" s="123">
        <f>SUM($Y$171:$Y180)+1</f>
        <v>1</v>
      </c>
    </row>
    <row r="182" spans="4:37">
      <c r="D182"/>
      <c r="X182" s="123" t="s">
        <v>25</v>
      </c>
      <c r="Y182" s="123">
        <f>COUNTIF($G$85:$G$92,"&lt;&gt;")</f>
        <v>0</v>
      </c>
      <c r="Z182" s="123">
        <f>SUM($Y$171:$Y181)+1</f>
        <v>1</v>
      </c>
    </row>
    <row r="183" spans="4:37">
      <c r="D183"/>
      <c r="X183" s="123" t="s">
        <v>286</v>
      </c>
      <c r="Y183" s="123">
        <f>COUNTIF($G$99:$G$103,"&lt;&gt;")</f>
        <v>0</v>
      </c>
      <c r="Z183" s="123">
        <f>SUM($Y$171:$Y182)+1</f>
        <v>1</v>
      </c>
    </row>
    <row r="184" spans="4:37">
      <c r="D184"/>
      <c r="X184" s="123" t="s">
        <v>191</v>
      </c>
      <c r="Y184" s="123">
        <f>COUNTIF($G$109:$G$113,"&lt;&gt;")</f>
        <v>0</v>
      </c>
      <c r="Z184" s="123">
        <f>SUM($Y$171:$Y183)+1</f>
        <v>1</v>
      </c>
    </row>
    <row r="185" spans="4:37">
      <c r="D185"/>
      <c r="X185" s="123" t="s">
        <v>137</v>
      </c>
      <c r="Y185" s="123">
        <f>COUNTIF($G$119:$G$123,"&lt;&gt;")</f>
        <v>0</v>
      </c>
      <c r="Z185" s="123">
        <f>SUM($Y$171:$Y184)+1</f>
        <v>1</v>
      </c>
    </row>
    <row r="186" spans="4:37">
      <c r="D186"/>
      <c r="X186" s="123" t="s">
        <v>164</v>
      </c>
      <c r="Y186" s="123">
        <f>COUNTIF($G$129:$G$133,"&lt;&gt;")</f>
        <v>0</v>
      </c>
      <c r="Z186" s="123">
        <f>SUM($Y$171:$Y185)+1</f>
        <v>1</v>
      </c>
    </row>
    <row r="187" spans="4:37">
      <c r="D187"/>
      <c r="X187" s="123" t="s">
        <v>326</v>
      </c>
      <c r="Y187" s="123">
        <f>COUNTIF($G$139:$G$143,"&lt;&gt;")</f>
        <v>0</v>
      </c>
      <c r="Z187" s="123">
        <f>SUM($Y$171:$Y186)+1</f>
        <v>1</v>
      </c>
    </row>
    <row r="188" spans="4:37">
      <c r="D188"/>
      <c r="X188" s="123" t="s">
        <v>327</v>
      </c>
      <c r="Y188" s="123">
        <f>COUNTIF($G$149:$G$153,"&lt;&gt;")</f>
        <v>0</v>
      </c>
      <c r="Z188" s="123">
        <f>SUM($Y$171:$Y187)+1</f>
        <v>1</v>
      </c>
      <c r="AK188" s="254"/>
    </row>
    <row r="189" spans="4:37">
      <c r="D189"/>
      <c r="X189" s="123" t="s">
        <v>328</v>
      </c>
      <c r="Y189" s="123">
        <f>COUNTIF($G$160:$G$164,"&lt;&gt;")</f>
        <v>0</v>
      </c>
      <c r="Z189" s="123">
        <f>SUM($Y$171:$Y188)+1</f>
        <v>1</v>
      </c>
    </row>
    <row r="190" spans="4:37">
      <c r="D190"/>
    </row>
    <row r="191" spans="4:37">
      <c r="D191"/>
      <c r="X191" s="123" t="s">
        <v>458</v>
      </c>
      <c r="Y191">
        <f>PRODUCT($AL$8:$AL$167)*((COUNTA(G:G)-COUNTIF(G:G,"施設番号")=COUNTIF(S:S,"?"))*1)</f>
        <v>1</v>
      </c>
    </row>
    <row r="192" spans="4:37">
      <c r="D192"/>
    </row>
    <row r="193" spans="4:37">
      <c r="D193"/>
    </row>
    <row r="194" spans="4:37">
      <c r="D194"/>
    </row>
    <row r="195" spans="4:37">
      <c r="D195"/>
    </row>
    <row r="196" spans="4:37">
      <c r="D196"/>
    </row>
    <row r="197" spans="4:37">
      <c r="D197"/>
    </row>
    <row r="198" spans="4:37">
      <c r="D198"/>
      <c r="AK198" s="254"/>
    </row>
    <row r="199" spans="4:37">
      <c r="D199"/>
      <c r="AK199" s="254"/>
    </row>
    <row r="200" spans="4:37">
      <c r="D200"/>
      <c r="AK200" s="254"/>
    </row>
    <row r="201" spans="4:37">
      <c r="D201"/>
      <c r="AK201" s="254"/>
    </row>
    <row r="202" spans="4:37" ht="37.5" customHeight="1">
      <c r="D202"/>
    </row>
    <row r="203" spans="4:37">
      <c r="D203"/>
    </row>
    <row r="204" spans="4:37">
      <c r="D204"/>
    </row>
    <row r="205" spans="4:37">
      <c r="D205"/>
    </row>
    <row r="206" spans="4:37">
      <c r="D206"/>
    </row>
    <row r="207" spans="4:37">
      <c r="D207"/>
    </row>
    <row r="208" spans="4:37">
      <c r="D208"/>
    </row>
    <row r="211" spans="37:37">
      <c r="AK211" s="254"/>
    </row>
  </sheetData>
  <sheetProtection algorithmName="SHA-512" hashValue="n6wIIoQquHG/V3TlJqM+QhZWgR5pH3qJMSNRw+HgQtCLRlmXNCB6BSEgQikm49e8KslbjKOSfkB/HoVkIR3Dmw==" saltValue="VhBoALCLfr9yL6OEo/r6rw==" spinCount="100000" sheet="1" formatCells="0" insertRows="0" deleteRows="0"/>
  <mergeCells count="10">
    <mergeCell ref="J178:K178"/>
    <mergeCell ref="J179:K179"/>
    <mergeCell ref="E7:F7"/>
    <mergeCell ref="J171:K171"/>
    <mergeCell ref="J172:K172"/>
    <mergeCell ref="J173:K173"/>
    <mergeCell ref="J174:K174"/>
    <mergeCell ref="J175:K175"/>
    <mergeCell ref="J176:K176"/>
    <mergeCell ref="J177:K177"/>
  </mergeCells>
  <phoneticPr fontId="1"/>
  <conditionalFormatting sqref="E8:V91">
    <cfRule type="expression" dxfId="1784" priority="117">
      <formula>$Y8=""</formula>
    </cfRule>
  </conditionalFormatting>
  <conditionalFormatting sqref="F139:S142">
    <cfRule type="notContainsBlanks" dxfId="1783" priority="24">
      <formula>LEN(TRIM(F139))&gt;0</formula>
    </cfRule>
  </conditionalFormatting>
  <conditionalFormatting sqref="F8:V91">
    <cfRule type="notContainsBlanks" dxfId="1782" priority="116">
      <formula>LEN(TRIM(F8))&gt;0</formula>
    </cfRule>
  </conditionalFormatting>
  <conditionalFormatting sqref="F99:V102">
    <cfRule type="expression" dxfId="1781" priority="37">
      <formula>$Y99=""</formula>
    </cfRule>
    <cfRule type="notContainsBlanks" dxfId="1780" priority="40">
      <formula>LEN(TRIM(F99))&gt;0</formula>
    </cfRule>
  </conditionalFormatting>
  <conditionalFormatting sqref="F109:V112">
    <cfRule type="notContainsBlanks" dxfId="1779" priority="36">
      <formula>LEN(TRIM(F109))&gt;0</formula>
    </cfRule>
    <cfRule type="expression" dxfId="1778" priority="33">
      <formula>$Y109=""</formula>
    </cfRule>
  </conditionalFormatting>
  <conditionalFormatting sqref="F119:V122">
    <cfRule type="notContainsBlanks" dxfId="1777" priority="32">
      <formula>LEN(TRIM(F119))&gt;0</formula>
    </cfRule>
    <cfRule type="expression" dxfId="1776" priority="29">
      <formula>$Y119=""</formula>
    </cfRule>
  </conditionalFormatting>
  <conditionalFormatting sqref="F129:V132">
    <cfRule type="notContainsBlanks" dxfId="1775" priority="28">
      <formula>LEN(TRIM(F129))&gt;0</formula>
    </cfRule>
    <cfRule type="expression" dxfId="1774" priority="25">
      <formula>$Y129=""</formula>
    </cfRule>
  </conditionalFormatting>
  <conditionalFormatting sqref="F139:V142">
    <cfRule type="expression" dxfId="1773" priority="19">
      <formula>$Y139=""</formula>
    </cfRule>
  </conditionalFormatting>
  <conditionalFormatting sqref="F149:V152">
    <cfRule type="expression" dxfId="1772" priority="15">
      <formula>$Y149=""</formula>
    </cfRule>
    <cfRule type="notContainsBlanks" dxfId="1771" priority="18">
      <formula>LEN(TRIM(F149))&gt;0</formula>
    </cfRule>
  </conditionalFormatting>
  <conditionalFormatting sqref="F160:V163">
    <cfRule type="expression" dxfId="1770" priority="11">
      <formula>$Y160=""</formula>
    </cfRule>
    <cfRule type="notContainsBlanks" dxfId="1769" priority="14">
      <formula>LEN(TRIM(F160))&gt;0</formula>
    </cfRule>
  </conditionalFormatting>
  <conditionalFormatting sqref="H147:S147">
    <cfRule type="expression" dxfId="1768" priority="1">
      <formula>$H$147="〇〇発電(こちらに発電方式を記載ください)"</formula>
    </cfRule>
    <cfRule type="expression" dxfId="1767" priority="6">
      <formula>$H$147&lt;&gt;""</formula>
    </cfRule>
  </conditionalFormatting>
  <conditionalFormatting sqref="J171:K179">
    <cfRule type="cellIs" dxfId="1766" priority="8" operator="notEqual">
      <formula>0</formula>
    </cfRule>
  </conditionalFormatting>
  <conditionalFormatting sqref="M103 P103">
    <cfRule type="cellIs" dxfId="1765" priority="5" operator="notEqual">
      <formula>0</formula>
    </cfRule>
  </conditionalFormatting>
  <conditionalFormatting sqref="M113 P113 M123 P123 M133 P133">
    <cfRule type="cellIs" dxfId="1764" priority="4" operator="notEqual">
      <formula>0</formula>
    </cfRule>
  </conditionalFormatting>
  <conditionalFormatting sqref="M153 P153">
    <cfRule type="cellIs" dxfId="1763" priority="3" operator="notEqual">
      <formula>0</formula>
    </cfRule>
  </conditionalFormatting>
  <conditionalFormatting sqref="M164 P164">
    <cfRule type="cellIs" dxfId="1762" priority="2" operator="notEqual">
      <formula>0</formula>
    </cfRule>
  </conditionalFormatting>
  <conditionalFormatting sqref="M143:N143">
    <cfRule type="cellIs" dxfId="1761" priority="22" operator="notEqual">
      <formula>0</formula>
    </cfRule>
  </conditionalFormatting>
  <conditionalFormatting sqref="N92 Q92">
    <cfRule type="cellIs" dxfId="1760" priority="9" operator="notEqual">
      <formula>0</formula>
    </cfRule>
  </conditionalFormatting>
  <conditionalFormatting sqref="P143">
    <cfRule type="cellIs" dxfId="1759" priority="21" operator="notEqual">
      <formula>0</formula>
    </cfRule>
  </conditionalFormatting>
  <conditionalFormatting sqref="S8:S92">
    <cfRule type="expression" dxfId="1758" priority="7">
      <formula>$S8&lt;&gt;$AI8</formula>
    </cfRule>
  </conditionalFormatting>
  <conditionalFormatting sqref="S99:S102">
    <cfRule type="expression" dxfId="1757" priority="38">
      <formula>$S99&lt;&gt;$AI99</formula>
    </cfRule>
  </conditionalFormatting>
  <conditionalFormatting sqref="S109:S112">
    <cfRule type="expression" dxfId="1756" priority="34">
      <formula>$S109&lt;&gt;$AI109</formula>
    </cfRule>
  </conditionalFormatting>
  <conditionalFormatting sqref="S119:S122">
    <cfRule type="expression" dxfId="1755" priority="30">
      <formula>$S119&lt;&gt;$AI119</formula>
    </cfRule>
  </conditionalFormatting>
  <conditionalFormatting sqref="S129:S132">
    <cfRule type="expression" dxfId="1754" priority="26">
      <formula>$S129&lt;&gt;$AI129</formula>
    </cfRule>
  </conditionalFormatting>
  <conditionalFormatting sqref="S139:S142">
    <cfRule type="expression" dxfId="1753" priority="20">
      <formula>$S139&lt;&gt;$AI139</formula>
    </cfRule>
  </conditionalFormatting>
  <conditionalFormatting sqref="S149:S152">
    <cfRule type="expression" dxfId="1752" priority="16">
      <formula>$S149&lt;&gt;$AI149</formula>
    </cfRule>
  </conditionalFormatting>
  <conditionalFormatting sqref="S160:S163">
    <cfRule type="expression" dxfId="1751" priority="12">
      <formula>$S160&lt;&gt;$AI160</formula>
    </cfRule>
  </conditionalFormatting>
  <conditionalFormatting sqref="V7:V92">
    <cfRule type="expression" dxfId="1750" priority="4282">
      <formula>$V7&lt;&gt;$AJ7</formula>
    </cfRule>
  </conditionalFormatting>
  <conditionalFormatting sqref="V99:V102">
    <cfRule type="expression" dxfId="1749" priority="39">
      <formula>$V99&lt;&gt;$AJ99</formula>
    </cfRule>
  </conditionalFormatting>
  <conditionalFormatting sqref="V109:V112">
    <cfRule type="expression" dxfId="1748" priority="35">
      <formula>$V109&lt;&gt;$AJ109</formula>
    </cfRule>
  </conditionalFormatting>
  <conditionalFormatting sqref="V119:V122">
    <cfRule type="expression" dxfId="1747" priority="31">
      <formula>$V119&lt;&gt;$AJ119</formula>
    </cfRule>
  </conditionalFormatting>
  <conditionalFormatting sqref="V129:V132">
    <cfRule type="expression" dxfId="1746" priority="27">
      <formula>$V129&lt;&gt;$AJ129</formula>
    </cfRule>
  </conditionalFormatting>
  <conditionalFormatting sqref="V149:V152">
    <cfRule type="expression" dxfId="1745" priority="17">
      <formula>$V149&lt;&gt;$AJ149</formula>
    </cfRule>
  </conditionalFormatting>
  <conditionalFormatting sqref="V160:V163">
    <cfRule type="expression" dxfId="1744" priority="13">
      <formula>$V160&lt;&gt;$AJ160</formula>
    </cfRule>
  </conditionalFormatting>
  <dataValidations count="5">
    <dataValidation type="list" allowBlank="1" showInputMessage="1" showErrorMessage="1" sqref="J37:J42 J44:J49 J51:J56 J58:J63 J30:J35 J86:J91 J16:J21 J65:J70 J72:J77 J149:J152 J23:J28 J99:J102 J109:J112 J119:J122 J129:J132 J160:J163 J79:J84 J9:J14 J139:J142" xr:uid="{B5CF4AA9-1195-4066-936B-53546A8CA198}">
      <formula1>"オンサイト,オフサイト"</formula1>
    </dataValidation>
    <dataValidation type="decimal" operator="greaterThanOrEqual" allowBlank="1" showInputMessage="1" showErrorMessage="1" error="数値で入力してください" sqref="E92 F113 O85 O8 F123 O64 R22:S22 O36 O71 F133 F153 F103 F164 O50 O15 O57 O43 O22 O29 M8:M92 O78 P8:P92 M99:M102 P99:P102 P109:P112 M109:M112 M119:M122 P119:P122 M129:M132 P129:P132 M139:N142 P139:P142 M149:M152 P149:P152 M160:M163 P160:P163" xr:uid="{2EA6D1DD-546D-4823-BB4B-11E854AF5422}">
      <formula1>0</formula1>
    </dataValidation>
    <dataValidation type="textLength" operator="lessThan" allowBlank="1" showInputMessage="1" showErrorMessage="1" sqref="N23:N28 Q16:Q21 N16:N21 Q44:Q49 N30:N35 Q86:Q91 Q30:Q35 Q23:Q28 N58:N63 N51:N56 N65:N70 Q51:Q56 N72:N77 Q58:Q63 Q79:Q84 Q65:Q70 N79:N84 Q72:Q77 N44:N49 N86:N91 N9:N14 Q109 N109 Q119 N119 Q129 N129 Q9:Q14 N160 Q149 N149 Q160 N37:N42 E8:E91 Q37:Q42" xr:uid="{34CAA687-DBC3-474F-92A8-236CF466F7A7}">
      <formula1>1</formula1>
    </dataValidation>
    <dataValidation type="list" allowBlank="1" showInputMessage="1" showErrorMessage="1" sqref="O30:O35 O51:O56 O65:O70 O79:O84 O58:O63 O99:O102 O109:O112 O119:O122 O129:O132 O149:O152 O16:O21 O72:O77 O23:O28 O44:O49 O86:O91 O160:O163 O9:O14 O139:O142 O37:O42" xr:uid="{66589104-45AC-4DEE-B6AB-A999B971D828}">
      <formula1>"低圧,高圧,特別高圧"</formula1>
    </dataValidation>
    <dataValidation type="textLength" operator="greaterThanOrEqual" allowBlank="1" showInputMessage="1" showErrorMessage="1" error="数値で入力してください" sqref="Q139:Q143" xr:uid="{8F5CD27B-D73C-4568-8388-88EF1BD45DDC}">
      <formula1>0</formula1>
    </dataValidation>
  </dataValidations>
  <pageMargins left="0.7" right="0.7" top="0.75" bottom="0.75" header="0.3" footer="0.3"/>
  <pageSetup paperSize="8" scale="22" orientation="landscape" r:id="rId1"/>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14CE-224F-4978-BC5A-9AFA5013F8F6}">
  <sheetPr codeName="Sheet8">
    <tabColor theme="7" tint="0.79998168889431442"/>
    <pageSetUpPr autoPageBreaks="0" fitToPage="1"/>
  </sheetPr>
  <dimension ref="A1:W209"/>
  <sheetViews>
    <sheetView showGridLines="0" zoomScaleNormal="100" zoomScaleSheetLayoutView="100" workbookViewId="0"/>
  </sheetViews>
  <sheetFormatPr defaultColWidth="9" defaultRowHeight="18"/>
  <cols>
    <col min="1" max="1" width="2.33203125" customWidth="1"/>
    <col min="2" max="3" width="2.58203125" style="13" customWidth="1"/>
    <col min="4" max="4" width="2.33203125" style="13" customWidth="1"/>
    <col min="5" max="5" width="5.08203125" style="13" customWidth="1"/>
    <col min="6" max="6" width="20.83203125" style="13" customWidth="1"/>
    <col min="7" max="7" width="24.08203125" style="13" customWidth="1"/>
    <col min="8" max="8" width="12.33203125" style="13" customWidth="1"/>
    <col min="9" max="9" width="11.58203125" style="252" customWidth="1"/>
    <col min="10" max="10" width="13.75" style="13" customWidth="1"/>
    <col min="11" max="11" width="14.08203125" style="13" bestFit="1" customWidth="1"/>
    <col min="12" max="14" width="14.08203125" style="234" customWidth="1"/>
    <col min="15" max="15" width="33.58203125" style="17" customWidth="1"/>
    <col min="16" max="16" width="3.58203125" style="13" customWidth="1"/>
    <col min="17" max="17" width="5" style="13" customWidth="1"/>
    <col min="18" max="18" width="6.58203125" hidden="1" customWidth="1"/>
    <col min="19" max="23" width="11.25" hidden="1" customWidth="1"/>
  </cols>
  <sheetData>
    <row r="1" spans="1:23" ht="24" customHeight="1">
      <c r="A1" s="44" t="s">
        <v>348</v>
      </c>
      <c r="C1"/>
      <c r="I1" s="13"/>
      <c r="L1" s="229"/>
      <c r="M1" s="13"/>
      <c r="N1" s="230"/>
      <c r="O1" s="234"/>
      <c r="Q1" s="230"/>
      <c r="R1" s="231"/>
      <c r="S1" s="231"/>
      <c r="T1" s="231"/>
    </row>
    <row r="2" spans="1:23" ht="48" customHeight="1">
      <c r="A2" s="955" t="s">
        <v>349</v>
      </c>
      <c r="B2" s="955"/>
      <c r="C2" s="955"/>
      <c r="D2" s="955"/>
      <c r="E2" s="955"/>
      <c r="F2" s="955"/>
      <c r="G2" s="955"/>
      <c r="H2" s="955"/>
      <c r="I2" s="955"/>
      <c r="J2" s="955"/>
      <c r="K2" s="955"/>
      <c r="L2" s="955"/>
      <c r="M2" s="955"/>
      <c r="N2" s="955"/>
      <c r="O2" s="955"/>
      <c r="P2" s="955"/>
      <c r="Q2" s="955"/>
      <c r="R2" s="955"/>
      <c r="S2" s="955"/>
      <c r="T2" s="955"/>
    </row>
    <row r="3" spans="1:23" ht="17.25" customHeight="1">
      <c r="D3" s="232"/>
      <c r="E3" s="232"/>
      <c r="F3" s="232"/>
      <c r="G3" s="232"/>
      <c r="H3" s="232"/>
      <c r="I3" s="262"/>
      <c r="J3" s="232"/>
      <c r="K3" s="232"/>
      <c r="L3" s="235"/>
      <c r="M3" s="235"/>
      <c r="N3" s="235"/>
      <c r="O3" s="232"/>
      <c r="R3" t="s">
        <v>317</v>
      </c>
    </row>
    <row r="4" spans="1:23" ht="9.75" customHeight="1">
      <c r="D4" s="236"/>
      <c r="E4" s="15"/>
      <c r="F4" s="15"/>
      <c r="G4" s="15"/>
      <c r="H4" s="15"/>
      <c r="I4" s="251"/>
      <c r="J4" s="15"/>
      <c r="K4" s="15"/>
      <c r="L4" s="280"/>
      <c r="M4" s="280"/>
      <c r="N4" s="280"/>
      <c r="O4" s="18"/>
      <c r="P4" s="30"/>
    </row>
    <row r="5" spans="1:23" ht="24.75" customHeight="1">
      <c r="D5" s="239" t="s">
        <v>7</v>
      </c>
      <c r="P5" s="19"/>
    </row>
    <row r="6" spans="1:23" ht="21" customHeight="1">
      <c r="D6" s="239"/>
      <c r="E6" s="970" t="s">
        <v>8</v>
      </c>
      <c r="F6" s="971"/>
      <c r="G6" s="976" t="s">
        <v>186</v>
      </c>
      <c r="H6" s="976" t="s">
        <v>181</v>
      </c>
      <c r="I6" s="974" t="s">
        <v>31</v>
      </c>
      <c r="J6" s="976" t="s">
        <v>187</v>
      </c>
      <c r="K6" s="976" t="s">
        <v>81</v>
      </c>
      <c r="L6" s="962" t="s">
        <v>188</v>
      </c>
      <c r="M6" s="962"/>
      <c r="N6" s="962"/>
      <c r="O6" s="281"/>
      <c r="P6" s="19"/>
      <c r="R6" s="978" t="s">
        <v>500</v>
      </c>
      <c r="S6" s="978" t="s">
        <v>183</v>
      </c>
      <c r="T6" s="978" t="s">
        <v>372</v>
      </c>
      <c r="U6" s="978" t="s">
        <v>373</v>
      </c>
      <c r="V6" s="978" t="s">
        <v>411</v>
      </c>
      <c r="W6" s="978" t="s">
        <v>408</v>
      </c>
    </row>
    <row r="7" spans="1:23" ht="42" customHeight="1">
      <c r="D7" s="16"/>
      <c r="E7" s="972"/>
      <c r="F7" s="973"/>
      <c r="G7" s="977"/>
      <c r="H7" s="977"/>
      <c r="I7" s="975"/>
      <c r="J7" s="977"/>
      <c r="K7" s="977"/>
      <c r="L7" s="296" t="s">
        <v>226</v>
      </c>
      <c r="M7" s="296" t="s">
        <v>109</v>
      </c>
      <c r="N7" s="296" t="s">
        <v>110</v>
      </c>
      <c r="O7" s="282" t="s">
        <v>323</v>
      </c>
      <c r="P7" s="19"/>
      <c r="R7" s="978"/>
      <c r="S7" s="978"/>
      <c r="T7" s="978"/>
      <c r="U7" s="978"/>
      <c r="V7" s="978"/>
      <c r="W7" s="978"/>
    </row>
    <row r="8" spans="1:23" ht="18" customHeight="1">
      <c r="D8" s="190"/>
      <c r="E8" s="192" t="s">
        <v>15</v>
      </c>
      <c r="F8" s="515"/>
      <c r="G8" s="477"/>
      <c r="H8" s="478"/>
      <c r="I8" s="479"/>
      <c r="J8" s="480"/>
      <c r="K8" s="481"/>
      <c r="L8" s="712"/>
      <c r="M8" s="712"/>
      <c r="N8" s="712"/>
      <c r="O8" s="713"/>
      <c r="P8" s="19"/>
      <c r="R8" s="425">
        <f>ROW()-7</f>
        <v>1</v>
      </c>
      <c r="S8" s="224">
        <f>IF(L8="確認済",1,0)</f>
        <v>0</v>
      </c>
      <c r="T8" s="224" t="str">
        <f ca="1">_xlfn.IFNA(OFFSET('(非表示)新規再エネ実現可能性判定'!$C$1,MATCH(M8,'(非表示)新規再エネ実現可能性判定'!$B:$B,0)-1,0),"//")</f>
        <v>//</v>
      </c>
      <c r="U8" s="177" t="str">
        <f ca="1">_xlfn.IFNA(OFFSET('(非表示)新規再エネ実現可能性判定'!$F$1,MATCH(N8,'(非表示)新規再エネ実現可能性判定'!$E:$E,0)-1,0),"//")</f>
        <v>//</v>
      </c>
      <c r="V8" s="177" t="str">
        <f ca="1">_xlfn.IFNA(OFFSET('(非表示)新規再エネ実現可能性判定'!$I$1,MATCH(O8,'(非表示)新規再エネ実現可能性判定'!$H:$H,0)-1,0),"//")</f>
        <v>//</v>
      </c>
      <c r="W8" s="177" t="str">
        <f t="shared" ref="W8:W9" si="0">IF(COUNTBLANK($L8:$O8)=0,IF(V8="//","//",IF(S8=0,1,MIN(T8:V8))),"")</f>
        <v/>
      </c>
    </row>
    <row r="9" spans="1:23" s="11" customFormat="1" ht="18.75" hidden="1" customHeight="1">
      <c r="B9" s="21"/>
      <c r="C9" s="21"/>
      <c r="D9" s="36"/>
      <c r="E9" s="126"/>
      <c r="F9" s="491"/>
      <c r="G9" s="482"/>
      <c r="H9" s="498"/>
      <c r="I9" s="505"/>
      <c r="J9" s="506"/>
      <c r="K9" s="507"/>
      <c r="L9" s="513"/>
      <c r="M9" s="513"/>
      <c r="N9" s="513"/>
      <c r="O9" s="514"/>
      <c r="P9" s="24"/>
      <c r="Q9" s="21"/>
      <c r="R9" s="433">
        <f t="shared" ref="R9:R72" si="1">ROW()-7</f>
        <v>2</v>
      </c>
      <c r="S9" s="127">
        <f t="shared" ref="S9:S72" si="2">IF(L9="確認済",1,0)</f>
        <v>0</v>
      </c>
      <c r="T9" s="127" t="str">
        <f ca="1">_xlfn.IFNA(OFFSET('(非表示)新規再エネ実現可能性判定'!$C$1,MATCH(M9,'(非表示)新規再エネ実現可能性判定'!$B:$B,0)-1,0),"//")</f>
        <v>//</v>
      </c>
      <c r="U9" s="257" t="str">
        <f ca="1">_xlfn.IFNA(OFFSET('(非表示)新規再エネ実現可能性判定'!$F$1,MATCH(N9,'(非表示)新規再エネ実現可能性判定'!$E:$E,0)-1,0),"//")</f>
        <v>//</v>
      </c>
      <c r="V9" s="257" t="str">
        <f ca="1">_xlfn.IFNA(OFFSET('(非表示)新規再エネ実現可能性判定'!$I$1,MATCH(O9,'(非表示)新規再エネ実現可能性判定'!$H:$H,0)-1,0),"//")</f>
        <v>//</v>
      </c>
      <c r="W9" s="257" t="str">
        <f t="shared" si="0"/>
        <v/>
      </c>
    </row>
    <row r="10" spans="1:23" s="11" customFormat="1" ht="20">
      <c r="B10" s="21"/>
      <c r="C10" s="21"/>
      <c r="D10" s="36"/>
      <c r="E10" s="126"/>
      <c r="F10" s="504" t="str">
        <f ca="1">IFERROR(OFFSET('4.1(2)新規再エネ導入予定（設備情報）'!$F$1,MATCH(G10,'4.1(2)新規再エネ導入予定（設備情報）'!$G:$G,0)-1,0),"")</f>
        <v/>
      </c>
      <c r="G10" s="512"/>
      <c r="H10" s="508" t="str">
        <f ca="1">IFERROR(OFFSET('4.1(2)新規再エネ導入予定（設備情報）'!$H$1,MATCH(G10,'4.1(2)新規再エネ導入予定（設備情報）'!$G:$G,0)-1,0)&amp;"","")</f>
        <v/>
      </c>
      <c r="I10" s="509" t="str">
        <f ca="1">IFERROR(OFFSET('4.1(2)新規再エネ導入予定（設備情報）'!$L$1,MATCH(G10,'4.1(2)新規再エネ導入予定（設備情報）'!$G:$G,0)-1,0),"")</f>
        <v/>
      </c>
      <c r="J10" s="510" t="str">
        <f ca="1">IFERROR(OFFSET('4.1(2)新規再エネ導入予定（設備情報）'!$O$1,MATCH(G10,'4.1(2)新規再エネ導入予定（設備情報）'!$G:$G,0)-1,0),"")</f>
        <v/>
      </c>
      <c r="K10" s="511" t="str">
        <f ca="1">IFERROR(OFFSET('4.1(2)新規再エネ導入予定（設備情報）'!$P$1,MATCH(G10,'4.1(2)新規再エネ導入予定（設備情報）'!$G:$G,0)-1,0),"")</f>
        <v/>
      </c>
      <c r="L10" s="489"/>
      <c r="M10" s="489"/>
      <c r="N10" s="489"/>
      <c r="O10" s="486"/>
      <c r="P10" s="24"/>
      <c r="Q10" s="21"/>
      <c r="R10" s="433">
        <f t="shared" si="1"/>
        <v>3</v>
      </c>
      <c r="S10" s="127">
        <f t="shared" si="2"/>
        <v>0</v>
      </c>
      <c r="T10" s="127" t="str">
        <f ca="1">_xlfn.IFNA(OFFSET('(非表示)新規再エネ実現可能性判定'!$C$1,MATCH(M10,'(非表示)新規再エネ実現可能性判定'!$B:$B,0)-1,0),"//")</f>
        <v>//</v>
      </c>
      <c r="U10" s="257" t="str">
        <f ca="1">_xlfn.IFNA(OFFSET('(非表示)新規再エネ実現可能性判定'!$F$1,MATCH(N10,'(非表示)新規再エネ実現可能性判定'!$E:$E,0)-1,0),"//")</f>
        <v>//</v>
      </c>
      <c r="V10" s="257" t="str">
        <f ca="1">_xlfn.IFNA(OFFSET('(非表示)新規再エネ実現可能性判定'!$I$1,MATCH(O10,'(非表示)新規再エネ実現可能性判定'!$H:$H,0)-1,0),"//")</f>
        <v>//</v>
      </c>
      <c r="W10" s="257" t="str">
        <f>IF(COUNTBLANK($L10:$O10)=0,IF(V10="//","//",IF(S10=0,1,MIN(T10:V10))),"")</f>
        <v/>
      </c>
    </row>
    <row r="11" spans="1:23" s="11" customFormat="1" ht="20">
      <c r="B11" s="21"/>
      <c r="C11" s="21"/>
      <c r="D11" s="36"/>
      <c r="E11" s="126"/>
      <c r="F11" s="504" t="str">
        <f ca="1">IFERROR(OFFSET('4.1(2)新規再エネ導入予定（設備情報）'!$F$1,MATCH(G11,'4.1(2)新規再エネ導入予定（設備情報）'!$G:$G,0)-1,0),"")</f>
        <v/>
      </c>
      <c r="G11" s="512"/>
      <c r="H11" s="508" t="str">
        <f ca="1">IFERROR(OFFSET('4.1(2)新規再エネ導入予定（設備情報）'!$H$1,MATCH(G11,'4.1(2)新規再エネ導入予定（設備情報）'!$G:$G,0)-1,0)&amp;"","")</f>
        <v/>
      </c>
      <c r="I11" s="509" t="str">
        <f ca="1">IFERROR(OFFSET('4.1(2)新規再エネ導入予定（設備情報）'!$L$1,MATCH(G11,'4.1(2)新規再エネ導入予定（設備情報）'!$G:$G,0)-1,0),"")</f>
        <v/>
      </c>
      <c r="J11" s="510" t="str">
        <f ca="1">IFERROR(OFFSET('4.1(2)新規再エネ導入予定（設備情報）'!$O$1,MATCH(G11,'4.1(2)新規再エネ導入予定（設備情報）'!$G:$G,0)-1,0),"")</f>
        <v/>
      </c>
      <c r="K11" s="511" t="str">
        <f ca="1">IFERROR(OFFSET('4.1(2)新規再エネ導入予定（設備情報）'!$P$1,MATCH(G11,'4.1(2)新規再エネ導入予定（設備情報）'!$G:$G,0)-1,0),"")</f>
        <v/>
      </c>
      <c r="L11" s="489"/>
      <c r="M11" s="489"/>
      <c r="N11" s="489"/>
      <c r="O11" s="486"/>
      <c r="P11" s="24"/>
      <c r="Q11" s="21"/>
      <c r="R11" s="433">
        <f t="shared" si="1"/>
        <v>4</v>
      </c>
      <c r="S11" s="127">
        <f t="shared" ref="S11:S13" si="3">IF(L11="確認済",1,0)</f>
        <v>0</v>
      </c>
      <c r="T11" s="127" t="str">
        <f ca="1">_xlfn.IFNA(OFFSET('(非表示)新規再エネ実現可能性判定'!$C$1,MATCH(M11,'(非表示)新規再エネ実現可能性判定'!$B:$B,0)-1,0),"//")</f>
        <v>//</v>
      </c>
      <c r="U11" s="257" t="str">
        <f ca="1">_xlfn.IFNA(OFFSET('(非表示)新規再エネ実現可能性判定'!$F$1,MATCH(N11,'(非表示)新規再エネ実現可能性判定'!$E:$E,0)-1,0),"//")</f>
        <v>//</v>
      </c>
      <c r="V11" s="257" t="str">
        <f ca="1">_xlfn.IFNA(OFFSET('(非表示)新規再エネ実現可能性判定'!$I$1,MATCH(O11,'(非表示)新規再エネ実現可能性判定'!$H:$H,0)-1,0),"//")</f>
        <v>//</v>
      </c>
      <c r="W11" s="257" t="str">
        <f t="shared" ref="W11:W71" si="4">IF(COUNTBLANK($L11:$O11)=0,IF(V11="//","//",IF(S11=0,1,MIN(T11:V11))),"")</f>
        <v/>
      </c>
    </row>
    <row r="12" spans="1:23" s="11" customFormat="1" ht="20">
      <c r="B12" s="21"/>
      <c r="C12" s="21"/>
      <c r="D12" s="36"/>
      <c r="E12" s="126"/>
      <c r="F12" s="504" t="str">
        <f ca="1">IFERROR(OFFSET('4.1(2)新規再エネ導入予定（設備情報）'!$F$1,MATCH(G12,'4.1(2)新規再エネ導入予定（設備情報）'!$G:$G,0)-1,0),"")</f>
        <v/>
      </c>
      <c r="G12" s="512"/>
      <c r="H12" s="508" t="str">
        <f ca="1">IFERROR(OFFSET('4.1(2)新規再エネ導入予定（設備情報）'!$H$1,MATCH(G12,'4.1(2)新規再エネ導入予定（設備情報）'!$G:$G,0)-1,0)&amp;"","")</f>
        <v/>
      </c>
      <c r="I12" s="509" t="str">
        <f ca="1">IFERROR(OFFSET('4.1(2)新規再エネ導入予定（設備情報）'!$L$1,MATCH(G12,'4.1(2)新規再エネ導入予定（設備情報）'!$G:$G,0)-1,0),"")</f>
        <v/>
      </c>
      <c r="J12" s="510" t="str">
        <f ca="1">IFERROR(OFFSET('4.1(2)新規再エネ導入予定（設備情報）'!$O$1,MATCH(G12,'4.1(2)新規再エネ導入予定（設備情報）'!$G:$G,0)-1,0),"")</f>
        <v/>
      </c>
      <c r="K12" s="511" t="str">
        <f ca="1">IFERROR(OFFSET('4.1(2)新規再エネ導入予定（設備情報）'!$P$1,MATCH(G12,'4.1(2)新規再エネ導入予定（設備情報）'!$G:$G,0)-1,0),"")</f>
        <v/>
      </c>
      <c r="L12" s="489"/>
      <c r="M12" s="489"/>
      <c r="N12" s="489"/>
      <c r="O12" s="486"/>
      <c r="P12" s="24"/>
      <c r="Q12" s="21"/>
      <c r="R12" s="433">
        <f t="shared" si="1"/>
        <v>5</v>
      </c>
      <c r="S12" s="127">
        <f t="shared" si="3"/>
        <v>0</v>
      </c>
      <c r="T12" s="127" t="str">
        <f ca="1">_xlfn.IFNA(OFFSET('(非表示)新規再エネ実現可能性判定'!$C$1,MATCH(M12,'(非表示)新規再エネ実現可能性判定'!$B:$B,0)-1,0),"//")</f>
        <v>//</v>
      </c>
      <c r="U12" s="257" t="str">
        <f ca="1">_xlfn.IFNA(OFFSET('(非表示)新規再エネ実現可能性判定'!$F$1,MATCH(N12,'(非表示)新規再エネ実現可能性判定'!$E:$E,0)-1,0),"//")</f>
        <v>//</v>
      </c>
      <c r="V12" s="257" t="str">
        <f ca="1">_xlfn.IFNA(OFFSET('(非表示)新規再エネ実現可能性判定'!$I$1,MATCH(O12,'(非表示)新規再エネ実現可能性判定'!$H:$H,0)-1,0),"//")</f>
        <v>//</v>
      </c>
      <c r="W12" s="257" t="str">
        <f t="shared" si="4"/>
        <v/>
      </c>
    </row>
    <row r="13" spans="1:23" s="11" customFormat="1" ht="20">
      <c r="B13" s="21"/>
      <c r="C13" s="21"/>
      <c r="D13" s="36"/>
      <c r="E13" s="126"/>
      <c r="F13" s="504" t="str">
        <f ca="1">IFERROR(OFFSET('4.1(2)新規再エネ導入予定（設備情報）'!$F$1,MATCH(G13,'4.1(2)新規再エネ導入予定（設備情報）'!$G:$G,0)-1,0),"")</f>
        <v/>
      </c>
      <c r="G13" s="512" t="s">
        <v>195</v>
      </c>
      <c r="H13" s="508" t="str">
        <f ca="1">IFERROR(OFFSET('4.1(2)新規再エネ導入予定（設備情報）'!$H$1,MATCH(G13,'4.1(2)新規再エネ導入予定（設備情報）'!$G:$G,0)-1,0)&amp;"","")</f>
        <v/>
      </c>
      <c r="I13" s="509" t="str">
        <f ca="1">IFERROR(OFFSET('4.1(2)新規再エネ導入予定（設備情報）'!$L$1,MATCH(G13,'4.1(2)新規再エネ導入予定（設備情報）'!$G:$G,0)-1,0),"")</f>
        <v/>
      </c>
      <c r="J13" s="510" t="str">
        <f ca="1">IFERROR(OFFSET('4.1(2)新規再エネ導入予定（設備情報）'!$O$1,MATCH(G13,'4.1(2)新規再エネ導入予定（設備情報）'!$G:$G,0)-1,0),"")</f>
        <v/>
      </c>
      <c r="K13" s="511" t="str">
        <f ca="1">IFERROR(OFFSET('4.1(2)新規再エネ導入予定（設備情報）'!$P$1,MATCH(G13,'4.1(2)新規再エネ導入予定（設備情報）'!$G:$G,0)-1,0),"")</f>
        <v/>
      </c>
      <c r="L13" s="489"/>
      <c r="M13" s="489"/>
      <c r="N13" s="489"/>
      <c r="O13" s="486"/>
      <c r="P13" s="24"/>
      <c r="Q13" s="21"/>
      <c r="R13" s="433">
        <f t="shared" si="1"/>
        <v>6</v>
      </c>
      <c r="S13" s="127">
        <f t="shared" si="3"/>
        <v>0</v>
      </c>
      <c r="T13" s="127" t="str">
        <f ca="1">_xlfn.IFNA(OFFSET('(非表示)新規再エネ実現可能性判定'!$C$1,MATCH(M13,'(非表示)新規再エネ実現可能性判定'!$B:$B,0)-1,0),"//")</f>
        <v>//</v>
      </c>
      <c r="U13" s="257" t="str">
        <f ca="1">_xlfn.IFNA(OFFSET('(非表示)新規再エネ実現可能性判定'!$F$1,MATCH(N13,'(非表示)新規再エネ実現可能性判定'!$E:$E,0)-1,0),"//")</f>
        <v>//</v>
      </c>
      <c r="V13" s="257" t="str">
        <f ca="1">_xlfn.IFNA(OFFSET('(非表示)新規再エネ実現可能性判定'!$I$1,MATCH(O13,'(非表示)新規再エネ実現可能性判定'!$H:$H,0)-1,0),"//")</f>
        <v>//</v>
      </c>
      <c r="W13" s="257" t="str">
        <f t="shared" si="4"/>
        <v/>
      </c>
    </row>
    <row r="14" spans="1:23" ht="20">
      <c r="D14" s="190"/>
      <c r="E14" s="192" t="s">
        <v>16</v>
      </c>
      <c r="F14" s="515"/>
      <c r="G14" s="477"/>
      <c r="H14" s="478"/>
      <c r="I14" s="479"/>
      <c r="J14" s="480"/>
      <c r="K14" s="481"/>
      <c r="L14" s="712"/>
      <c r="M14" s="712"/>
      <c r="N14" s="712"/>
      <c r="O14" s="713"/>
      <c r="P14" s="19"/>
      <c r="R14" s="425">
        <f t="shared" si="1"/>
        <v>7</v>
      </c>
      <c r="S14" s="224">
        <f t="shared" si="2"/>
        <v>0</v>
      </c>
      <c r="T14" s="224" t="str">
        <f ca="1">_xlfn.IFNA(OFFSET('(非表示)新規再エネ実現可能性判定'!$C$1,MATCH(M14,'(非表示)新規再エネ実現可能性判定'!$B:$B,0)-1,0),"//")</f>
        <v>//</v>
      </c>
      <c r="U14" s="177" t="str">
        <f ca="1">_xlfn.IFNA(OFFSET('(非表示)新規再エネ実現可能性判定'!$F$1,MATCH(N14,'(非表示)新規再エネ実現可能性判定'!$E:$E,0)-1,0),"//")</f>
        <v>//</v>
      </c>
      <c r="V14" s="177" t="str">
        <f ca="1">_xlfn.IFNA(OFFSET('(非表示)新規再エネ実現可能性判定'!$I$1,MATCH(O14,'(非表示)新規再エネ実現可能性判定'!$H:$H,0)-1,0),"//")</f>
        <v>//</v>
      </c>
      <c r="W14" s="177" t="str">
        <f t="shared" si="4"/>
        <v/>
      </c>
    </row>
    <row r="15" spans="1:23" s="11" customFormat="1" ht="19.5" hidden="1" customHeight="1">
      <c r="B15" s="21"/>
      <c r="C15" s="21"/>
      <c r="D15" s="36"/>
      <c r="E15" s="126"/>
      <c r="F15" s="491"/>
      <c r="G15" s="482"/>
      <c r="H15" s="498"/>
      <c r="I15" s="505"/>
      <c r="J15" s="506"/>
      <c r="K15" s="507"/>
      <c r="L15" s="513"/>
      <c r="M15" s="513"/>
      <c r="N15" s="513"/>
      <c r="O15" s="514"/>
      <c r="P15" s="24"/>
      <c r="Q15" s="21"/>
      <c r="R15" s="433">
        <f t="shared" si="1"/>
        <v>8</v>
      </c>
      <c r="S15" s="127">
        <f t="shared" si="2"/>
        <v>0</v>
      </c>
      <c r="T15" s="127" t="str">
        <f ca="1">_xlfn.IFNA(OFFSET('(非表示)新規再エネ実現可能性判定'!$C$1,MATCH(M15,'(非表示)新規再エネ実現可能性判定'!$B:$B,0)-1,0),"//")</f>
        <v>//</v>
      </c>
      <c r="U15" s="257" t="str">
        <f ca="1">_xlfn.IFNA(OFFSET('(非表示)新規再エネ実現可能性判定'!$F$1,MATCH(N15,'(非表示)新規再エネ実現可能性判定'!$E:$E,0)-1,0),"//")</f>
        <v>//</v>
      </c>
      <c r="V15" s="257" t="str">
        <f ca="1">_xlfn.IFNA(OFFSET('(非表示)新規再エネ実現可能性判定'!$I$1,MATCH(O15,'(非表示)新規再エネ実現可能性判定'!$H:$H,0)-1,0),"//")</f>
        <v>//</v>
      </c>
      <c r="W15" s="257" t="str">
        <f t="shared" si="4"/>
        <v/>
      </c>
    </row>
    <row r="16" spans="1:23" s="11" customFormat="1" ht="20">
      <c r="B16" s="21"/>
      <c r="C16" s="21"/>
      <c r="D16" s="36"/>
      <c r="E16" s="126"/>
      <c r="F16" s="504" t="str">
        <f ca="1">IFERROR(OFFSET('4.1(2)新規再エネ導入予定（設備情報）'!$F$1,MATCH(G16,'4.1(2)新規再エネ導入予定（設備情報）'!$G:$G,0)-1,0),"")</f>
        <v/>
      </c>
      <c r="G16" s="512"/>
      <c r="H16" s="508" t="str">
        <f ca="1">IFERROR(OFFSET('4.1(2)新規再エネ導入予定（設備情報）'!$H$1,MATCH(G16,'4.1(2)新規再エネ導入予定（設備情報）'!$G:$G,0)-1,0)&amp;"","")</f>
        <v/>
      </c>
      <c r="I16" s="509" t="str">
        <f ca="1">IFERROR(OFFSET('4.1(2)新規再エネ導入予定（設備情報）'!$L$1,MATCH(G16,'4.1(2)新規再エネ導入予定（設備情報）'!$G:$G,0)-1,0),"")</f>
        <v/>
      </c>
      <c r="J16" s="510" t="str">
        <f ca="1">IFERROR(OFFSET('4.1(2)新規再エネ導入予定（設備情報）'!$O$1,MATCH(G16,'4.1(2)新規再エネ導入予定（設備情報）'!$G:$G,0)-1,0),"")</f>
        <v/>
      </c>
      <c r="K16" s="511" t="str">
        <f ca="1">IFERROR(OFFSET('4.1(2)新規再エネ導入予定（設備情報）'!$P$1,MATCH(G16,'4.1(2)新規再エネ導入予定（設備情報）'!$G:$G,0)-1,0),"")</f>
        <v/>
      </c>
      <c r="L16" s="489"/>
      <c r="M16" s="489"/>
      <c r="N16" s="489"/>
      <c r="O16" s="486"/>
      <c r="P16" s="24"/>
      <c r="Q16" s="21"/>
      <c r="R16" s="433">
        <f t="shared" si="1"/>
        <v>9</v>
      </c>
      <c r="S16" s="127">
        <f t="shared" si="2"/>
        <v>0</v>
      </c>
      <c r="T16" s="127" t="str">
        <f ca="1">_xlfn.IFNA(OFFSET('(非表示)新規再エネ実現可能性判定'!$C$1,MATCH(M16,'(非表示)新規再エネ実現可能性判定'!$B:$B,0)-1,0),"//")</f>
        <v>//</v>
      </c>
      <c r="U16" s="257" t="str">
        <f ca="1">_xlfn.IFNA(OFFSET('(非表示)新規再エネ実現可能性判定'!$F$1,MATCH(N16,'(非表示)新規再エネ実現可能性判定'!$E:$E,0)-1,0),"//")</f>
        <v>//</v>
      </c>
      <c r="V16" s="257" t="str">
        <f ca="1">_xlfn.IFNA(OFFSET('(非表示)新規再エネ実現可能性判定'!$I$1,MATCH(O16,'(非表示)新規再エネ実現可能性判定'!$H:$H,0)-1,0),"//")</f>
        <v>//</v>
      </c>
      <c r="W16" s="257" t="str">
        <f t="shared" si="4"/>
        <v/>
      </c>
    </row>
    <row r="17" spans="2:23" s="11" customFormat="1" ht="20">
      <c r="B17" s="21"/>
      <c r="C17" s="21"/>
      <c r="D17" s="36"/>
      <c r="E17" s="126"/>
      <c r="F17" s="504" t="str">
        <f ca="1">IFERROR(OFFSET('4.1(2)新規再エネ導入予定（設備情報）'!$F$1,MATCH(G17,'4.1(2)新規再エネ導入予定（設備情報）'!$G:$G,0)-1,0),"")</f>
        <v/>
      </c>
      <c r="G17" s="512"/>
      <c r="H17" s="508" t="str">
        <f ca="1">IFERROR(OFFSET('4.1(2)新規再エネ導入予定（設備情報）'!$H$1,MATCH(G17,'4.1(2)新規再エネ導入予定（設備情報）'!$G:$G,0)-1,0)&amp;"","")</f>
        <v/>
      </c>
      <c r="I17" s="509" t="str">
        <f ca="1">IFERROR(OFFSET('4.1(2)新規再エネ導入予定（設備情報）'!$L$1,MATCH(G17,'4.1(2)新規再エネ導入予定（設備情報）'!$G:$G,0)-1,0),"")</f>
        <v/>
      </c>
      <c r="J17" s="510" t="str">
        <f ca="1">IFERROR(OFFSET('4.1(2)新規再エネ導入予定（設備情報）'!$O$1,MATCH(G17,'4.1(2)新規再エネ導入予定（設備情報）'!$G:$G,0)-1,0),"")</f>
        <v/>
      </c>
      <c r="K17" s="511" t="str">
        <f ca="1">IFERROR(OFFSET('4.1(2)新規再エネ導入予定（設備情報）'!$P$1,MATCH(G17,'4.1(2)新規再エネ導入予定（設備情報）'!$G:$G,0)-1,0),"")</f>
        <v/>
      </c>
      <c r="L17" s="489"/>
      <c r="M17" s="489"/>
      <c r="N17" s="489"/>
      <c r="O17" s="486"/>
      <c r="P17" s="24"/>
      <c r="Q17" s="21"/>
      <c r="R17" s="433">
        <f t="shared" si="1"/>
        <v>10</v>
      </c>
      <c r="S17" s="127">
        <f t="shared" si="2"/>
        <v>0</v>
      </c>
      <c r="T17" s="127" t="str">
        <f ca="1">_xlfn.IFNA(OFFSET('(非表示)新規再エネ実現可能性判定'!$C$1,MATCH(M17,'(非表示)新規再エネ実現可能性判定'!$B:$B,0)-1,0),"//")</f>
        <v>//</v>
      </c>
      <c r="U17" s="257" t="str">
        <f ca="1">_xlfn.IFNA(OFFSET('(非表示)新規再エネ実現可能性判定'!$F$1,MATCH(N17,'(非表示)新規再エネ実現可能性判定'!$E:$E,0)-1,0),"//")</f>
        <v>//</v>
      </c>
      <c r="V17" s="257" t="str">
        <f ca="1">_xlfn.IFNA(OFFSET('(非表示)新規再エネ実現可能性判定'!$I$1,MATCH(O17,'(非表示)新規再エネ実現可能性判定'!$H:$H,0)-1,0),"//")</f>
        <v>//</v>
      </c>
      <c r="W17" s="257" t="str">
        <f t="shared" si="4"/>
        <v/>
      </c>
    </row>
    <row r="18" spans="2:23" s="11" customFormat="1" ht="20">
      <c r="B18" s="21"/>
      <c r="C18" s="21"/>
      <c r="D18" s="36"/>
      <c r="E18" s="126"/>
      <c r="F18" s="504" t="str">
        <f ca="1">IFERROR(OFFSET('4.1(2)新規再エネ導入予定（設備情報）'!$F$1,MATCH(G18,'4.1(2)新規再エネ導入予定（設備情報）'!$G:$G,0)-1,0),"")</f>
        <v/>
      </c>
      <c r="G18" s="512"/>
      <c r="H18" s="508" t="str">
        <f ca="1">IFERROR(OFFSET('4.1(2)新規再エネ導入予定（設備情報）'!$H$1,MATCH(G18,'4.1(2)新規再エネ導入予定（設備情報）'!$G:$G,0)-1,0)&amp;"","")</f>
        <v/>
      </c>
      <c r="I18" s="509" t="str">
        <f ca="1">IFERROR(OFFSET('4.1(2)新規再エネ導入予定（設備情報）'!$L$1,MATCH(G18,'4.1(2)新規再エネ導入予定（設備情報）'!$G:$G,0)-1,0),"")</f>
        <v/>
      </c>
      <c r="J18" s="510" t="str">
        <f ca="1">IFERROR(OFFSET('4.1(2)新規再エネ導入予定（設備情報）'!$O$1,MATCH(G18,'4.1(2)新規再エネ導入予定（設備情報）'!$G:$G,0)-1,0),"")</f>
        <v/>
      </c>
      <c r="K18" s="511" t="str">
        <f ca="1">IFERROR(OFFSET('4.1(2)新規再エネ導入予定（設備情報）'!$P$1,MATCH(G18,'4.1(2)新規再エネ導入予定（設備情報）'!$G:$G,0)-1,0),"")</f>
        <v/>
      </c>
      <c r="L18" s="489"/>
      <c r="M18" s="489"/>
      <c r="N18" s="489"/>
      <c r="O18" s="486"/>
      <c r="P18" s="24"/>
      <c r="Q18" s="21"/>
      <c r="R18" s="433">
        <f t="shared" si="1"/>
        <v>11</v>
      </c>
      <c r="S18" s="127">
        <f t="shared" si="2"/>
        <v>0</v>
      </c>
      <c r="T18" s="127" t="str">
        <f ca="1">_xlfn.IFNA(OFFSET('(非表示)新規再エネ実現可能性判定'!$C$1,MATCH(M18,'(非表示)新規再エネ実現可能性判定'!$B:$B,0)-1,0),"//")</f>
        <v>//</v>
      </c>
      <c r="U18" s="257" t="str">
        <f ca="1">_xlfn.IFNA(OFFSET('(非表示)新規再エネ実現可能性判定'!$F$1,MATCH(N18,'(非表示)新規再エネ実現可能性判定'!$E:$E,0)-1,0),"//")</f>
        <v>//</v>
      </c>
      <c r="V18" s="257" t="str">
        <f ca="1">_xlfn.IFNA(OFFSET('(非表示)新規再エネ実現可能性判定'!$I$1,MATCH(O18,'(非表示)新規再エネ実現可能性判定'!$H:$H,0)-1,0),"//")</f>
        <v>//</v>
      </c>
      <c r="W18" s="257" t="str">
        <f t="shared" si="4"/>
        <v/>
      </c>
    </row>
    <row r="19" spans="2:23" s="11" customFormat="1" ht="20">
      <c r="B19" s="21"/>
      <c r="C19" s="21"/>
      <c r="D19" s="36"/>
      <c r="E19" s="126"/>
      <c r="F19" s="504" t="str">
        <f ca="1">IFERROR(OFFSET('4.1(2)新規再エネ導入予定（設備情報）'!$F$1,MATCH(G19,'4.1(2)新規再エネ導入予定（設備情報）'!$G:$G,0)-1,0),"")</f>
        <v/>
      </c>
      <c r="G19" s="512"/>
      <c r="H19" s="508" t="str">
        <f ca="1">IFERROR(OFFSET('4.1(2)新規再エネ導入予定（設備情報）'!$H$1,MATCH(G19,'4.1(2)新規再エネ導入予定（設備情報）'!$G:$G,0)-1,0)&amp;"","")</f>
        <v/>
      </c>
      <c r="I19" s="509" t="str">
        <f ca="1">IFERROR(OFFSET('4.1(2)新規再エネ導入予定（設備情報）'!$L$1,MATCH(G19,'4.1(2)新規再エネ導入予定（設備情報）'!$G:$G,0)-1,0),"")</f>
        <v/>
      </c>
      <c r="J19" s="510" t="str">
        <f ca="1">IFERROR(OFFSET('4.1(2)新規再エネ導入予定（設備情報）'!$O$1,MATCH(G19,'4.1(2)新規再エネ導入予定（設備情報）'!$G:$G,0)-1,0),"")</f>
        <v/>
      </c>
      <c r="K19" s="511" t="str">
        <f ca="1">IFERROR(OFFSET('4.1(2)新規再エネ導入予定（設備情報）'!$P$1,MATCH(G19,'4.1(2)新規再エネ導入予定（設備情報）'!$G:$G,0)-1,0),"")</f>
        <v/>
      </c>
      <c r="L19" s="489"/>
      <c r="M19" s="489"/>
      <c r="N19" s="489"/>
      <c r="O19" s="486"/>
      <c r="P19" s="24"/>
      <c r="Q19" s="21"/>
      <c r="R19" s="433">
        <f t="shared" si="1"/>
        <v>12</v>
      </c>
      <c r="S19" s="127">
        <f t="shared" si="2"/>
        <v>0</v>
      </c>
      <c r="T19" s="127" t="str">
        <f ca="1">_xlfn.IFNA(OFFSET('(非表示)新規再エネ実現可能性判定'!$C$1,MATCH(M19,'(非表示)新規再エネ実現可能性判定'!$B:$B,0)-1,0),"//")</f>
        <v>//</v>
      </c>
      <c r="U19" s="257" t="str">
        <f ca="1">_xlfn.IFNA(OFFSET('(非表示)新規再エネ実現可能性判定'!$F$1,MATCH(N19,'(非表示)新規再エネ実現可能性判定'!$E:$E,0)-1,0),"//")</f>
        <v>//</v>
      </c>
      <c r="V19" s="257" t="str">
        <f ca="1">_xlfn.IFNA(OFFSET('(非表示)新規再エネ実現可能性判定'!$I$1,MATCH(O19,'(非表示)新規再エネ実現可能性判定'!$H:$H,0)-1,0),"//")</f>
        <v>//</v>
      </c>
      <c r="W19" s="257" t="str">
        <f t="shared" si="4"/>
        <v/>
      </c>
    </row>
    <row r="20" spans="2:23" ht="16.5" customHeight="1">
      <c r="D20" s="190"/>
      <c r="E20" s="192" t="s">
        <v>17</v>
      </c>
      <c r="F20" s="515"/>
      <c r="G20" s="477"/>
      <c r="H20" s="478"/>
      <c r="I20" s="479"/>
      <c r="J20" s="480"/>
      <c r="K20" s="481"/>
      <c r="L20" s="712"/>
      <c r="M20" s="712"/>
      <c r="N20" s="712"/>
      <c r="O20" s="713"/>
      <c r="P20" s="19"/>
      <c r="R20" s="425">
        <f t="shared" si="1"/>
        <v>13</v>
      </c>
      <c r="S20" s="224">
        <f t="shared" si="2"/>
        <v>0</v>
      </c>
      <c r="T20" s="224" t="str">
        <f ca="1">_xlfn.IFNA(OFFSET('(非表示)新規再エネ実現可能性判定'!$C$1,MATCH(M20,'(非表示)新規再エネ実現可能性判定'!$B:$B,0)-1,0),"//")</f>
        <v>//</v>
      </c>
      <c r="U20" s="177" t="str">
        <f ca="1">_xlfn.IFNA(OFFSET('(非表示)新規再エネ実現可能性判定'!$F$1,MATCH(N20,'(非表示)新規再エネ実現可能性判定'!$E:$E,0)-1,0),"//")</f>
        <v>//</v>
      </c>
      <c r="V20" s="177" t="str">
        <f ca="1">_xlfn.IFNA(OFFSET('(非表示)新規再エネ実現可能性判定'!$I$1,MATCH(O20,'(非表示)新規再エネ実現可能性判定'!$H:$H,0)-1,0),"//")</f>
        <v>//</v>
      </c>
      <c r="W20" s="177" t="str">
        <f t="shared" si="4"/>
        <v/>
      </c>
    </row>
    <row r="21" spans="2:23" s="11" customFormat="1" ht="19.5" hidden="1" customHeight="1">
      <c r="B21" s="21"/>
      <c r="C21" s="21"/>
      <c r="D21" s="36"/>
      <c r="E21" s="126"/>
      <c r="F21" s="491"/>
      <c r="G21" s="482"/>
      <c r="H21" s="498"/>
      <c r="I21" s="505"/>
      <c r="J21" s="506"/>
      <c r="K21" s="507"/>
      <c r="L21" s="513"/>
      <c r="M21" s="513"/>
      <c r="N21" s="513"/>
      <c r="O21" s="514"/>
      <c r="P21" s="24"/>
      <c r="Q21" s="21"/>
      <c r="R21" s="433">
        <f t="shared" si="1"/>
        <v>14</v>
      </c>
      <c r="S21" s="127">
        <f t="shared" si="2"/>
        <v>0</v>
      </c>
      <c r="T21" s="127" t="str">
        <f ca="1">_xlfn.IFNA(OFFSET('(非表示)新規再エネ実現可能性判定'!$C$1,MATCH(M21,'(非表示)新規再エネ実現可能性判定'!$B:$B,0)-1,0),"//")</f>
        <v>//</v>
      </c>
      <c r="U21" s="257" t="str">
        <f ca="1">_xlfn.IFNA(OFFSET('(非表示)新規再エネ実現可能性判定'!$F$1,MATCH(N21,'(非表示)新規再エネ実現可能性判定'!$E:$E,0)-1,0),"//")</f>
        <v>//</v>
      </c>
      <c r="V21" s="257" t="str">
        <f ca="1">_xlfn.IFNA(OFFSET('(非表示)新規再エネ実現可能性判定'!$I$1,MATCH(O21,'(非表示)新規再エネ実現可能性判定'!$H:$H,0)-1,0),"//")</f>
        <v>//</v>
      </c>
      <c r="W21" s="257" t="str">
        <f t="shared" si="4"/>
        <v/>
      </c>
    </row>
    <row r="22" spans="2:23" s="11" customFormat="1" ht="20">
      <c r="B22" s="21"/>
      <c r="C22" s="21"/>
      <c r="D22" s="36"/>
      <c r="E22" s="126"/>
      <c r="F22" s="504" t="str">
        <f ca="1">IFERROR(OFFSET('4.1(2)新規再エネ導入予定（設備情報）'!$F$1,MATCH(G22,'4.1(2)新規再エネ導入予定（設備情報）'!$G:$G,0)-1,0),"")</f>
        <v/>
      </c>
      <c r="G22" s="512"/>
      <c r="H22" s="508" t="str">
        <f ca="1">IFERROR(OFFSET('4.1(2)新規再エネ導入予定（設備情報）'!$H$1,MATCH(G22,'4.1(2)新規再エネ導入予定（設備情報）'!$G:$G,0)-1,0)&amp;"","")</f>
        <v/>
      </c>
      <c r="I22" s="509" t="str">
        <f ca="1">IFERROR(OFFSET('4.1(2)新規再エネ導入予定（設備情報）'!$L$1,MATCH(G22,'4.1(2)新規再エネ導入予定（設備情報）'!$G:$G,0)-1,0),"")</f>
        <v/>
      </c>
      <c r="J22" s="510" t="str">
        <f ca="1">IFERROR(OFFSET('4.1(2)新規再エネ導入予定（設備情報）'!$O$1,MATCH(G22,'4.1(2)新規再エネ導入予定（設備情報）'!$G:$G,0)-1,0),"")</f>
        <v/>
      </c>
      <c r="K22" s="511" t="str">
        <f ca="1">IFERROR(OFFSET('4.1(2)新規再エネ導入予定（設備情報）'!$P$1,MATCH(G22,'4.1(2)新規再エネ導入予定（設備情報）'!$G:$G,0)-1,0),"")</f>
        <v/>
      </c>
      <c r="L22" s="489"/>
      <c r="M22" s="489"/>
      <c r="N22" s="489"/>
      <c r="O22" s="486"/>
      <c r="P22" s="24"/>
      <c r="Q22" s="21"/>
      <c r="R22" s="433">
        <f t="shared" si="1"/>
        <v>15</v>
      </c>
      <c r="S22" s="127">
        <f t="shared" si="2"/>
        <v>0</v>
      </c>
      <c r="T22" s="127" t="str">
        <f ca="1">_xlfn.IFNA(OFFSET('(非表示)新規再エネ実現可能性判定'!$C$1,MATCH(M22,'(非表示)新規再エネ実現可能性判定'!$B:$B,0)-1,0),"//")</f>
        <v>//</v>
      </c>
      <c r="U22" s="257" t="str">
        <f ca="1">_xlfn.IFNA(OFFSET('(非表示)新規再エネ実現可能性判定'!$F$1,MATCH(N22,'(非表示)新規再エネ実現可能性判定'!$E:$E,0)-1,0),"//")</f>
        <v>//</v>
      </c>
      <c r="V22" s="257" t="str">
        <f ca="1">_xlfn.IFNA(OFFSET('(非表示)新規再エネ実現可能性判定'!$I$1,MATCH(O22,'(非表示)新規再エネ実現可能性判定'!$H:$H,0)-1,0),"//")</f>
        <v>//</v>
      </c>
      <c r="W22" s="257" t="str">
        <f t="shared" si="4"/>
        <v/>
      </c>
    </row>
    <row r="23" spans="2:23" s="11" customFormat="1" ht="20">
      <c r="B23" s="21"/>
      <c r="C23" s="21"/>
      <c r="D23" s="36"/>
      <c r="E23" s="126"/>
      <c r="F23" s="504" t="str">
        <f ca="1">IFERROR(OFFSET('4.1(2)新規再エネ導入予定（設備情報）'!$F$1,MATCH(G23,'4.1(2)新規再エネ導入予定（設備情報）'!$G:$G,0)-1,0),"")</f>
        <v/>
      </c>
      <c r="G23" s="512"/>
      <c r="H23" s="508" t="str">
        <f ca="1">IFERROR(OFFSET('4.1(2)新規再エネ導入予定（設備情報）'!$H$1,MATCH(G23,'4.1(2)新規再エネ導入予定（設備情報）'!$G:$G,0)-1,0)&amp;"","")</f>
        <v/>
      </c>
      <c r="I23" s="509" t="str">
        <f ca="1">IFERROR(OFFSET('4.1(2)新規再エネ導入予定（設備情報）'!$L$1,MATCH(G23,'4.1(2)新規再エネ導入予定（設備情報）'!$G:$G,0)-1,0),"")</f>
        <v/>
      </c>
      <c r="J23" s="510" t="str">
        <f ca="1">IFERROR(OFFSET('4.1(2)新規再エネ導入予定（設備情報）'!$O$1,MATCH(G23,'4.1(2)新規再エネ導入予定（設備情報）'!$G:$G,0)-1,0),"")</f>
        <v/>
      </c>
      <c r="K23" s="511" t="str">
        <f ca="1">IFERROR(OFFSET('4.1(2)新規再エネ導入予定（設備情報）'!$P$1,MATCH(G23,'4.1(2)新規再エネ導入予定（設備情報）'!$G:$G,0)-1,0),"")</f>
        <v/>
      </c>
      <c r="L23" s="489"/>
      <c r="M23" s="489"/>
      <c r="N23" s="489"/>
      <c r="O23" s="486"/>
      <c r="P23" s="24"/>
      <c r="Q23" s="21"/>
      <c r="R23" s="433">
        <f t="shared" si="1"/>
        <v>16</v>
      </c>
      <c r="S23" s="127">
        <f t="shared" si="2"/>
        <v>0</v>
      </c>
      <c r="T23" s="127" t="str">
        <f ca="1">_xlfn.IFNA(OFFSET('(非表示)新規再エネ実現可能性判定'!$C$1,MATCH(M23,'(非表示)新規再エネ実現可能性判定'!$B:$B,0)-1,0),"//")</f>
        <v>//</v>
      </c>
      <c r="U23" s="257" t="str">
        <f ca="1">_xlfn.IFNA(OFFSET('(非表示)新規再エネ実現可能性判定'!$F$1,MATCH(N23,'(非表示)新規再エネ実現可能性判定'!$E:$E,0)-1,0),"//")</f>
        <v>//</v>
      </c>
      <c r="V23" s="257" t="str">
        <f ca="1">_xlfn.IFNA(OFFSET('(非表示)新規再エネ実現可能性判定'!$I$1,MATCH(O23,'(非表示)新規再エネ実現可能性判定'!$H:$H,0)-1,0),"//")</f>
        <v>//</v>
      </c>
      <c r="W23" s="257" t="str">
        <f t="shared" si="4"/>
        <v/>
      </c>
    </row>
    <row r="24" spans="2:23" s="11" customFormat="1" ht="20">
      <c r="B24" s="21"/>
      <c r="C24" s="21"/>
      <c r="D24" s="36"/>
      <c r="E24" s="126"/>
      <c r="F24" s="504" t="str">
        <f ca="1">IFERROR(OFFSET('4.1(2)新規再エネ導入予定（設備情報）'!$F$1,MATCH(G24,'4.1(2)新規再エネ導入予定（設備情報）'!$G:$G,0)-1,0),"")</f>
        <v/>
      </c>
      <c r="G24" s="512"/>
      <c r="H24" s="508" t="str">
        <f ca="1">IFERROR(OFFSET('4.1(2)新規再エネ導入予定（設備情報）'!$H$1,MATCH(G24,'4.1(2)新規再エネ導入予定（設備情報）'!$G:$G,0)-1,0)&amp;"","")</f>
        <v/>
      </c>
      <c r="I24" s="509" t="str">
        <f ca="1">IFERROR(OFFSET('4.1(2)新規再エネ導入予定（設備情報）'!$L$1,MATCH(G24,'4.1(2)新規再エネ導入予定（設備情報）'!$G:$G,0)-1,0),"")</f>
        <v/>
      </c>
      <c r="J24" s="510" t="str">
        <f ca="1">IFERROR(OFFSET('4.1(2)新規再エネ導入予定（設備情報）'!$O$1,MATCH(G24,'4.1(2)新規再エネ導入予定（設備情報）'!$G:$G,0)-1,0),"")</f>
        <v/>
      </c>
      <c r="K24" s="511" t="str">
        <f ca="1">IFERROR(OFFSET('4.1(2)新規再エネ導入予定（設備情報）'!$P$1,MATCH(G24,'4.1(2)新規再エネ導入予定（設備情報）'!$G:$G,0)-1,0),"")</f>
        <v/>
      </c>
      <c r="L24" s="489"/>
      <c r="M24" s="489"/>
      <c r="N24" s="489"/>
      <c r="O24" s="486"/>
      <c r="P24" s="24"/>
      <c r="Q24" s="21"/>
      <c r="R24" s="433">
        <f t="shared" si="1"/>
        <v>17</v>
      </c>
      <c r="S24" s="127">
        <f t="shared" si="2"/>
        <v>0</v>
      </c>
      <c r="T24" s="127" t="str">
        <f ca="1">_xlfn.IFNA(OFFSET('(非表示)新規再エネ実現可能性判定'!$C$1,MATCH(M24,'(非表示)新規再エネ実現可能性判定'!$B:$B,0)-1,0),"//")</f>
        <v>//</v>
      </c>
      <c r="U24" s="257" t="str">
        <f ca="1">_xlfn.IFNA(OFFSET('(非表示)新規再エネ実現可能性判定'!$F$1,MATCH(N24,'(非表示)新規再エネ実現可能性判定'!$E:$E,0)-1,0),"//")</f>
        <v>//</v>
      </c>
      <c r="V24" s="257" t="str">
        <f ca="1">_xlfn.IFNA(OFFSET('(非表示)新規再エネ実現可能性判定'!$I$1,MATCH(O24,'(非表示)新規再エネ実現可能性判定'!$H:$H,0)-1,0),"//")</f>
        <v>//</v>
      </c>
      <c r="W24" s="257" t="str">
        <f t="shared" si="4"/>
        <v/>
      </c>
    </row>
    <row r="25" spans="2:23" s="11" customFormat="1" ht="20">
      <c r="B25" s="21"/>
      <c r="C25" s="21"/>
      <c r="D25" s="36"/>
      <c r="E25" s="126"/>
      <c r="F25" s="504" t="str">
        <f ca="1">IFERROR(OFFSET('4.1(2)新規再エネ導入予定（設備情報）'!$F$1,MATCH(G25,'4.1(2)新規再エネ導入予定（設備情報）'!$G:$G,0)-1,0),"")</f>
        <v/>
      </c>
      <c r="G25" s="512"/>
      <c r="H25" s="508" t="str">
        <f ca="1">IFERROR(OFFSET('4.1(2)新規再エネ導入予定（設備情報）'!$H$1,MATCH(G25,'4.1(2)新規再エネ導入予定（設備情報）'!$G:$G,0)-1,0)&amp;"","")</f>
        <v/>
      </c>
      <c r="I25" s="509" t="str">
        <f ca="1">IFERROR(OFFSET('4.1(2)新規再エネ導入予定（設備情報）'!$L$1,MATCH(G25,'4.1(2)新規再エネ導入予定（設備情報）'!$G:$G,0)-1,0),"")</f>
        <v/>
      </c>
      <c r="J25" s="510" t="str">
        <f ca="1">IFERROR(OFFSET('4.1(2)新規再エネ導入予定（設備情報）'!$O$1,MATCH(G25,'4.1(2)新規再エネ導入予定（設備情報）'!$G:$G,0)-1,0),"")</f>
        <v/>
      </c>
      <c r="K25" s="511" t="str">
        <f ca="1">IFERROR(OFFSET('4.1(2)新規再エネ導入予定（設備情報）'!$P$1,MATCH(G25,'4.1(2)新規再エネ導入予定（設備情報）'!$G:$G,0)-1,0),"")</f>
        <v/>
      </c>
      <c r="L25" s="489"/>
      <c r="M25" s="489"/>
      <c r="N25" s="489"/>
      <c r="O25" s="486"/>
      <c r="P25" s="24"/>
      <c r="Q25" s="21"/>
      <c r="R25" s="433">
        <f t="shared" si="1"/>
        <v>18</v>
      </c>
      <c r="S25" s="127">
        <f t="shared" si="2"/>
        <v>0</v>
      </c>
      <c r="T25" s="127" t="str">
        <f ca="1">_xlfn.IFNA(OFFSET('(非表示)新規再エネ実現可能性判定'!$C$1,MATCH(M25,'(非表示)新規再エネ実現可能性判定'!$B:$B,0)-1,0),"//")</f>
        <v>//</v>
      </c>
      <c r="U25" s="257" t="str">
        <f ca="1">_xlfn.IFNA(OFFSET('(非表示)新規再エネ実現可能性判定'!$F$1,MATCH(N25,'(非表示)新規再エネ実現可能性判定'!$E:$E,0)-1,0),"//")</f>
        <v>//</v>
      </c>
      <c r="V25" s="257" t="str">
        <f ca="1">_xlfn.IFNA(OFFSET('(非表示)新規再エネ実現可能性判定'!$I$1,MATCH(O25,'(非表示)新規再エネ実現可能性判定'!$H:$H,0)-1,0),"//")</f>
        <v>//</v>
      </c>
      <c r="W25" s="257" t="str">
        <f t="shared" si="4"/>
        <v/>
      </c>
    </row>
    <row r="26" spans="2:23" ht="18" customHeight="1">
      <c r="D26" s="190"/>
      <c r="E26" s="192" t="s">
        <v>18</v>
      </c>
      <c r="F26" s="515"/>
      <c r="G26" s="477"/>
      <c r="H26" s="478"/>
      <c r="I26" s="479"/>
      <c r="J26" s="480"/>
      <c r="K26" s="481"/>
      <c r="L26" s="712"/>
      <c r="M26" s="712"/>
      <c r="N26" s="712"/>
      <c r="O26" s="713"/>
      <c r="P26" s="19"/>
      <c r="R26" s="425">
        <f t="shared" si="1"/>
        <v>19</v>
      </c>
      <c r="S26" s="224">
        <f t="shared" si="2"/>
        <v>0</v>
      </c>
      <c r="T26" s="224" t="str">
        <f ca="1">_xlfn.IFNA(OFFSET('(非表示)新規再エネ実現可能性判定'!$C$1,MATCH(M26,'(非表示)新規再エネ実現可能性判定'!$B:$B,0)-1,0),"//")</f>
        <v>//</v>
      </c>
      <c r="U26" s="177" t="str">
        <f ca="1">_xlfn.IFNA(OFFSET('(非表示)新規再エネ実現可能性判定'!$F$1,MATCH(N26,'(非表示)新規再エネ実現可能性判定'!$E:$E,0)-1,0),"//")</f>
        <v>//</v>
      </c>
      <c r="V26" s="177" t="str">
        <f ca="1">_xlfn.IFNA(OFFSET('(非表示)新規再エネ実現可能性判定'!$I$1,MATCH(O26,'(非表示)新規再エネ実現可能性判定'!$H:$H,0)-1,0),"//")</f>
        <v>//</v>
      </c>
      <c r="W26" s="177" t="str">
        <f t="shared" si="4"/>
        <v/>
      </c>
    </row>
    <row r="27" spans="2:23" s="11" customFormat="1" ht="19.5" hidden="1" customHeight="1">
      <c r="B27" s="21"/>
      <c r="C27" s="21"/>
      <c r="D27" s="36"/>
      <c r="E27" s="126"/>
      <c r="F27" s="491"/>
      <c r="G27" s="482"/>
      <c r="H27" s="498"/>
      <c r="I27" s="505"/>
      <c r="J27" s="506"/>
      <c r="K27" s="507"/>
      <c r="L27" s="513"/>
      <c r="M27" s="513"/>
      <c r="N27" s="513"/>
      <c r="O27" s="514"/>
      <c r="P27" s="24"/>
      <c r="Q27" s="21"/>
      <c r="R27" s="433">
        <f t="shared" si="1"/>
        <v>20</v>
      </c>
      <c r="S27" s="127">
        <f t="shared" si="2"/>
        <v>0</v>
      </c>
      <c r="T27" s="127" t="str">
        <f ca="1">_xlfn.IFNA(OFFSET('(非表示)新規再エネ実現可能性判定'!$C$1,MATCH(M27,'(非表示)新規再エネ実現可能性判定'!$B:$B,0)-1,0),"//")</f>
        <v>//</v>
      </c>
      <c r="U27" s="257" t="str">
        <f ca="1">_xlfn.IFNA(OFFSET('(非表示)新規再エネ実現可能性判定'!$F$1,MATCH(N27,'(非表示)新規再エネ実現可能性判定'!$E:$E,0)-1,0),"//")</f>
        <v>//</v>
      </c>
      <c r="V27" s="257" t="str">
        <f ca="1">_xlfn.IFNA(OFFSET('(非表示)新規再エネ実現可能性判定'!$I$1,MATCH(O27,'(非表示)新規再エネ実現可能性判定'!$H:$H,0)-1,0),"//")</f>
        <v>//</v>
      </c>
      <c r="W27" s="257" t="str">
        <f t="shared" si="4"/>
        <v/>
      </c>
    </row>
    <row r="28" spans="2:23" s="11" customFormat="1" ht="20">
      <c r="B28" s="21"/>
      <c r="C28" s="21"/>
      <c r="D28" s="36"/>
      <c r="E28" s="126"/>
      <c r="F28" s="504" t="str">
        <f ca="1">IFERROR(OFFSET('4.1(2)新規再エネ導入予定（設備情報）'!$F$1,MATCH(G28,'4.1(2)新規再エネ導入予定（設備情報）'!$G:$G,0)-1,0),"")</f>
        <v/>
      </c>
      <c r="G28" s="512"/>
      <c r="H28" s="508" t="str">
        <f ca="1">IFERROR(OFFSET('4.1(2)新規再エネ導入予定（設備情報）'!$H$1,MATCH(G28,'4.1(2)新規再エネ導入予定（設備情報）'!$G:$G,0)-1,0)&amp;"","")</f>
        <v/>
      </c>
      <c r="I28" s="509" t="str">
        <f ca="1">IFERROR(OFFSET('4.1(2)新規再エネ導入予定（設備情報）'!$L$1,MATCH(G28,'4.1(2)新規再エネ導入予定（設備情報）'!$G:$G,0)-1,0),"")</f>
        <v/>
      </c>
      <c r="J28" s="510" t="str">
        <f ca="1">IFERROR(OFFSET('4.1(2)新規再エネ導入予定（設備情報）'!$O$1,MATCH(G28,'4.1(2)新規再エネ導入予定（設備情報）'!$G:$G,0)-1,0),"")</f>
        <v/>
      </c>
      <c r="K28" s="511" t="str">
        <f ca="1">IFERROR(OFFSET('4.1(2)新規再エネ導入予定（設備情報）'!$P$1,MATCH(G28,'4.1(2)新規再エネ導入予定（設備情報）'!$G:$G,0)-1,0),"")</f>
        <v/>
      </c>
      <c r="L28" s="489"/>
      <c r="M28" s="489"/>
      <c r="N28" s="489"/>
      <c r="O28" s="486"/>
      <c r="P28" s="24"/>
      <c r="Q28" s="21"/>
      <c r="R28" s="433">
        <f t="shared" si="1"/>
        <v>21</v>
      </c>
      <c r="S28" s="127">
        <f t="shared" si="2"/>
        <v>0</v>
      </c>
      <c r="T28" s="127" t="str">
        <f ca="1">_xlfn.IFNA(OFFSET('(非表示)新規再エネ実現可能性判定'!$C$1,MATCH(M28,'(非表示)新規再エネ実現可能性判定'!$B:$B,0)-1,0),"//")</f>
        <v>//</v>
      </c>
      <c r="U28" s="257" t="str">
        <f ca="1">_xlfn.IFNA(OFFSET('(非表示)新規再エネ実現可能性判定'!$F$1,MATCH(N28,'(非表示)新規再エネ実現可能性判定'!$E:$E,0)-1,0),"//")</f>
        <v>//</v>
      </c>
      <c r="V28" s="257" t="str">
        <f ca="1">_xlfn.IFNA(OFFSET('(非表示)新規再エネ実現可能性判定'!$I$1,MATCH(O28,'(非表示)新規再エネ実現可能性判定'!$H:$H,0)-1,0),"//")</f>
        <v>//</v>
      </c>
      <c r="W28" s="257" t="str">
        <f t="shared" si="4"/>
        <v/>
      </c>
    </row>
    <row r="29" spans="2:23" s="11" customFormat="1" ht="20">
      <c r="B29" s="21"/>
      <c r="C29" s="21"/>
      <c r="D29" s="36"/>
      <c r="E29" s="126"/>
      <c r="F29" s="504" t="str">
        <f ca="1">IFERROR(OFFSET('4.1(2)新規再エネ導入予定（設備情報）'!$F$1,MATCH(G29,'4.1(2)新規再エネ導入予定（設備情報）'!$G:$G,0)-1,0),"")</f>
        <v/>
      </c>
      <c r="G29" s="512"/>
      <c r="H29" s="508" t="str">
        <f ca="1">IFERROR(OFFSET('4.1(2)新規再エネ導入予定（設備情報）'!$H$1,MATCH(G29,'4.1(2)新規再エネ導入予定（設備情報）'!$G:$G,0)-1,0)&amp;"","")</f>
        <v/>
      </c>
      <c r="I29" s="509" t="str">
        <f ca="1">IFERROR(OFFSET('4.1(2)新規再エネ導入予定（設備情報）'!$L$1,MATCH(G29,'4.1(2)新規再エネ導入予定（設備情報）'!$G:$G,0)-1,0),"")</f>
        <v/>
      </c>
      <c r="J29" s="510" t="str">
        <f ca="1">IFERROR(OFFSET('4.1(2)新規再エネ導入予定（設備情報）'!$O$1,MATCH(G29,'4.1(2)新規再エネ導入予定（設備情報）'!$G:$G,0)-1,0),"")</f>
        <v/>
      </c>
      <c r="K29" s="511" t="str">
        <f ca="1">IFERROR(OFFSET('4.1(2)新規再エネ導入予定（設備情報）'!$P$1,MATCH(G29,'4.1(2)新規再エネ導入予定（設備情報）'!$G:$G,0)-1,0),"")</f>
        <v/>
      </c>
      <c r="L29" s="489"/>
      <c r="M29" s="489"/>
      <c r="N29" s="489"/>
      <c r="O29" s="486"/>
      <c r="P29" s="24"/>
      <c r="Q29" s="21"/>
      <c r="R29" s="433">
        <f t="shared" si="1"/>
        <v>22</v>
      </c>
      <c r="S29" s="127">
        <f t="shared" si="2"/>
        <v>0</v>
      </c>
      <c r="T29" s="127" t="str">
        <f ca="1">_xlfn.IFNA(OFFSET('(非表示)新規再エネ実現可能性判定'!$C$1,MATCH(M29,'(非表示)新規再エネ実現可能性判定'!$B:$B,0)-1,0),"//")</f>
        <v>//</v>
      </c>
      <c r="U29" s="257" t="str">
        <f ca="1">_xlfn.IFNA(OFFSET('(非表示)新規再エネ実現可能性判定'!$F$1,MATCH(N29,'(非表示)新規再エネ実現可能性判定'!$E:$E,0)-1,0),"//")</f>
        <v>//</v>
      </c>
      <c r="V29" s="257" t="str">
        <f ca="1">_xlfn.IFNA(OFFSET('(非表示)新規再エネ実現可能性判定'!$I$1,MATCH(O29,'(非表示)新規再エネ実現可能性判定'!$H:$H,0)-1,0),"//")</f>
        <v>//</v>
      </c>
      <c r="W29" s="257" t="str">
        <f t="shared" si="4"/>
        <v/>
      </c>
    </row>
    <row r="30" spans="2:23" s="11" customFormat="1" ht="20">
      <c r="B30" s="21"/>
      <c r="C30" s="21"/>
      <c r="D30" s="36"/>
      <c r="E30" s="126"/>
      <c r="F30" s="504" t="str">
        <f ca="1">IFERROR(OFFSET('4.1(2)新規再エネ導入予定（設備情報）'!$F$1,MATCH(G30,'4.1(2)新規再エネ導入予定（設備情報）'!$G:$G,0)-1,0),"")</f>
        <v/>
      </c>
      <c r="G30" s="512"/>
      <c r="H30" s="508" t="str">
        <f ca="1">IFERROR(OFFSET('4.1(2)新規再エネ導入予定（設備情報）'!$H$1,MATCH(G30,'4.1(2)新規再エネ導入予定（設備情報）'!$G:$G,0)-1,0)&amp;"","")</f>
        <v/>
      </c>
      <c r="I30" s="509" t="str">
        <f ca="1">IFERROR(OFFSET('4.1(2)新規再エネ導入予定（設備情報）'!$L$1,MATCH(G30,'4.1(2)新規再エネ導入予定（設備情報）'!$G:$G,0)-1,0),"")</f>
        <v/>
      </c>
      <c r="J30" s="510" t="str">
        <f ca="1">IFERROR(OFFSET('4.1(2)新規再エネ導入予定（設備情報）'!$O$1,MATCH(G30,'4.1(2)新規再エネ導入予定（設備情報）'!$G:$G,0)-1,0),"")</f>
        <v/>
      </c>
      <c r="K30" s="511" t="str">
        <f ca="1">IFERROR(OFFSET('4.1(2)新規再エネ導入予定（設備情報）'!$P$1,MATCH(G30,'4.1(2)新規再エネ導入予定（設備情報）'!$G:$G,0)-1,0),"")</f>
        <v/>
      </c>
      <c r="L30" s="489"/>
      <c r="M30" s="489"/>
      <c r="N30" s="489"/>
      <c r="O30" s="486"/>
      <c r="P30" s="24"/>
      <c r="Q30" s="21"/>
      <c r="R30" s="433">
        <f t="shared" si="1"/>
        <v>23</v>
      </c>
      <c r="S30" s="127">
        <f t="shared" si="2"/>
        <v>0</v>
      </c>
      <c r="T30" s="127" t="str">
        <f ca="1">_xlfn.IFNA(OFFSET('(非表示)新規再エネ実現可能性判定'!$C$1,MATCH(M30,'(非表示)新規再エネ実現可能性判定'!$B:$B,0)-1,0),"//")</f>
        <v>//</v>
      </c>
      <c r="U30" s="257" t="str">
        <f ca="1">_xlfn.IFNA(OFFSET('(非表示)新規再エネ実現可能性判定'!$F$1,MATCH(N30,'(非表示)新規再エネ実現可能性判定'!$E:$E,0)-1,0),"//")</f>
        <v>//</v>
      </c>
      <c r="V30" s="257" t="str">
        <f ca="1">_xlfn.IFNA(OFFSET('(非表示)新規再エネ実現可能性判定'!$I$1,MATCH(O30,'(非表示)新規再エネ実現可能性判定'!$H:$H,0)-1,0),"//")</f>
        <v>//</v>
      </c>
      <c r="W30" s="257" t="str">
        <f t="shared" si="4"/>
        <v/>
      </c>
    </row>
    <row r="31" spans="2:23" s="11" customFormat="1" ht="20">
      <c r="B31" s="21"/>
      <c r="C31" s="21"/>
      <c r="D31" s="36"/>
      <c r="E31" s="126"/>
      <c r="F31" s="504" t="str">
        <f ca="1">IFERROR(OFFSET('4.1(2)新規再エネ導入予定（設備情報）'!$F$1,MATCH(G31,'4.1(2)新規再エネ導入予定（設備情報）'!$G:$G,0)-1,0),"")</f>
        <v/>
      </c>
      <c r="G31" s="512"/>
      <c r="H31" s="508" t="str">
        <f ca="1">IFERROR(OFFSET('4.1(2)新規再エネ導入予定（設備情報）'!$H$1,MATCH(G31,'4.1(2)新規再エネ導入予定（設備情報）'!$G:$G,0)-1,0)&amp;"","")</f>
        <v/>
      </c>
      <c r="I31" s="509" t="str">
        <f ca="1">IFERROR(OFFSET('4.1(2)新規再エネ導入予定（設備情報）'!$L$1,MATCH(G31,'4.1(2)新規再エネ導入予定（設備情報）'!$G:$G,0)-1,0),"")</f>
        <v/>
      </c>
      <c r="J31" s="510" t="str">
        <f ca="1">IFERROR(OFFSET('4.1(2)新規再エネ導入予定（設備情報）'!$O$1,MATCH(G31,'4.1(2)新規再エネ導入予定（設備情報）'!$G:$G,0)-1,0),"")</f>
        <v/>
      </c>
      <c r="K31" s="511" t="str">
        <f ca="1">IFERROR(OFFSET('4.1(2)新規再エネ導入予定（設備情報）'!$P$1,MATCH(G31,'4.1(2)新規再エネ導入予定（設備情報）'!$G:$G,0)-1,0),"")</f>
        <v/>
      </c>
      <c r="L31" s="489"/>
      <c r="M31" s="489"/>
      <c r="N31" s="489"/>
      <c r="O31" s="486"/>
      <c r="P31" s="24"/>
      <c r="Q31" s="21"/>
      <c r="R31" s="433">
        <f t="shared" si="1"/>
        <v>24</v>
      </c>
      <c r="S31" s="127">
        <f t="shared" si="2"/>
        <v>0</v>
      </c>
      <c r="T31" s="127" t="str">
        <f ca="1">_xlfn.IFNA(OFFSET('(非表示)新規再エネ実現可能性判定'!$C$1,MATCH(M31,'(非表示)新規再エネ実現可能性判定'!$B:$B,0)-1,0),"//")</f>
        <v>//</v>
      </c>
      <c r="U31" s="257" t="str">
        <f ca="1">_xlfn.IFNA(OFFSET('(非表示)新規再エネ実現可能性判定'!$F$1,MATCH(N31,'(非表示)新規再エネ実現可能性判定'!$E:$E,0)-1,0),"//")</f>
        <v>//</v>
      </c>
      <c r="V31" s="257" t="str">
        <f ca="1">_xlfn.IFNA(OFFSET('(非表示)新規再エネ実現可能性判定'!$I$1,MATCH(O31,'(非表示)新規再エネ実現可能性判定'!$H:$H,0)-1,0),"//")</f>
        <v>//</v>
      </c>
      <c r="W31" s="257" t="str">
        <f t="shared" si="4"/>
        <v/>
      </c>
    </row>
    <row r="32" spans="2:23" ht="20">
      <c r="D32" s="190"/>
      <c r="E32" s="192" t="s">
        <v>19</v>
      </c>
      <c r="F32" s="515"/>
      <c r="G32" s="477"/>
      <c r="H32" s="478"/>
      <c r="I32" s="479"/>
      <c r="J32" s="480"/>
      <c r="K32" s="481"/>
      <c r="L32" s="712"/>
      <c r="M32" s="712"/>
      <c r="N32" s="712"/>
      <c r="O32" s="713"/>
      <c r="P32" s="19"/>
      <c r="R32" s="425">
        <f t="shared" si="1"/>
        <v>25</v>
      </c>
      <c r="S32" s="224">
        <f t="shared" si="2"/>
        <v>0</v>
      </c>
      <c r="T32" s="224" t="str">
        <f ca="1">_xlfn.IFNA(OFFSET('(非表示)新規再エネ実現可能性判定'!$C$1,MATCH(M32,'(非表示)新規再エネ実現可能性判定'!$B:$B,0)-1,0),"//")</f>
        <v>//</v>
      </c>
      <c r="U32" s="177" t="str">
        <f ca="1">_xlfn.IFNA(OFFSET('(非表示)新規再エネ実現可能性判定'!$F$1,MATCH(N32,'(非表示)新規再エネ実現可能性判定'!$E:$E,0)-1,0),"//")</f>
        <v>//</v>
      </c>
      <c r="V32" s="177" t="str">
        <f ca="1">_xlfn.IFNA(OFFSET('(非表示)新規再エネ実現可能性判定'!$I$1,MATCH(O32,'(非表示)新規再エネ実現可能性判定'!$H:$H,0)-1,0),"//")</f>
        <v>//</v>
      </c>
      <c r="W32" s="177" t="str">
        <f t="shared" si="4"/>
        <v/>
      </c>
    </row>
    <row r="33" spans="2:23" s="11" customFormat="1" ht="19.5" hidden="1" customHeight="1">
      <c r="B33" s="21"/>
      <c r="C33" s="21"/>
      <c r="D33" s="36"/>
      <c r="E33" s="126"/>
      <c r="F33" s="491"/>
      <c r="G33" s="482"/>
      <c r="H33" s="498"/>
      <c r="I33" s="505"/>
      <c r="J33" s="506"/>
      <c r="K33" s="507"/>
      <c r="L33" s="513"/>
      <c r="M33" s="513"/>
      <c r="N33" s="513"/>
      <c r="O33" s="514"/>
      <c r="P33" s="24"/>
      <c r="Q33" s="21"/>
      <c r="R33" s="433">
        <f t="shared" si="1"/>
        <v>26</v>
      </c>
      <c r="S33" s="127">
        <f t="shared" si="2"/>
        <v>0</v>
      </c>
      <c r="T33" s="127" t="str">
        <f ca="1">_xlfn.IFNA(OFFSET('(非表示)新規再エネ実現可能性判定'!$C$1,MATCH(M33,'(非表示)新規再エネ実現可能性判定'!$B:$B,0)-1,0),"//")</f>
        <v>//</v>
      </c>
      <c r="U33" s="257" t="str">
        <f ca="1">_xlfn.IFNA(OFFSET('(非表示)新規再エネ実現可能性判定'!$F$1,MATCH(N33,'(非表示)新規再エネ実現可能性判定'!$E:$E,0)-1,0),"//")</f>
        <v>//</v>
      </c>
      <c r="V33" s="257" t="str">
        <f ca="1">_xlfn.IFNA(OFFSET('(非表示)新規再エネ実現可能性判定'!$I$1,MATCH(O33,'(非表示)新規再エネ実現可能性判定'!$H:$H,0)-1,0),"//")</f>
        <v>//</v>
      </c>
      <c r="W33" s="257" t="str">
        <f t="shared" si="4"/>
        <v/>
      </c>
    </row>
    <row r="34" spans="2:23" s="11" customFormat="1" ht="20">
      <c r="B34" s="21"/>
      <c r="C34" s="21"/>
      <c r="D34" s="36"/>
      <c r="E34" s="126"/>
      <c r="F34" s="504" t="str">
        <f ca="1">IFERROR(OFFSET('4.1(2)新規再エネ導入予定（設備情報）'!$F$1,MATCH(G34,'4.1(2)新規再エネ導入予定（設備情報）'!$G:$G,0)-1,0),"")</f>
        <v/>
      </c>
      <c r="G34" s="512"/>
      <c r="H34" s="508" t="str">
        <f ca="1">IFERROR(OFFSET('4.1(2)新規再エネ導入予定（設備情報）'!$H$1,MATCH(G34,'4.1(2)新規再エネ導入予定（設備情報）'!$G:$G,0)-1,0)&amp;"","")</f>
        <v/>
      </c>
      <c r="I34" s="509" t="str">
        <f ca="1">IFERROR(OFFSET('4.1(2)新規再エネ導入予定（設備情報）'!$L$1,MATCH(G34,'4.1(2)新規再エネ導入予定（設備情報）'!$G:$G,0)-1,0),"")</f>
        <v/>
      </c>
      <c r="J34" s="510" t="str">
        <f ca="1">IFERROR(OFFSET('4.1(2)新規再エネ導入予定（設備情報）'!$O$1,MATCH(G34,'4.1(2)新規再エネ導入予定（設備情報）'!$G:$G,0)-1,0),"")</f>
        <v/>
      </c>
      <c r="K34" s="511" t="str">
        <f ca="1">IFERROR(OFFSET('4.1(2)新規再エネ導入予定（設備情報）'!$P$1,MATCH(G34,'4.1(2)新規再エネ導入予定（設備情報）'!$G:$G,0)-1,0),"")</f>
        <v/>
      </c>
      <c r="L34" s="489"/>
      <c r="M34" s="489"/>
      <c r="N34" s="489"/>
      <c r="O34" s="486"/>
      <c r="P34" s="24"/>
      <c r="Q34" s="21"/>
      <c r="R34" s="433">
        <f t="shared" si="1"/>
        <v>27</v>
      </c>
      <c r="S34" s="127">
        <f t="shared" si="2"/>
        <v>0</v>
      </c>
      <c r="T34" s="127" t="str">
        <f ca="1">_xlfn.IFNA(OFFSET('(非表示)新規再エネ実現可能性判定'!$C$1,MATCH(M34,'(非表示)新規再エネ実現可能性判定'!$B:$B,0)-1,0),"//")</f>
        <v>//</v>
      </c>
      <c r="U34" s="257" t="str">
        <f ca="1">_xlfn.IFNA(OFFSET('(非表示)新規再エネ実現可能性判定'!$F$1,MATCH(N34,'(非表示)新規再エネ実現可能性判定'!$E:$E,0)-1,0),"//")</f>
        <v>//</v>
      </c>
      <c r="V34" s="257" t="str">
        <f ca="1">_xlfn.IFNA(OFFSET('(非表示)新規再エネ実現可能性判定'!$I$1,MATCH(O34,'(非表示)新規再エネ実現可能性判定'!$H:$H,0)-1,0),"//")</f>
        <v>//</v>
      </c>
      <c r="W34" s="257" t="str">
        <f t="shared" si="4"/>
        <v/>
      </c>
    </row>
    <row r="35" spans="2:23" s="11" customFormat="1" ht="20">
      <c r="B35" s="21"/>
      <c r="C35" s="21"/>
      <c r="D35" s="36"/>
      <c r="E35" s="126"/>
      <c r="F35" s="504" t="str">
        <f ca="1">IFERROR(OFFSET('4.1(2)新規再エネ導入予定（設備情報）'!$F$1,MATCH(G35,'4.1(2)新規再エネ導入予定（設備情報）'!$G:$G,0)-1,0),"")</f>
        <v/>
      </c>
      <c r="G35" s="512"/>
      <c r="H35" s="508" t="str">
        <f ca="1">IFERROR(OFFSET('4.1(2)新規再エネ導入予定（設備情報）'!$H$1,MATCH(G35,'4.1(2)新規再エネ導入予定（設備情報）'!$G:$G,0)-1,0)&amp;"","")</f>
        <v/>
      </c>
      <c r="I35" s="509" t="str">
        <f ca="1">IFERROR(OFFSET('4.1(2)新規再エネ導入予定（設備情報）'!$L$1,MATCH(G35,'4.1(2)新規再エネ導入予定（設備情報）'!$G:$G,0)-1,0),"")</f>
        <v/>
      </c>
      <c r="J35" s="510" t="str">
        <f ca="1">IFERROR(OFFSET('4.1(2)新規再エネ導入予定（設備情報）'!$O$1,MATCH(G35,'4.1(2)新規再エネ導入予定（設備情報）'!$G:$G,0)-1,0),"")</f>
        <v/>
      </c>
      <c r="K35" s="511" t="str">
        <f ca="1">IFERROR(OFFSET('4.1(2)新規再エネ導入予定（設備情報）'!$P$1,MATCH(G35,'4.1(2)新規再エネ導入予定（設備情報）'!$G:$G,0)-1,0),"")</f>
        <v/>
      </c>
      <c r="L35" s="489"/>
      <c r="M35" s="489"/>
      <c r="N35" s="489"/>
      <c r="O35" s="486"/>
      <c r="P35" s="24"/>
      <c r="Q35" s="21"/>
      <c r="R35" s="433">
        <f t="shared" si="1"/>
        <v>28</v>
      </c>
      <c r="S35" s="127">
        <f t="shared" si="2"/>
        <v>0</v>
      </c>
      <c r="T35" s="127" t="str">
        <f ca="1">_xlfn.IFNA(OFFSET('(非表示)新規再エネ実現可能性判定'!$C$1,MATCH(M35,'(非表示)新規再エネ実現可能性判定'!$B:$B,0)-1,0),"//")</f>
        <v>//</v>
      </c>
      <c r="U35" s="257" t="str">
        <f ca="1">_xlfn.IFNA(OFFSET('(非表示)新規再エネ実現可能性判定'!$F$1,MATCH(N35,'(非表示)新規再エネ実現可能性判定'!$E:$E,0)-1,0),"//")</f>
        <v>//</v>
      </c>
      <c r="V35" s="257" t="str">
        <f ca="1">_xlfn.IFNA(OFFSET('(非表示)新規再エネ実現可能性判定'!$I$1,MATCH(O35,'(非表示)新規再エネ実現可能性判定'!$H:$H,0)-1,0),"//")</f>
        <v>//</v>
      </c>
      <c r="W35" s="257" t="str">
        <f t="shared" si="4"/>
        <v/>
      </c>
    </row>
    <row r="36" spans="2:23" s="11" customFormat="1" ht="20">
      <c r="B36" s="21"/>
      <c r="C36" s="21"/>
      <c r="D36" s="36"/>
      <c r="E36" s="126"/>
      <c r="F36" s="504" t="str">
        <f ca="1">IFERROR(OFFSET('4.1(2)新規再エネ導入予定（設備情報）'!$F$1,MATCH(G36,'4.1(2)新規再エネ導入予定（設備情報）'!$G:$G,0)-1,0),"")</f>
        <v/>
      </c>
      <c r="G36" s="512"/>
      <c r="H36" s="508" t="str">
        <f ca="1">IFERROR(OFFSET('4.1(2)新規再エネ導入予定（設備情報）'!$H$1,MATCH(G36,'4.1(2)新規再エネ導入予定（設備情報）'!$G:$G,0)-1,0)&amp;"","")</f>
        <v/>
      </c>
      <c r="I36" s="509" t="str">
        <f ca="1">IFERROR(OFFSET('4.1(2)新規再エネ導入予定（設備情報）'!$L$1,MATCH(G36,'4.1(2)新規再エネ導入予定（設備情報）'!$G:$G,0)-1,0),"")</f>
        <v/>
      </c>
      <c r="J36" s="510" t="str">
        <f ca="1">IFERROR(OFFSET('4.1(2)新規再エネ導入予定（設備情報）'!$O$1,MATCH(G36,'4.1(2)新規再エネ導入予定（設備情報）'!$G:$G,0)-1,0),"")</f>
        <v/>
      </c>
      <c r="K36" s="511" t="str">
        <f ca="1">IFERROR(OFFSET('4.1(2)新規再エネ導入予定（設備情報）'!$P$1,MATCH(G36,'4.1(2)新規再エネ導入予定（設備情報）'!$G:$G,0)-1,0),"")</f>
        <v/>
      </c>
      <c r="L36" s="489"/>
      <c r="M36" s="489"/>
      <c r="N36" s="489"/>
      <c r="O36" s="486"/>
      <c r="P36" s="24"/>
      <c r="Q36" s="21"/>
      <c r="R36" s="433">
        <f t="shared" si="1"/>
        <v>29</v>
      </c>
      <c r="S36" s="127">
        <f t="shared" si="2"/>
        <v>0</v>
      </c>
      <c r="T36" s="127" t="str">
        <f ca="1">_xlfn.IFNA(OFFSET('(非表示)新規再エネ実現可能性判定'!$C$1,MATCH(M36,'(非表示)新規再エネ実現可能性判定'!$B:$B,0)-1,0),"//")</f>
        <v>//</v>
      </c>
      <c r="U36" s="257" t="str">
        <f ca="1">_xlfn.IFNA(OFFSET('(非表示)新規再エネ実現可能性判定'!$F$1,MATCH(N36,'(非表示)新規再エネ実現可能性判定'!$E:$E,0)-1,0),"//")</f>
        <v>//</v>
      </c>
      <c r="V36" s="257" t="str">
        <f ca="1">_xlfn.IFNA(OFFSET('(非表示)新規再エネ実現可能性判定'!$I$1,MATCH(O36,'(非表示)新規再エネ実現可能性判定'!$H:$H,0)-1,0),"//")</f>
        <v>//</v>
      </c>
      <c r="W36" s="257" t="str">
        <f t="shared" si="4"/>
        <v/>
      </c>
    </row>
    <row r="37" spans="2:23" s="11" customFormat="1" ht="20">
      <c r="B37" s="21"/>
      <c r="C37" s="21"/>
      <c r="D37" s="36"/>
      <c r="E37" s="126"/>
      <c r="F37" s="504" t="str">
        <f ca="1">IFERROR(OFFSET('4.1(2)新規再エネ導入予定（設備情報）'!$F$1,MATCH(G37,'4.1(2)新規再エネ導入予定（設備情報）'!$G:$G,0)-1,0),"")</f>
        <v/>
      </c>
      <c r="G37" s="512"/>
      <c r="H37" s="508" t="str">
        <f ca="1">IFERROR(OFFSET('4.1(2)新規再エネ導入予定（設備情報）'!$H$1,MATCH(G37,'4.1(2)新規再エネ導入予定（設備情報）'!$G:$G,0)-1,0)&amp;"","")</f>
        <v/>
      </c>
      <c r="I37" s="509" t="str">
        <f ca="1">IFERROR(OFFSET('4.1(2)新規再エネ導入予定（設備情報）'!$L$1,MATCH(G37,'4.1(2)新規再エネ導入予定（設備情報）'!$G:$G,0)-1,0),"")</f>
        <v/>
      </c>
      <c r="J37" s="510" t="str">
        <f ca="1">IFERROR(OFFSET('4.1(2)新規再エネ導入予定（設備情報）'!$O$1,MATCH(G37,'4.1(2)新規再エネ導入予定（設備情報）'!$G:$G,0)-1,0),"")</f>
        <v/>
      </c>
      <c r="K37" s="511" t="str">
        <f ca="1">IFERROR(OFFSET('4.1(2)新規再エネ導入予定（設備情報）'!$P$1,MATCH(G37,'4.1(2)新規再エネ導入予定（設備情報）'!$G:$G,0)-1,0),"")</f>
        <v/>
      </c>
      <c r="L37" s="489"/>
      <c r="M37" s="489"/>
      <c r="N37" s="489"/>
      <c r="O37" s="486"/>
      <c r="P37" s="24"/>
      <c r="Q37" s="21"/>
      <c r="R37" s="433">
        <f t="shared" si="1"/>
        <v>30</v>
      </c>
      <c r="S37" s="127">
        <f t="shared" si="2"/>
        <v>0</v>
      </c>
      <c r="T37" s="127" t="str">
        <f ca="1">_xlfn.IFNA(OFFSET('(非表示)新規再エネ実現可能性判定'!$C$1,MATCH(M37,'(非表示)新規再エネ実現可能性判定'!$B:$B,0)-1,0),"//")</f>
        <v>//</v>
      </c>
      <c r="U37" s="257" t="str">
        <f ca="1">_xlfn.IFNA(OFFSET('(非表示)新規再エネ実現可能性判定'!$F$1,MATCH(N37,'(非表示)新規再エネ実現可能性判定'!$E:$E,0)-1,0),"//")</f>
        <v>//</v>
      </c>
      <c r="V37" s="257" t="str">
        <f ca="1">_xlfn.IFNA(OFFSET('(非表示)新規再エネ実現可能性判定'!$I$1,MATCH(O37,'(非表示)新規再エネ実現可能性判定'!$H:$H,0)-1,0),"//")</f>
        <v>//</v>
      </c>
      <c r="W37" s="257" t="str">
        <f t="shared" si="4"/>
        <v/>
      </c>
    </row>
    <row r="38" spans="2:23" ht="20">
      <c r="D38" s="190"/>
      <c r="E38" s="192" t="s">
        <v>198</v>
      </c>
      <c r="F38" s="515"/>
      <c r="G38" s="477"/>
      <c r="H38" s="478"/>
      <c r="I38" s="479"/>
      <c r="J38" s="480"/>
      <c r="K38" s="481"/>
      <c r="L38" s="712"/>
      <c r="M38" s="712"/>
      <c r="N38" s="712"/>
      <c r="O38" s="713"/>
      <c r="P38" s="19"/>
      <c r="R38" s="425">
        <f t="shared" si="1"/>
        <v>31</v>
      </c>
      <c r="S38" s="224">
        <f t="shared" si="2"/>
        <v>0</v>
      </c>
      <c r="T38" s="224" t="str">
        <f ca="1">_xlfn.IFNA(OFFSET('(非表示)新規再エネ実現可能性判定'!$C$1,MATCH(M38,'(非表示)新規再エネ実現可能性判定'!$B:$B,0)-1,0),"//")</f>
        <v>//</v>
      </c>
      <c r="U38" s="177" t="str">
        <f ca="1">_xlfn.IFNA(OFFSET('(非表示)新規再エネ実現可能性判定'!$F$1,MATCH(N38,'(非表示)新規再エネ実現可能性判定'!$E:$E,0)-1,0),"//")</f>
        <v>//</v>
      </c>
      <c r="V38" s="177" t="str">
        <f ca="1">_xlfn.IFNA(OFFSET('(非表示)新規再エネ実現可能性判定'!$I$1,MATCH(O38,'(非表示)新規再エネ実現可能性判定'!$H:$H,0)-1,0),"//")</f>
        <v>//</v>
      </c>
      <c r="W38" s="177" t="str">
        <f t="shared" si="4"/>
        <v/>
      </c>
    </row>
    <row r="39" spans="2:23" s="11" customFormat="1" ht="19.5" hidden="1" customHeight="1">
      <c r="B39" s="21"/>
      <c r="C39" s="21"/>
      <c r="D39" s="36"/>
      <c r="E39" s="126"/>
      <c r="F39" s="491"/>
      <c r="G39" s="482"/>
      <c r="H39" s="498"/>
      <c r="I39" s="505"/>
      <c r="J39" s="506"/>
      <c r="K39" s="507"/>
      <c r="L39" s="513"/>
      <c r="M39" s="513"/>
      <c r="N39" s="513"/>
      <c r="O39" s="514"/>
      <c r="P39" s="24"/>
      <c r="Q39" s="21"/>
      <c r="R39" s="433">
        <f t="shared" si="1"/>
        <v>32</v>
      </c>
      <c r="S39" s="127">
        <f t="shared" si="2"/>
        <v>0</v>
      </c>
      <c r="T39" s="127" t="str">
        <f ca="1">_xlfn.IFNA(OFFSET('(非表示)新規再エネ実現可能性判定'!$C$1,MATCH(M39,'(非表示)新規再エネ実現可能性判定'!$B:$B,0)-1,0),"//")</f>
        <v>//</v>
      </c>
      <c r="U39" s="257" t="str">
        <f ca="1">_xlfn.IFNA(OFFSET('(非表示)新規再エネ実現可能性判定'!$F$1,MATCH(N39,'(非表示)新規再エネ実現可能性判定'!$E:$E,0)-1,0),"//")</f>
        <v>//</v>
      </c>
      <c r="V39" s="257" t="str">
        <f ca="1">_xlfn.IFNA(OFFSET('(非表示)新規再エネ実現可能性判定'!$I$1,MATCH(O39,'(非表示)新規再エネ実現可能性判定'!$H:$H,0)-1,0),"//")</f>
        <v>//</v>
      </c>
      <c r="W39" s="257" t="str">
        <f t="shared" si="4"/>
        <v/>
      </c>
    </row>
    <row r="40" spans="2:23" s="11" customFormat="1" ht="20">
      <c r="B40" s="21"/>
      <c r="C40" s="21"/>
      <c r="D40" s="36"/>
      <c r="E40" s="126"/>
      <c r="F40" s="504" t="str">
        <f ca="1">IFERROR(OFFSET('4.1(2)新規再エネ導入予定（設備情報）'!$F$1,MATCH(G40,'4.1(2)新規再エネ導入予定（設備情報）'!$G:$G,0)-1,0),"")</f>
        <v/>
      </c>
      <c r="G40" s="512"/>
      <c r="H40" s="508" t="str">
        <f ca="1">IFERROR(OFFSET('4.1(2)新規再エネ導入予定（設備情報）'!$H$1,MATCH(G40,'4.1(2)新規再エネ導入予定（設備情報）'!$G:$G,0)-1,0)&amp;"","")</f>
        <v/>
      </c>
      <c r="I40" s="509" t="str">
        <f ca="1">IFERROR(OFFSET('4.1(2)新規再エネ導入予定（設備情報）'!$L$1,MATCH(G40,'4.1(2)新規再エネ導入予定（設備情報）'!$G:$G,0)-1,0),"")</f>
        <v/>
      </c>
      <c r="J40" s="510" t="str">
        <f ca="1">IFERROR(OFFSET('4.1(2)新規再エネ導入予定（設備情報）'!$O$1,MATCH(G40,'4.1(2)新規再エネ導入予定（設備情報）'!$G:$G,0)-1,0),"")</f>
        <v/>
      </c>
      <c r="K40" s="511" t="str">
        <f ca="1">IFERROR(OFFSET('4.1(2)新規再エネ導入予定（設備情報）'!$P$1,MATCH(G40,'4.1(2)新規再エネ導入予定（設備情報）'!$G:$G,0)-1,0),"")</f>
        <v/>
      </c>
      <c r="L40" s="489"/>
      <c r="M40" s="489"/>
      <c r="N40" s="489"/>
      <c r="O40" s="486"/>
      <c r="P40" s="24"/>
      <c r="Q40" s="21"/>
      <c r="R40" s="433">
        <f t="shared" si="1"/>
        <v>33</v>
      </c>
      <c r="S40" s="127">
        <f t="shared" si="2"/>
        <v>0</v>
      </c>
      <c r="T40" s="127" t="str">
        <f ca="1">_xlfn.IFNA(OFFSET('(非表示)新規再エネ実現可能性判定'!$C$1,MATCH(M40,'(非表示)新規再エネ実現可能性判定'!$B:$B,0)-1,0),"//")</f>
        <v>//</v>
      </c>
      <c r="U40" s="257" t="str">
        <f ca="1">_xlfn.IFNA(OFFSET('(非表示)新規再エネ実現可能性判定'!$F$1,MATCH(N40,'(非表示)新規再エネ実現可能性判定'!$E:$E,0)-1,0),"//")</f>
        <v>//</v>
      </c>
      <c r="V40" s="257" t="str">
        <f ca="1">_xlfn.IFNA(OFFSET('(非表示)新規再エネ実現可能性判定'!$I$1,MATCH(O40,'(非表示)新規再エネ実現可能性判定'!$H:$H,0)-1,0),"//")</f>
        <v>//</v>
      </c>
      <c r="W40" s="257" t="str">
        <f t="shared" si="4"/>
        <v/>
      </c>
    </row>
    <row r="41" spans="2:23" s="11" customFormat="1" ht="20">
      <c r="B41" s="21"/>
      <c r="C41" s="21"/>
      <c r="D41" s="36"/>
      <c r="E41" s="126"/>
      <c r="F41" s="504" t="str">
        <f ca="1">IFERROR(OFFSET('4.1(2)新規再エネ導入予定（設備情報）'!$F$1,MATCH(G41,'4.1(2)新規再エネ導入予定（設備情報）'!$G:$G,0)-1,0),"")</f>
        <v/>
      </c>
      <c r="G41" s="512"/>
      <c r="H41" s="508" t="str">
        <f ca="1">IFERROR(OFFSET('4.1(2)新規再エネ導入予定（設備情報）'!$H$1,MATCH(G41,'4.1(2)新規再エネ導入予定（設備情報）'!$G:$G,0)-1,0)&amp;"","")</f>
        <v/>
      </c>
      <c r="I41" s="509" t="str">
        <f ca="1">IFERROR(OFFSET('4.1(2)新規再エネ導入予定（設備情報）'!$L$1,MATCH(G41,'4.1(2)新規再エネ導入予定（設備情報）'!$G:$G,0)-1,0),"")</f>
        <v/>
      </c>
      <c r="J41" s="510" t="str">
        <f ca="1">IFERROR(OFFSET('4.1(2)新規再エネ導入予定（設備情報）'!$O$1,MATCH(G41,'4.1(2)新規再エネ導入予定（設備情報）'!$G:$G,0)-1,0),"")</f>
        <v/>
      </c>
      <c r="K41" s="511" t="str">
        <f ca="1">IFERROR(OFFSET('4.1(2)新規再エネ導入予定（設備情報）'!$P$1,MATCH(G41,'4.1(2)新規再エネ導入予定（設備情報）'!$G:$G,0)-1,0),"")</f>
        <v/>
      </c>
      <c r="L41" s="489"/>
      <c r="M41" s="489"/>
      <c r="N41" s="489"/>
      <c r="O41" s="486"/>
      <c r="P41" s="24"/>
      <c r="Q41" s="21"/>
      <c r="R41" s="433">
        <f t="shared" si="1"/>
        <v>34</v>
      </c>
      <c r="S41" s="127">
        <f t="shared" si="2"/>
        <v>0</v>
      </c>
      <c r="T41" s="127" t="str">
        <f ca="1">_xlfn.IFNA(OFFSET('(非表示)新規再エネ実現可能性判定'!$C$1,MATCH(M41,'(非表示)新規再エネ実現可能性判定'!$B:$B,0)-1,0),"//")</f>
        <v>//</v>
      </c>
      <c r="U41" s="257" t="str">
        <f ca="1">_xlfn.IFNA(OFFSET('(非表示)新規再エネ実現可能性判定'!$F$1,MATCH(N41,'(非表示)新規再エネ実現可能性判定'!$E:$E,0)-1,0),"//")</f>
        <v>//</v>
      </c>
      <c r="V41" s="257" t="str">
        <f ca="1">_xlfn.IFNA(OFFSET('(非表示)新規再エネ実現可能性判定'!$I$1,MATCH(O41,'(非表示)新規再エネ実現可能性判定'!$H:$H,0)-1,0),"//")</f>
        <v>//</v>
      </c>
      <c r="W41" s="257" t="str">
        <f t="shared" si="4"/>
        <v/>
      </c>
    </row>
    <row r="42" spans="2:23" s="11" customFormat="1" ht="20">
      <c r="B42" s="21"/>
      <c r="C42" s="21"/>
      <c r="D42" s="36"/>
      <c r="E42" s="126"/>
      <c r="F42" s="504" t="str">
        <f ca="1">IFERROR(OFFSET('4.1(2)新規再エネ導入予定（設備情報）'!$F$1,MATCH(G42,'4.1(2)新規再エネ導入予定（設備情報）'!$G:$G,0)-1,0),"")</f>
        <v/>
      </c>
      <c r="G42" s="512"/>
      <c r="H42" s="508" t="str">
        <f ca="1">IFERROR(OFFSET('4.1(2)新規再エネ導入予定（設備情報）'!$H$1,MATCH(G42,'4.1(2)新規再エネ導入予定（設備情報）'!$G:$G,0)-1,0)&amp;"","")</f>
        <v/>
      </c>
      <c r="I42" s="509" t="str">
        <f ca="1">IFERROR(OFFSET('4.1(2)新規再エネ導入予定（設備情報）'!$L$1,MATCH(G42,'4.1(2)新規再エネ導入予定（設備情報）'!$G:$G,0)-1,0),"")</f>
        <v/>
      </c>
      <c r="J42" s="510" t="str">
        <f ca="1">IFERROR(OFFSET('4.1(2)新規再エネ導入予定（設備情報）'!$O$1,MATCH(G42,'4.1(2)新規再エネ導入予定（設備情報）'!$G:$G,0)-1,0),"")</f>
        <v/>
      </c>
      <c r="K42" s="511" t="str">
        <f ca="1">IFERROR(OFFSET('4.1(2)新規再エネ導入予定（設備情報）'!$P$1,MATCH(G42,'4.1(2)新規再エネ導入予定（設備情報）'!$G:$G,0)-1,0),"")</f>
        <v/>
      </c>
      <c r="L42" s="489"/>
      <c r="M42" s="489"/>
      <c r="N42" s="489"/>
      <c r="O42" s="486"/>
      <c r="P42" s="24"/>
      <c r="Q42" s="21"/>
      <c r="R42" s="433">
        <f t="shared" si="1"/>
        <v>35</v>
      </c>
      <c r="S42" s="127">
        <f t="shared" si="2"/>
        <v>0</v>
      </c>
      <c r="T42" s="127" t="str">
        <f ca="1">_xlfn.IFNA(OFFSET('(非表示)新規再エネ実現可能性判定'!$C$1,MATCH(M42,'(非表示)新規再エネ実現可能性判定'!$B:$B,0)-1,0),"//")</f>
        <v>//</v>
      </c>
      <c r="U42" s="257" t="str">
        <f ca="1">_xlfn.IFNA(OFFSET('(非表示)新規再エネ実現可能性判定'!$F$1,MATCH(N42,'(非表示)新規再エネ実現可能性判定'!$E:$E,0)-1,0),"//")</f>
        <v>//</v>
      </c>
      <c r="V42" s="257" t="str">
        <f ca="1">_xlfn.IFNA(OFFSET('(非表示)新規再エネ実現可能性判定'!$I$1,MATCH(O42,'(非表示)新規再エネ実現可能性判定'!$H:$H,0)-1,0),"//")</f>
        <v>//</v>
      </c>
      <c r="W42" s="257" t="str">
        <f t="shared" si="4"/>
        <v/>
      </c>
    </row>
    <row r="43" spans="2:23" s="11" customFormat="1" ht="20">
      <c r="B43" s="21"/>
      <c r="C43" s="21"/>
      <c r="D43" s="36"/>
      <c r="E43" s="126"/>
      <c r="F43" s="504" t="str">
        <f ca="1">IFERROR(OFFSET('4.1(2)新規再エネ導入予定（設備情報）'!$F$1,MATCH(G43,'4.1(2)新規再エネ導入予定（設備情報）'!$G:$G,0)-1,0),"")</f>
        <v/>
      </c>
      <c r="G43" s="512"/>
      <c r="H43" s="508" t="str">
        <f ca="1">IFERROR(OFFSET('4.1(2)新規再エネ導入予定（設備情報）'!$H$1,MATCH(G43,'4.1(2)新規再エネ導入予定（設備情報）'!$G:$G,0)-1,0)&amp;"","")</f>
        <v/>
      </c>
      <c r="I43" s="509" t="str">
        <f ca="1">IFERROR(OFFSET('4.1(2)新規再エネ導入予定（設備情報）'!$L$1,MATCH(G43,'4.1(2)新規再エネ導入予定（設備情報）'!$G:$G,0)-1,0),"")</f>
        <v/>
      </c>
      <c r="J43" s="510" t="str">
        <f ca="1">IFERROR(OFFSET('4.1(2)新規再エネ導入予定（設備情報）'!$O$1,MATCH(G43,'4.1(2)新規再エネ導入予定（設備情報）'!$G:$G,0)-1,0),"")</f>
        <v/>
      </c>
      <c r="K43" s="511" t="str">
        <f ca="1">IFERROR(OFFSET('4.1(2)新規再エネ導入予定（設備情報）'!$P$1,MATCH(G43,'4.1(2)新規再エネ導入予定（設備情報）'!$G:$G,0)-1,0),"")</f>
        <v/>
      </c>
      <c r="L43" s="489"/>
      <c r="M43" s="489"/>
      <c r="N43" s="489"/>
      <c r="O43" s="486"/>
      <c r="P43" s="24"/>
      <c r="Q43" s="21"/>
      <c r="R43" s="433">
        <f t="shared" si="1"/>
        <v>36</v>
      </c>
      <c r="S43" s="127">
        <f t="shared" si="2"/>
        <v>0</v>
      </c>
      <c r="T43" s="127" t="str">
        <f ca="1">_xlfn.IFNA(OFFSET('(非表示)新規再エネ実現可能性判定'!$C$1,MATCH(M43,'(非表示)新規再エネ実現可能性判定'!$B:$B,0)-1,0),"//")</f>
        <v>//</v>
      </c>
      <c r="U43" s="257" t="str">
        <f ca="1">_xlfn.IFNA(OFFSET('(非表示)新規再エネ実現可能性判定'!$F$1,MATCH(N43,'(非表示)新規再エネ実現可能性判定'!$E:$E,0)-1,0),"//")</f>
        <v>//</v>
      </c>
      <c r="V43" s="257" t="str">
        <f ca="1">_xlfn.IFNA(OFFSET('(非表示)新規再エネ実現可能性判定'!$I$1,MATCH(O43,'(非表示)新規再エネ実現可能性判定'!$H:$H,0)-1,0),"//")</f>
        <v>//</v>
      </c>
      <c r="W43" s="257" t="str">
        <f t="shared" si="4"/>
        <v/>
      </c>
    </row>
    <row r="44" spans="2:23" ht="17.25" customHeight="1">
      <c r="D44" s="190"/>
      <c r="E44" s="192" t="s">
        <v>20</v>
      </c>
      <c r="F44" s="515"/>
      <c r="G44" s="477"/>
      <c r="H44" s="478"/>
      <c r="I44" s="479"/>
      <c r="J44" s="480"/>
      <c r="K44" s="481"/>
      <c r="L44" s="712"/>
      <c r="M44" s="712"/>
      <c r="N44" s="712"/>
      <c r="O44" s="713"/>
      <c r="P44" s="19"/>
      <c r="R44" s="425">
        <f t="shared" si="1"/>
        <v>37</v>
      </c>
      <c r="S44" s="224">
        <f t="shared" si="2"/>
        <v>0</v>
      </c>
      <c r="T44" s="224" t="str">
        <f ca="1">_xlfn.IFNA(OFFSET('(非表示)新規再エネ実現可能性判定'!$C$1,MATCH(M44,'(非表示)新規再エネ実現可能性判定'!$B:$B,0)-1,0),"//")</f>
        <v>//</v>
      </c>
      <c r="U44" s="177" t="str">
        <f ca="1">_xlfn.IFNA(OFFSET('(非表示)新規再エネ実現可能性判定'!$F$1,MATCH(N44,'(非表示)新規再エネ実現可能性判定'!$E:$E,0)-1,0),"//")</f>
        <v>//</v>
      </c>
      <c r="V44" s="177" t="str">
        <f ca="1">_xlfn.IFNA(OFFSET('(非表示)新規再エネ実現可能性判定'!$I$1,MATCH(O44,'(非表示)新規再エネ実現可能性判定'!$H:$H,0)-1,0),"//")</f>
        <v>//</v>
      </c>
      <c r="W44" s="177" t="str">
        <f t="shared" si="4"/>
        <v/>
      </c>
    </row>
    <row r="45" spans="2:23" s="11" customFormat="1" ht="19.5" hidden="1" customHeight="1">
      <c r="B45" s="21"/>
      <c r="C45" s="21"/>
      <c r="D45" s="36"/>
      <c r="E45" s="126"/>
      <c r="F45" s="491"/>
      <c r="G45" s="482"/>
      <c r="H45" s="498"/>
      <c r="I45" s="505"/>
      <c r="J45" s="506"/>
      <c r="K45" s="507"/>
      <c r="L45" s="513"/>
      <c r="M45" s="513"/>
      <c r="N45" s="513"/>
      <c r="O45" s="514"/>
      <c r="P45" s="24"/>
      <c r="Q45" s="21"/>
      <c r="R45" s="433">
        <f t="shared" si="1"/>
        <v>38</v>
      </c>
      <c r="S45" s="127">
        <f t="shared" si="2"/>
        <v>0</v>
      </c>
      <c r="T45" s="127" t="str">
        <f ca="1">_xlfn.IFNA(OFFSET('(非表示)新規再エネ実現可能性判定'!$C$1,MATCH(M45,'(非表示)新規再エネ実現可能性判定'!$B:$B,0)-1,0),"//")</f>
        <v>//</v>
      </c>
      <c r="U45" s="257" t="str">
        <f ca="1">_xlfn.IFNA(OFFSET('(非表示)新規再エネ実現可能性判定'!$F$1,MATCH(N45,'(非表示)新規再エネ実現可能性判定'!$E:$E,0)-1,0),"//")</f>
        <v>//</v>
      </c>
      <c r="V45" s="257" t="str">
        <f ca="1">_xlfn.IFNA(OFFSET('(非表示)新規再エネ実現可能性判定'!$I$1,MATCH(O45,'(非表示)新規再エネ実現可能性判定'!$H:$H,0)-1,0),"//")</f>
        <v>//</v>
      </c>
      <c r="W45" s="257" t="str">
        <f t="shared" si="4"/>
        <v/>
      </c>
    </row>
    <row r="46" spans="2:23" s="11" customFormat="1" ht="20">
      <c r="B46" s="21"/>
      <c r="C46" s="21"/>
      <c r="D46" s="36"/>
      <c r="E46" s="126"/>
      <c r="F46" s="504" t="str">
        <f ca="1">IFERROR(OFFSET('4.1(2)新規再エネ導入予定（設備情報）'!$F$1,MATCH(G46,'4.1(2)新規再エネ導入予定（設備情報）'!$G:$G,0)-1,0),"")</f>
        <v/>
      </c>
      <c r="G46" s="512"/>
      <c r="H46" s="508" t="str">
        <f ca="1">IFERROR(OFFSET('4.1(2)新規再エネ導入予定（設備情報）'!$H$1,MATCH(G46,'4.1(2)新規再エネ導入予定（設備情報）'!$G:$G,0)-1,0)&amp;"","")</f>
        <v/>
      </c>
      <c r="I46" s="509" t="str">
        <f ca="1">IFERROR(OFFSET('4.1(2)新規再エネ導入予定（設備情報）'!$L$1,MATCH(G46,'4.1(2)新規再エネ導入予定（設備情報）'!$G:$G,0)-1,0),"")</f>
        <v/>
      </c>
      <c r="J46" s="510" t="str">
        <f ca="1">IFERROR(OFFSET('4.1(2)新規再エネ導入予定（設備情報）'!$O$1,MATCH(G46,'4.1(2)新規再エネ導入予定（設備情報）'!$G:$G,0)-1,0),"")</f>
        <v/>
      </c>
      <c r="K46" s="511" t="str">
        <f ca="1">IFERROR(OFFSET('4.1(2)新規再エネ導入予定（設備情報）'!$P$1,MATCH(G46,'4.1(2)新規再エネ導入予定（設備情報）'!$G:$G,0)-1,0),"")</f>
        <v/>
      </c>
      <c r="L46" s="489"/>
      <c r="M46" s="489"/>
      <c r="N46" s="489"/>
      <c r="O46" s="486"/>
      <c r="P46" s="24"/>
      <c r="Q46" s="21"/>
      <c r="R46" s="433">
        <f t="shared" si="1"/>
        <v>39</v>
      </c>
      <c r="S46" s="127">
        <f t="shared" si="2"/>
        <v>0</v>
      </c>
      <c r="T46" s="127" t="str">
        <f ca="1">_xlfn.IFNA(OFFSET('(非表示)新規再エネ実現可能性判定'!$C$1,MATCH(M46,'(非表示)新規再エネ実現可能性判定'!$B:$B,0)-1,0),"//")</f>
        <v>//</v>
      </c>
      <c r="U46" s="257" t="str">
        <f ca="1">_xlfn.IFNA(OFFSET('(非表示)新規再エネ実現可能性判定'!$F$1,MATCH(N46,'(非表示)新規再エネ実現可能性判定'!$E:$E,0)-1,0),"//")</f>
        <v>//</v>
      </c>
      <c r="V46" s="257" t="str">
        <f ca="1">_xlfn.IFNA(OFFSET('(非表示)新規再エネ実現可能性判定'!$I$1,MATCH(O46,'(非表示)新規再エネ実現可能性判定'!$H:$H,0)-1,0),"//")</f>
        <v>//</v>
      </c>
      <c r="W46" s="257" t="str">
        <f t="shared" si="4"/>
        <v/>
      </c>
    </row>
    <row r="47" spans="2:23" s="11" customFormat="1" ht="20">
      <c r="B47" s="21"/>
      <c r="C47" s="21"/>
      <c r="D47" s="36"/>
      <c r="E47" s="126"/>
      <c r="F47" s="504" t="str">
        <f ca="1">IFERROR(OFFSET('4.1(2)新規再エネ導入予定（設備情報）'!$F$1,MATCH(G47,'4.1(2)新規再エネ導入予定（設備情報）'!$G:$G,0)-1,0),"")</f>
        <v/>
      </c>
      <c r="G47" s="512"/>
      <c r="H47" s="508" t="str">
        <f ca="1">IFERROR(OFFSET('4.1(2)新規再エネ導入予定（設備情報）'!$H$1,MATCH(G47,'4.1(2)新規再エネ導入予定（設備情報）'!$G:$G,0)-1,0)&amp;"","")</f>
        <v/>
      </c>
      <c r="I47" s="509" t="str">
        <f ca="1">IFERROR(OFFSET('4.1(2)新規再エネ導入予定（設備情報）'!$L$1,MATCH(G47,'4.1(2)新規再エネ導入予定（設備情報）'!$G:$G,0)-1,0),"")</f>
        <v/>
      </c>
      <c r="J47" s="510" t="str">
        <f ca="1">IFERROR(OFFSET('4.1(2)新規再エネ導入予定（設備情報）'!$O$1,MATCH(G47,'4.1(2)新規再エネ導入予定（設備情報）'!$G:$G,0)-1,0),"")</f>
        <v/>
      </c>
      <c r="K47" s="511" t="str">
        <f ca="1">IFERROR(OFFSET('4.1(2)新規再エネ導入予定（設備情報）'!$P$1,MATCH(G47,'4.1(2)新規再エネ導入予定（設備情報）'!$G:$G,0)-1,0),"")</f>
        <v/>
      </c>
      <c r="L47" s="489"/>
      <c r="M47" s="489"/>
      <c r="N47" s="489"/>
      <c r="O47" s="486"/>
      <c r="P47" s="24"/>
      <c r="Q47" s="21"/>
      <c r="R47" s="433">
        <f t="shared" si="1"/>
        <v>40</v>
      </c>
      <c r="S47" s="127">
        <f t="shared" si="2"/>
        <v>0</v>
      </c>
      <c r="T47" s="127" t="str">
        <f ca="1">_xlfn.IFNA(OFFSET('(非表示)新規再エネ実現可能性判定'!$C$1,MATCH(M47,'(非表示)新規再エネ実現可能性判定'!$B:$B,0)-1,0),"//")</f>
        <v>//</v>
      </c>
      <c r="U47" s="257" t="str">
        <f ca="1">_xlfn.IFNA(OFFSET('(非表示)新規再エネ実現可能性判定'!$F$1,MATCH(N47,'(非表示)新規再エネ実現可能性判定'!$E:$E,0)-1,0),"//")</f>
        <v>//</v>
      </c>
      <c r="V47" s="257" t="str">
        <f ca="1">_xlfn.IFNA(OFFSET('(非表示)新規再エネ実現可能性判定'!$I$1,MATCH(O47,'(非表示)新規再エネ実現可能性判定'!$H:$H,0)-1,0),"//")</f>
        <v>//</v>
      </c>
      <c r="W47" s="257" t="str">
        <f t="shared" si="4"/>
        <v/>
      </c>
    </row>
    <row r="48" spans="2:23" s="11" customFormat="1" ht="20">
      <c r="B48" s="21"/>
      <c r="C48" s="21"/>
      <c r="D48" s="36"/>
      <c r="E48" s="126"/>
      <c r="F48" s="504" t="str">
        <f ca="1">IFERROR(OFFSET('4.1(2)新規再エネ導入予定（設備情報）'!$F$1,MATCH(G48,'4.1(2)新規再エネ導入予定（設備情報）'!$G:$G,0)-1,0),"")</f>
        <v/>
      </c>
      <c r="G48" s="512"/>
      <c r="H48" s="508" t="str">
        <f ca="1">IFERROR(OFFSET('4.1(2)新規再エネ導入予定（設備情報）'!$H$1,MATCH(G48,'4.1(2)新規再エネ導入予定（設備情報）'!$G:$G,0)-1,0)&amp;"","")</f>
        <v/>
      </c>
      <c r="I48" s="509" t="str">
        <f ca="1">IFERROR(OFFSET('4.1(2)新規再エネ導入予定（設備情報）'!$L$1,MATCH(G48,'4.1(2)新規再エネ導入予定（設備情報）'!$G:$G,0)-1,0),"")</f>
        <v/>
      </c>
      <c r="J48" s="510" t="str">
        <f ca="1">IFERROR(OFFSET('4.1(2)新規再エネ導入予定（設備情報）'!$O$1,MATCH(G48,'4.1(2)新規再エネ導入予定（設備情報）'!$G:$G,0)-1,0),"")</f>
        <v/>
      </c>
      <c r="K48" s="511" t="str">
        <f ca="1">IFERROR(OFFSET('4.1(2)新規再エネ導入予定（設備情報）'!$P$1,MATCH(G48,'4.1(2)新規再エネ導入予定（設備情報）'!$G:$G,0)-1,0),"")</f>
        <v/>
      </c>
      <c r="L48" s="489"/>
      <c r="M48" s="489"/>
      <c r="N48" s="489"/>
      <c r="O48" s="486"/>
      <c r="P48" s="24"/>
      <c r="Q48" s="21"/>
      <c r="R48" s="433">
        <f t="shared" si="1"/>
        <v>41</v>
      </c>
      <c r="S48" s="127">
        <f t="shared" si="2"/>
        <v>0</v>
      </c>
      <c r="T48" s="127" t="str">
        <f ca="1">_xlfn.IFNA(OFFSET('(非表示)新規再エネ実現可能性判定'!$C$1,MATCH(M48,'(非表示)新規再エネ実現可能性判定'!$B:$B,0)-1,0),"//")</f>
        <v>//</v>
      </c>
      <c r="U48" s="257" t="str">
        <f ca="1">_xlfn.IFNA(OFFSET('(非表示)新規再エネ実現可能性判定'!$F$1,MATCH(N48,'(非表示)新規再エネ実現可能性判定'!$E:$E,0)-1,0),"//")</f>
        <v>//</v>
      </c>
      <c r="V48" s="257" t="str">
        <f ca="1">_xlfn.IFNA(OFFSET('(非表示)新規再エネ実現可能性判定'!$I$1,MATCH(O48,'(非表示)新規再エネ実現可能性判定'!$H:$H,0)-1,0),"//")</f>
        <v>//</v>
      </c>
      <c r="W48" s="257" t="str">
        <f t="shared" si="4"/>
        <v/>
      </c>
    </row>
    <row r="49" spans="2:23" s="11" customFormat="1" ht="20">
      <c r="B49" s="21"/>
      <c r="C49" s="21"/>
      <c r="D49" s="36"/>
      <c r="E49" s="126"/>
      <c r="F49" s="504" t="str">
        <f ca="1">IFERROR(OFFSET('4.1(2)新規再エネ導入予定（設備情報）'!$F$1,MATCH(G49,'4.1(2)新規再エネ導入予定（設備情報）'!$G:$G,0)-1,0),"")</f>
        <v/>
      </c>
      <c r="G49" s="512"/>
      <c r="H49" s="508" t="str">
        <f ca="1">IFERROR(OFFSET('4.1(2)新規再エネ導入予定（設備情報）'!$H$1,MATCH(G49,'4.1(2)新規再エネ導入予定（設備情報）'!$G:$G,0)-1,0)&amp;"","")</f>
        <v/>
      </c>
      <c r="I49" s="509" t="str">
        <f ca="1">IFERROR(OFFSET('4.1(2)新規再エネ導入予定（設備情報）'!$L$1,MATCH(G49,'4.1(2)新規再エネ導入予定（設備情報）'!$G:$G,0)-1,0),"")</f>
        <v/>
      </c>
      <c r="J49" s="510" t="str">
        <f ca="1">IFERROR(OFFSET('4.1(2)新規再エネ導入予定（設備情報）'!$O$1,MATCH(G49,'4.1(2)新規再エネ導入予定（設備情報）'!$G:$G,0)-1,0),"")</f>
        <v/>
      </c>
      <c r="K49" s="511" t="str">
        <f ca="1">IFERROR(OFFSET('4.1(2)新規再エネ導入予定（設備情報）'!$P$1,MATCH(G49,'4.1(2)新規再エネ導入予定（設備情報）'!$G:$G,0)-1,0),"")</f>
        <v/>
      </c>
      <c r="L49" s="489"/>
      <c r="M49" s="489"/>
      <c r="N49" s="489"/>
      <c r="O49" s="486"/>
      <c r="P49" s="24"/>
      <c r="Q49" s="21"/>
      <c r="R49" s="433">
        <f t="shared" si="1"/>
        <v>42</v>
      </c>
      <c r="S49" s="127">
        <f t="shared" si="2"/>
        <v>0</v>
      </c>
      <c r="T49" s="127" t="str">
        <f ca="1">_xlfn.IFNA(OFFSET('(非表示)新規再エネ実現可能性判定'!$C$1,MATCH(M49,'(非表示)新規再エネ実現可能性判定'!$B:$B,0)-1,0),"//")</f>
        <v>//</v>
      </c>
      <c r="U49" s="257" t="str">
        <f ca="1">_xlfn.IFNA(OFFSET('(非表示)新規再エネ実現可能性判定'!$F$1,MATCH(N49,'(非表示)新規再エネ実現可能性判定'!$E:$E,0)-1,0),"//")</f>
        <v>//</v>
      </c>
      <c r="V49" s="257" t="str">
        <f ca="1">_xlfn.IFNA(OFFSET('(非表示)新規再エネ実現可能性判定'!$I$1,MATCH(O49,'(非表示)新規再エネ実現可能性判定'!$H:$H,0)-1,0),"//")</f>
        <v>//</v>
      </c>
      <c r="W49" s="257" t="str">
        <f t="shared" si="4"/>
        <v/>
      </c>
    </row>
    <row r="50" spans="2:23" ht="20">
      <c r="D50" s="190"/>
      <c r="E50" s="192" t="s">
        <v>21</v>
      </c>
      <c r="F50" s="515"/>
      <c r="G50" s="477"/>
      <c r="H50" s="478"/>
      <c r="I50" s="479"/>
      <c r="J50" s="480"/>
      <c r="K50" s="481"/>
      <c r="L50" s="712"/>
      <c r="M50" s="712"/>
      <c r="N50" s="712"/>
      <c r="O50" s="713"/>
      <c r="P50" s="19"/>
      <c r="R50" s="425">
        <f t="shared" si="1"/>
        <v>43</v>
      </c>
      <c r="S50" s="224">
        <f t="shared" si="2"/>
        <v>0</v>
      </c>
      <c r="T50" s="224" t="str">
        <f ca="1">_xlfn.IFNA(OFFSET('(非表示)新規再エネ実現可能性判定'!$C$1,MATCH(M50,'(非表示)新規再エネ実現可能性判定'!$B:$B,0)-1,0),"//")</f>
        <v>//</v>
      </c>
      <c r="U50" s="177" t="str">
        <f ca="1">_xlfn.IFNA(OFFSET('(非表示)新規再エネ実現可能性判定'!$F$1,MATCH(N50,'(非表示)新規再エネ実現可能性判定'!$E:$E,0)-1,0),"//")</f>
        <v>//</v>
      </c>
      <c r="V50" s="177" t="str">
        <f ca="1">_xlfn.IFNA(OFFSET('(非表示)新規再エネ実現可能性判定'!$I$1,MATCH(O50,'(非表示)新規再エネ実現可能性判定'!$H:$H,0)-1,0),"//")</f>
        <v>//</v>
      </c>
      <c r="W50" s="177" t="str">
        <f t="shared" si="4"/>
        <v/>
      </c>
    </row>
    <row r="51" spans="2:23" s="11" customFormat="1" ht="19.5" hidden="1" customHeight="1">
      <c r="B51" s="21"/>
      <c r="C51" s="21"/>
      <c r="D51" s="36"/>
      <c r="E51" s="126"/>
      <c r="F51" s="491"/>
      <c r="G51" s="482"/>
      <c r="H51" s="498"/>
      <c r="I51" s="505"/>
      <c r="J51" s="506"/>
      <c r="K51" s="507"/>
      <c r="L51" s="513"/>
      <c r="M51" s="513"/>
      <c r="N51" s="513"/>
      <c r="O51" s="514"/>
      <c r="P51" s="24"/>
      <c r="Q51" s="21"/>
      <c r="R51" s="433">
        <f t="shared" si="1"/>
        <v>44</v>
      </c>
      <c r="S51" s="127">
        <f t="shared" si="2"/>
        <v>0</v>
      </c>
      <c r="T51" s="127" t="str">
        <f ca="1">_xlfn.IFNA(OFFSET('(非表示)新規再エネ実現可能性判定'!$C$1,MATCH(M51,'(非表示)新規再エネ実現可能性判定'!$B:$B,0)-1,0),"//")</f>
        <v>//</v>
      </c>
      <c r="U51" s="257" t="str">
        <f ca="1">_xlfn.IFNA(OFFSET('(非表示)新規再エネ実現可能性判定'!$F$1,MATCH(N51,'(非表示)新規再エネ実現可能性判定'!$E:$E,0)-1,0),"//")</f>
        <v>//</v>
      </c>
      <c r="V51" s="257" t="str">
        <f ca="1">_xlfn.IFNA(OFFSET('(非表示)新規再エネ実現可能性判定'!$I$1,MATCH(O51,'(非表示)新規再エネ実現可能性判定'!$H:$H,0)-1,0),"//")</f>
        <v>//</v>
      </c>
      <c r="W51" s="257" t="str">
        <f t="shared" si="4"/>
        <v/>
      </c>
    </row>
    <row r="52" spans="2:23" s="11" customFormat="1" ht="20">
      <c r="B52" s="21"/>
      <c r="C52" s="21"/>
      <c r="D52" s="36"/>
      <c r="E52" s="126"/>
      <c r="F52" s="504" t="str">
        <f ca="1">IFERROR(OFFSET('4.1(2)新規再エネ導入予定（設備情報）'!$F$1,MATCH(G52,'4.1(2)新規再エネ導入予定（設備情報）'!$G:$G,0)-1,0),"")</f>
        <v/>
      </c>
      <c r="G52" s="512"/>
      <c r="H52" s="508" t="str">
        <f ca="1">IFERROR(OFFSET('4.1(2)新規再エネ導入予定（設備情報）'!$H$1,MATCH(G52,'4.1(2)新規再エネ導入予定（設備情報）'!$G:$G,0)-1,0)&amp;"","")</f>
        <v/>
      </c>
      <c r="I52" s="509" t="str">
        <f ca="1">IFERROR(OFFSET('4.1(2)新規再エネ導入予定（設備情報）'!$L$1,MATCH(G52,'4.1(2)新規再エネ導入予定（設備情報）'!$G:$G,0)-1,0),"")</f>
        <v/>
      </c>
      <c r="J52" s="510" t="str">
        <f ca="1">IFERROR(OFFSET('4.1(2)新規再エネ導入予定（設備情報）'!$O$1,MATCH(G52,'4.1(2)新規再エネ導入予定（設備情報）'!$G:$G,0)-1,0),"")</f>
        <v/>
      </c>
      <c r="K52" s="511" t="str">
        <f ca="1">IFERROR(OFFSET('4.1(2)新規再エネ導入予定（設備情報）'!$P$1,MATCH(G52,'4.1(2)新規再エネ導入予定（設備情報）'!$G:$G,0)-1,0),"")</f>
        <v/>
      </c>
      <c r="L52" s="489"/>
      <c r="M52" s="489"/>
      <c r="N52" s="489"/>
      <c r="O52" s="486"/>
      <c r="P52" s="24"/>
      <c r="Q52" s="21"/>
      <c r="R52" s="433">
        <f t="shared" si="1"/>
        <v>45</v>
      </c>
      <c r="S52" s="127">
        <f t="shared" si="2"/>
        <v>0</v>
      </c>
      <c r="T52" s="127" t="str">
        <f ca="1">_xlfn.IFNA(OFFSET('(非表示)新規再エネ実現可能性判定'!$C$1,MATCH(M52,'(非表示)新規再エネ実現可能性判定'!$B:$B,0)-1,0),"//")</f>
        <v>//</v>
      </c>
      <c r="U52" s="257" t="str">
        <f ca="1">_xlfn.IFNA(OFFSET('(非表示)新規再エネ実現可能性判定'!$F$1,MATCH(N52,'(非表示)新規再エネ実現可能性判定'!$E:$E,0)-1,0),"//")</f>
        <v>//</v>
      </c>
      <c r="V52" s="257" t="str">
        <f ca="1">_xlfn.IFNA(OFFSET('(非表示)新規再エネ実現可能性判定'!$I$1,MATCH(O52,'(非表示)新規再エネ実現可能性判定'!$H:$H,0)-1,0),"//")</f>
        <v>//</v>
      </c>
      <c r="W52" s="257" t="str">
        <f t="shared" si="4"/>
        <v/>
      </c>
    </row>
    <row r="53" spans="2:23" s="11" customFormat="1" ht="20">
      <c r="B53" s="21"/>
      <c r="C53" s="21"/>
      <c r="D53" s="36"/>
      <c r="E53" s="126"/>
      <c r="F53" s="504" t="str">
        <f ca="1">IFERROR(OFFSET('4.1(2)新規再エネ導入予定（設備情報）'!$F$1,MATCH(G53,'4.1(2)新規再エネ導入予定（設備情報）'!$G:$G,0)-1,0),"")</f>
        <v/>
      </c>
      <c r="G53" s="512"/>
      <c r="H53" s="508" t="str">
        <f ca="1">IFERROR(OFFSET('4.1(2)新規再エネ導入予定（設備情報）'!$H$1,MATCH(G53,'4.1(2)新規再エネ導入予定（設備情報）'!$G:$G,0)-1,0)&amp;"","")</f>
        <v/>
      </c>
      <c r="I53" s="509" t="str">
        <f ca="1">IFERROR(OFFSET('4.1(2)新規再エネ導入予定（設備情報）'!$L$1,MATCH(G53,'4.1(2)新規再エネ導入予定（設備情報）'!$G:$G,0)-1,0),"")</f>
        <v/>
      </c>
      <c r="J53" s="510" t="str">
        <f ca="1">IFERROR(OFFSET('4.1(2)新規再エネ導入予定（設備情報）'!$O$1,MATCH(G53,'4.1(2)新規再エネ導入予定（設備情報）'!$G:$G,0)-1,0),"")</f>
        <v/>
      </c>
      <c r="K53" s="511" t="str">
        <f ca="1">IFERROR(OFFSET('4.1(2)新規再エネ導入予定（設備情報）'!$P$1,MATCH(G53,'4.1(2)新規再エネ導入予定（設備情報）'!$G:$G,0)-1,0),"")</f>
        <v/>
      </c>
      <c r="L53" s="489"/>
      <c r="M53" s="489"/>
      <c r="N53" s="489"/>
      <c r="O53" s="486"/>
      <c r="P53" s="24"/>
      <c r="Q53" s="21"/>
      <c r="R53" s="433">
        <f t="shared" si="1"/>
        <v>46</v>
      </c>
      <c r="S53" s="127">
        <f t="shared" si="2"/>
        <v>0</v>
      </c>
      <c r="T53" s="127" t="str">
        <f ca="1">_xlfn.IFNA(OFFSET('(非表示)新規再エネ実現可能性判定'!$C$1,MATCH(M53,'(非表示)新規再エネ実現可能性判定'!$B:$B,0)-1,0),"//")</f>
        <v>//</v>
      </c>
      <c r="U53" s="257" t="str">
        <f ca="1">_xlfn.IFNA(OFFSET('(非表示)新規再エネ実現可能性判定'!$F$1,MATCH(N53,'(非表示)新規再エネ実現可能性判定'!$E:$E,0)-1,0),"//")</f>
        <v>//</v>
      </c>
      <c r="V53" s="257" t="str">
        <f ca="1">_xlfn.IFNA(OFFSET('(非表示)新規再エネ実現可能性判定'!$I$1,MATCH(O53,'(非表示)新規再エネ実現可能性判定'!$H:$H,0)-1,0),"//")</f>
        <v>//</v>
      </c>
      <c r="W53" s="257" t="str">
        <f t="shared" si="4"/>
        <v/>
      </c>
    </row>
    <row r="54" spans="2:23" s="11" customFormat="1" ht="20">
      <c r="B54" s="21"/>
      <c r="C54" s="21"/>
      <c r="D54" s="36"/>
      <c r="E54" s="126"/>
      <c r="F54" s="504" t="str">
        <f ca="1">IFERROR(OFFSET('4.1(2)新規再エネ導入予定（設備情報）'!$F$1,MATCH(G54,'4.1(2)新規再エネ導入予定（設備情報）'!$G:$G,0)-1,0),"")</f>
        <v/>
      </c>
      <c r="G54" s="512"/>
      <c r="H54" s="508" t="str">
        <f ca="1">IFERROR(OFFSET('4.1(2)新規再エネ導入予定（設備情報）'!$H$1,MATCH(G54,'4.1(2)新規再エネ導入予定（設備情報）'!$G:$G,0)-1,0)&amp;"","")</f>
        <v/>
      </c>
      <c r="I54" s="509" t="str">
        <f ca="1">IFERROR(OFFSET('4.1(2)新規再エネ導入予定（設備情報）'!$L$1,MATCH(G54,'4.1(2)新規再エネ導入予定（設備情報）'!$G:$G,0)-1,0),"")</f>
        <v/>
      </c>
      <c r="J54" s="510" t="str">
        <f ca="1">IFERROR(OFFSET('4.1(2)新規再エネ導入予定（設備情報）'!$O$1,MATCH(G54,'4.1(2)新規再エネ導入予定（設備情報）'!$G:$G,0)-1,0),"")</f>
        <v/>
      </c>
      <c r="K54" s="511" t="str">
        <f ca="1">IFERROR(OFFSET('4.1(2)新規再エネ導入予定（設備情報）'!$P$1,MATCH(G54,'4.1(2)新規再エネ導入予定（設備情報）'!$G:$G,0)-1,0),"")</f>
        <v/>
      </c>
      <c r="L54" s="489"/>
      <c r="M54" s="489"/>
      <c r="N54" s="489"/>
      <c r="O54" s="486"/>
      <c r="P54" s="24"/>
      <c r="Q54" s="21"/>
      <c r="R54" s="433">
        <f t="shared" si="1"/>
        <v>47</v>
      </c>
      <c r="S54" s="127">
        <f t="shared" si="2"/>
        <v>0</v>
      </c>
      <c r="T54" s="127" t="str">
        <f ca="1">_xlfn.IFNA(OFFSET('(非表示)新規再エネ実現可能性判定'!$C$1,MATCH(M54,'(非表示)新規再エネ実現可能性判定'!$B:$B,0)-1,0),"//")</f>
        <v>//</v>
      </c>
      <c r="U54" s="257" t="str">
        <f ca="1">_xlfn.IFNA(OFFSET('(非表示)新規再エネ実現可能性判定'!$F$1,MATCH(N54,'(非表示)新規再エネ実現可能性判定'!$E:$E,0)-1,0),"//")</f>
        <v>//</v>
      </c>
      <c r="V54" s="257" t="str">
        <f ca="1">_xlfn.IFNA(OFFSET('(非表示)新規再エネ実現可能性判定'!$I$1,MATCH(O54,'(非表示)新規再エネ実現可能性判定'!$H:$H,0)-1,0),"//")</f>
        <v>//</v>
      </c>
      <c r="W54" s="257" t="str">
        <f t="shared" si="4"/>
        <v/>
      </c>
    </row>
    <row r="55" spans="2:23" s="11" customFormat="1" ht="20">
      <c r="B55" s="21"/>
      <c r="C55" s="21"/>
      <c r="D55" s="36"/>
      <c r="E55" s="126"/>
      <c r="F55" s="504" t="str">
        <f ca="1">IFERROR(OFFSET('4.1(2)新規再エネ導入予定（設備情報）'!$F$1,MATCH(G55,'4.1(2)新規再エネ導入予定（設備情報）'!$G:$G,0)-1,0),"")</f>
        <v/>
      </c>
      <c r="G55" s="512"/>
      <c r="H55" s="508" t="str">
        <f ca="1">IFERROR(OFFSET('4.1(2)新規再エネ導入予定（設備情報）'!$H$1,MATCH(G55,'4.1(2)新規再エネ導入予定（設備情報）'!$G:$G,0)-1,0)&amp;"","")</f>
        <v/>
      </c>
      <c r="I55" s="509" t="str">
        <f ca="1">IFERROR(OFFSET('4.1(2)新規再エネ導入予定（設備情報）'!$L$1,MATCH(G55,'4.1(2)新規再エネ導入予定（設備情報）'!$G:$G,0)-1,0),"")</f>
        <v/>
      </c>
      <c r="J55" s="510" t="str">
        <f ca="1">IFERROR(OFFSET('4.1(2)新規再エネ導入予定（設備情報）'!$O$1,MATCH(G55,'4.1(2)新規再エネ導入予定（設備情報）'!$G:$G,0)-1,0),"")</f>
        <v/>
      </c>
      <c r="K55" s="511" t="str">
        <f ca="1">IFERROR(OFFSET('4.1(2)新規再エネ導入予定（設備情報）'!$P$1,MATCH(G55,'4.1(2)新規再エネ導入予定（設備情報）'!$G:$G,0)-1,0),"")</f>
        <v/>
      </c>
      <c r="L55" s="489"/>
      <c r="M55" s="489"/>
      <c r="N55" s="489"/>
      <c r="O55" s="486"/>
      <c r="P55" s="24"/>
      <c r="Q55" s="21"/>
      <c r="R55" s="433">
        <f t="shared" si="1"/>
        <v>48</v>
      </c>
      <c r="S55" s="127">
        <f t="shared" si="2"/>
        <v>0</v>
      </c>
      <c r="T55" s="127" t="str">
        <f ca="1">_xlfn.IFNA(OFFSET('(非表示)新規再エネ実現可能性判定'!$C$1,MATCH(M55,'(非表示)新規再エネ実現可能性判定'!$B:$B,0)-1,0),"//")</f>
        <v>//</v>
      </c>
      <c r="U55" s="257" t="str">
        <f ca="1">_xlfn.IFNA(OFFSET('(非表示)新規再エネ実現可能性判定'!$F$1,MATCH(N55,'(非表示)新規再エネ実現可能性判定'!$E:$E,0)-1,0),"//")</f>
        <v>//</v>
      </c>
      <c r="V55" s="257" t="str">
        <f ca="1">_xlfn.IFNA(OFFSET('(非表示)新規再エネ実現可能性判定'!$I$1,MATCH(O55,'(非表示)新規再エネ実現可能性判定'!$H:$H,0)-1,0),"//")</f>
        <v>//</v>
      </c>
      <c r="W55" s="257" t="str">
        <f t="shared" si="4"/>
        <v/>
      </c>
    </row>
    <row r="56" spans="2:23" ht="18" customHeight="1">
      <c r="D56" s="190"/>
      <c r="E56" s="192" t="s">
        <v>22</v>
      </c>
      <c r="F56" s="515"/>
      <c r="G56" s="477"/>
      <c r="H56" s="478"/>
      <c r="I56" s="479"/>
      <c r="J56" s="480"/>
      <c r="K56" s="481"/>
      <c r="L56" s="712"/>
      <c r="M56" s="712"/>
      <c r="N56" s="712"/>
      <c r="O56" s="713"/>
      <c r="P56" s="19"/>
      <c r="R56" s="425">
        <f t="shared" si="1"/>
        <v>49</v>
      </c>
      <c r="S56" s="224">
        <f t="shared" si="2"/>
        <v>0</v>
      </c>
      <c r="T56" s="224" t="str">
        <f ca="1">_xlfn.IFNA(OFFSET('(非表示)新規再エネ実現可能性判定'!$C$1,MATCH(M56,'(非表示)新規再エネ実現可能性判定'!$B:$B,0)-1,0),"//")</f>
        <v>//</v>
      </c>
      <c r="U56" s="177" t="str">
        <f ca="1">_xlfn.IFNA(OFFSET('(非表示)新規再エネ実現可能性判定'!$F$1,MATCH(N56,'(非表示)新規再エネ実現可能性判定'!$E:$E,0)-1,0),"//")</f>
        <v>//</v>
      </c>
      <c r="V56" s="177" t="str">
        <f ca="1">_xlfn.IFNA(OFFSET('(非表示)新規再エネ実現可能性判定'!$I$1,MATCH(O56,'(非表示)新規再エネ実現可能性判定'!$H:$H,0)-1,0),"//")</f>
        <v>//</v>
      </c>
      <c r="W56" s="177" t="str">
        <f t="shared" si="4"/>
        <v/>
      </c>
    </row>
    <row r="57" spans="2:23" s="11" customFormat="1" ht="19.5" hidden="1" customHeight="1">
      <c r="B57" s="21"/>
      <c r="C57" s="21"/>
      <c r="D57" s="36"/>
      <c r="E57" s="126"/>
      <c r="F57" s="491"/>
      <c r="G57" s="482"/>
      <c r="H57" s="498"/>
      <c r="I57" s="505"/>
      <c r="J57" s="506"/>
      <c r="K57" s="507"/>
      <c r="L57" s="513"/>
      <c r="M57" s="513"/>
      <c r="N57" s="513"/>
      <c r="O57" s="514"/>
      <c r="P57" s="24"/>
      <c r="Q57" s="21"/>
      <c r="R57" s="433">
        <f t="shared" si="1"/>
        <v>50</v>
      </c>
      <c r="S57" s="127">
        <f t="shared" si="2"/>
        <v>0</v>
      </c>
      <c r="T57" s="127" t="str">
        <f ca="1">_xlfn.IFNA(OFFSET('(非表示)新規再エネ実現可能性判定'!$C$1,MATCH(M57,'(非表示)新規再エネ実現可能性判定'!$B:$B,0)-1,0),"//")</f>
        <v>//</v>
      </c>
      <c r="U57" s="257" t="str">
        <f ca="1">_xlfn.IFNA(OFFSET('(非表示)新規再エネ実現可能性判定'!$F$1,MATCH(N57,'(非表示)新規再エネ実現可能性判定'!$E:$E,0)-1,0),"//")</f>
        <v>//</v>
      </c>
      <c r="V57" s="257" t="str">
        <f ca="1">_xlfn.IFNA(OFFSET('(非表示)新規再エネ実現可能性判定'!$I$1,MATCH(O57,'(非表示)新規再エネ実現可能性判定'!$H:$H,0)-1,0),"//")</f>
        <v>//</v>
      </c>
      <c r="W57" s="257" t="str">
        <f t="shared" si="4"/>
        <v/>
      </c>
    </row>
    <row r="58" spans="2:23" s="11" customFormat="1" ht="20">
      <c r="B58" s="21"/>
      <c r="C58" s="21"/>
      <c r="D58" s="36"/>
      <c r="E58" s="126"/>
      <c r="F58" s="504" t="str">
        <f ca="1">IFERROR(OFFSET('4.1(2)新規再エネ導入予定（設備情報）'!$F$1,MATCH(G58,'4.1(2)新規再エネ導入予定（設備情報）'!$G:$G,0)-1,0),"")</f>
        <v/>
      </c>
      <c r="G58" s="512"/>
      <c r="H58" s="508" t="str">
        <f ca="1">IFERROR(OFFSET('4.1(2)新規再エネ導入予定（設備情報）'!$H$1,MATCH(G58,'4.1(2)新規再エネ導入予定（設備情報）'!$G:$G,0)-1,0)&amp;"","")</f>
        <v/>
      </c>
      <c r="I58" s="509" t="str">
        <f ca="1">IFERROR(OFFSET('4.1(2)新規再エネ導入予定（設備情報）'!$L$1,MATCH(G58,'4.1(2)新規再エネ導入予定（設備情報）'!$G:$G,0)-1,0),"")</f>
        <v/>
      </c>
      <c r="J58" s="510" t="str">
        <f ca="1">IFERROR(OFFSET('4.1(2)新規再エネ導入予定（設備情報）'!$O$1,MATCH(G58,'4.1(2)新規再エネ導入予定（設備情報）'!$G:$G,0)-1,0),"")</f>
        <v/>
      </c>
      <c r="K58" s="511" t="str">
        <f ca="1">IFERROR(OFFSET('4.1(2)新規再エネ導入予定（設備情報）'!$P$1,MATCH(G58,'4.1(2)新規再エネ導入予定（設備情報）'!$G:$G,0)-1,0),"")</f>
        <v/>
      </c>
      <c r="L58" s="489"/>
      <c r="M58" s="489"/>
      <c r="N58" s="489"/>
      <c r="O58" s="486"/>
      <c r="P58" s="24"/>
      <c r="Q58" s="21"/>
      <c r="R58" s="433">
        <f t="shared" si="1"/>
        <v>51</v>
      </c>
      <c r="S58" s="127">
        <f t="shared" si="2"/>
        <v>0</v>
      </c>
      <c r="T58" s="127" t="str">
        <f ca="1">_xlfn.IFNA(OFFSET('(非表示)新規再エネ実現可能性判定'!$C$1,MATCH(M58,'(非表示)新規再エネ実現可能性判定'!$B:$B,0)-1,0),"//")</f>
        <v>//</v>
      </c>
      <c r="U58" s="257" t="str">
        <f ca="1">_xlfn.IFNA(OFFSET('(非表示)新規再エネ実現可能性判定'!$F$1,MATCH(N58,'(非表示)新規再エネ実現可能性判定'!$E:$E,0)-1,0),"//")</f>
        <v>//</v>
      </c>
      <c r="V58" s="257" t="str">
        <f ca="1">_xlfn.IFNA(OFFSET('(非表示)新規再エネ実現可能性判定'!$I$1,MATCH(O58,'(非表示)新規再エネ実現可能性判定'!$H:$H,0)-1,0),"//")</f>
        <v>//</v>
      </c>
      <c r="W58" s="257" t="str">
        <f t="shared" si="4"/>
        <v/>
      </c>
    </row>
    <row r="59" spans="2:23" s="11" customFormat="1" ht="20">
      <c r="B59" s="21"/>
      <c r="C59" s="21"/>
      <c r="D59" s="36"/>
      <c r="E59" s="126"/>
      <c r="F59" s="504" t="str">
        <f ca="1">IFERROR(OFFSET('4.1(2)新規再エネ導入予定（設備情報）'!$F$1,MATCH(G59,'4.1(2)新規再エネ導入予定（設備情報）'!$G:$G,0)-1,0),"")</f>
        <v/>
      </c>
      <c r="G59" s="512"/>
      <c r="H59" s="508" t="str">
        <f ca="1">IFERROR(OFFSET('4.1(2)新規再エネ導入予定（設備情報）'!$H$1,MATCH(G59,'4.1(2)新規再エネ導入予定（設備情報）'!$G:$G,0)-1,0)&amp;"","")</f>
        <v/>
      </c>
      <c r="I59" s="509" t="str">
        <f ca="1">IFERROR(OFFSET('4.1(2)新規再エネ導入予定（設備情報）'!$L$1,MATCH(G59,'4.1(2)新規再エネ導入予定（設備情報）'!$G:$G,0)-1,0),"")</f>
        <v/>
      </c>
      <c r="J59" s="510" t="str">
        <f ca="1">IFERROR(OFFSET('4.1(2)新規再エネ導入予定（設備情報）'!$O$1,MATCH(G59,'4.1(2)新規再エネ導入予定（設備情報）'!$G:$G,0)-1,0),"")</f>
        <v/>
      </c>
      <c r="K59" s="511" t="str">
        <f ca="1">IFERROR(OFFSET('4.1(2)新規再エネ導入予定（設備情報）'!$P$1,MATCH(G59,'4.1(2)新規再エネ導入予定（設備情報）'!$G:$G,0)-1,0),"")</f>
        <v/>
      </c>
      <c r="L59" s="489"/>
      <c r="M59" s="489"/>
      <c r="N59" s="489"/>
      <c r="O59" s="486"/>
      <c r="P59" s="24"/>
      <c r="Q59" s="21"/>
      <c r="R59" s="433">
        <f t="shared" si="1"/>
        <v>52</v>
      </c>
      <c r="S59" s="127">
        <f t="shared" si="2"/>
        <v>0</v>
      </c>
      <c r="T59" s="127" t="str">
        <f ca="1">_xlfn.IFNA(OFFSET('(非表示)新規再エネ実現可能性判定'!$C$1,MATCH(M59,'(非表示)新規再エネ実現可能性判定'!$B:$B,0)-1,0),"//")</f>
        <v>//</v>
      </c>
      <c r="U59" s="257" t="str">
        <f ca="1">_xlfn.IFNA(OFFSET('(非表示)新規再エネ実現可能性判定'!$F$1,MATCH(N59,'(非表示)新規再エネ実現可能性判定'!$E:$E,0)-1,0),"//")</f>
        <v>//</v>
      </c>
      <c r="V59" s="257" t="str">
        <f ca="1">_xlfn.IFNA(OFFSET('(非表示)新規再エネ実現可能性判定'!$I$1,MATCH(O59,'(非表示)新規再エネ実現可能性判定'!$H:$H,0)-1,0),"//")</f>
        <v>//</v>
      </c>
      <c r="W59" s="257" t="str">
        <f t="shared" si="4"/>
        <v/>
      </c>
    </row>
    <row r="60" spans="2:23" s="11" customFormat="1" ht="20">
      <c r="B60" s="21"/>
      <c r="C60" s="21"/>
      <c r="D60" s="36"/>
      <c r="E60" s="126"/>
      <c r="F60" s="504" t="str">
        <f ca="1">IFERROR(OFFSET('4.1(2)新規再エネ導入予定（設備情報）'!$F$1,MATCH(G60,'4.1(2)新規再エネ導入予定（設備情報）'!$G:$G,0)-1,0),"")</f>
        <v/>
      </c>
      <c r="G60" s="512"/>
      <c r="H60" s="508" t="str">
        <f ca="1">IFERROR(OFFSET('4.1(2)新規再エネ導入予定（設備情報）'!$H$1,MATCH(G60,'4.1(2)新規再エネ導入予定（設備情報）'!$G:$G,0)-1,0)&amp;"","")</f>
        <v/>
      </c>
      <c r="I60" s="509" t="str">
        <f ca="1">IFERROR(OFFSET('4.1(2)新規再エネ導入予定（設備情報）'!$L$1,MATCH(G60,'4.1(2)新規再エネ導入予定（設備情報）'!$G:$G,0)-1,0),"")</f>
        <v/>
      </c>
      <c r="J60" s="510" t="str">
        <f ca="1">IFERROR(OFFSET('4.1(2)新規再エネ導入予定（設備情報）'!$O$1,MATCH(G60,'4.1(2)新規再エネ導入予定（設備情報）'!$G:$G,0)-1,0),"")</f>
        <v/>
      </c>
      <c r="K60" s="511" t="str">
        <f ca="1">IFERROR(OFFSET('4.1(2)新規再エネ導入予定（設備情報）'!$P$1,MATCH(G60,'4.1(2)新規再エネ導入予定（設備情報）'!$G:$G,0)-1,0),"")</f>
        <v/>
      </c>
      <c r="L60" s="489"/>
      <c r="M60" s="489"/>
      <c r="N60" s="489"/>
      <c r="O60" s="486"/>
      <c r="P60" s="24"/>
      <c r="Q60" s="21"/>
      <c r="R60" s="433">
        <f t="shared" si="1"/>
        <v>53</v>
      </c>
      <c r="S60" s="127">
        <f t="shared" si="2"/>
        <v>0</v>
      </c>
      <c r="T60" s="127" t="str">
        <f ca="1">_xlfn.IFNA(OFFSET('(非表示)新規再エネ実現可能性判定'!$C$1,MATCH(M60,'(非表示)新規再エネ実現可能性判定'!$B:$B,0)-1,0),"//")</f>
        <v>//</v>
      </c>
      <c r="U60" s="257" t="str">
        <f ca="1">_xlfn.IFNA(OFFSET('(非表示)新規再エネ実現可能性判定'!$F$1,MATCH(N60,'(非表示)新規再エネ実現可能性判定'!$E:$E,0)-1,0),"//")</f>
        <v>//</v>
      </c>
      <c r="V60" s="257" t="str">
        <f ca="1">_xlfn.IFNA(OFFSET('(非表示)新規再エネ実現可能性判定'!$I$1,MATCH(O60,'(非表示)新規再エネ実現可能性判定'!$H:$H,0)-1,0),"//")</f>
        <v>//</v>
      </c>
      <c r="W60" s="257" t="str">
        <f t="shared" si="4"/>
        <v/>
      </c>
    </row>
    <row r="61" spans="2:23" s="11" customFormat="1" ht="20">
      <c r="B61" s="21"/>
      <c r="C61" s="21"/>
      <c r="D61" s="36"/>
      <c r="E61" s="126"/>
      <c r="F61" s="504" t="str">
        <f ca="1">IFERROR(OFFSET('4.1(2)新規再エネ導入予定（設備情報）'!$F$1,MATCH(G61,'4.1(2)新規再エネ導入予定（設備情報）'!$G:$G,0)-1,0),"")</f>
        <v/>
      </c>
      <c r="G61" s="512"/>
      <c r="H61" s="508" t="str">
        <f ca="1">IFERROR(OFFSET('4.1(2)新規再エネ導入予定（設備情報）'!$H$1,MATCH(G61,'4.1(2)新規再エネ導入予定（設備情報）'!$G:$G,0)-1,0)&amp;"","")</f>
        <v/>
      </c>
      <c r="I61" s="509" t="str">
        <f ca="1">IFERROR(OFFSET('4.1(2)新規再エネ導入予定（設備情報）'!$L$1,MATCH(G61,'4.1(2)新規再エネ導入予定（設備情報）'!$G:$G,0)-1,0),"")</f>
        <v/>
      </c>
      <c r="J61" s="510" t="str">
        <f ca="1">IFERROR(OFFSET('4.1(2)新規再エネ導入予定（設備情報）'!$O$1,MATCH(G61,'4.1(2)新規再エネ導入予定（設備情報）'!$G:$G,0)-1,0),"")</f>
        <v/>
      </c>
      <c r="K61" s="511" t="str">
        <f ca="1">IFERROR(OFFSET('4.1(2)新規再エネ導入予定（設備情報）'!$P$1,MATCH(G61,'4.1(2)新規再エネ導入予定（設備情報）'!$G:$G,0)-1,0),"")</f>
        <v/>
      </c>
      <c r="L61" s="489"/>
      <c r="M61" s="489"/>
      <c r="N61" s="489"/>
      <c r="O61" s="486"/>
      <c r="P61" s="24"/>
      <c r="Q61" s="21"/>
      <c r="R61" s="433">
        <f t="shared" si="1"/>
        <v>54</v>
      </c>
      <c r="S61" s="127">
        <f t="shared" si="2"/>
        <v>0</v>
      </c>
      <c r="T61" s="127" t="str">
        <f ca="1">_xlfn.IFNA(OFFSET('(非表示)新規再エネ実現可能性判定'!$C$1,MATCH(M61,'(非表示)新規再エネ実現可能性判定'!$B:$B,0)-1,0),"//")</f>
        <v>//</v>
      </c>
      <c r="U61" s="257" t="str">
        <f ca="1">_xlfn.IFNA(OFFSET('(非表示)新規再エネ実現可能性判定'!$F$1,MATCH(N61,'(非表示)新規再エネ実現可能性判定'!$E:$E,0)-1,0),"//")</f>
        <v>//</v>
      </c>
      <c r="V61" s="257" t="str">
        <f ca="1">_xlfn.IFNA(OFFSET('(非表示)新規再エネ実現可能性判定'!$I$1,MATCH(O61,'(非表示)新規再エネ実現可能性判定'!$H:$H,0)-1,0),"//")</f>
        <v>//</v>
      </c>
      <c r="W61" s="257" t="str">
        <f t="shared" si="4"/>
        <v/>
      </c>
    </row>
    <row r="62" spans="2:23" ht="20">
      <c r="D62" s="190"/>
      <c r="E62" s="192" t="s">
        <v>23</v>
      </c>
      <c r="F62" s="515"/>
      <c r="G62" s="477"/>
      <c r="H62" s="478"/>
      <c r="I62" s="479"/>
      <c r="J62" s="480"/>
      <c r="K62" s="481"/>
      <c r="L62" s="712"/>
      <c r="M62" s="712"/>
      <c r="N62" s="712"/>
      <c r="O62" s="713"/>
      <c r="P62" s="19"/>
      <c r="R62" s="425">
        <f t="shared" si="1"/>
        <v>55</v>
      </c>
      <c r="S62" s="224">
        <f t="shared" si="2"/>
        <v>0</v>
      </c>
      <c r="T62" s="224" t="str">
        <f ca="1">_xlfn.IFNA(OFFSET('(非表示)新規再エネ実現可能性判定'!$C$1,MATCH(M62,'(非表示)新規再エネ実現可能性判定'!$B:$B,0)-1,0),"//")</f>
        <v>//</v>
      </c>
      <c r="U62" s="177" t="str">
        <f ca="1">_xlfn.IFNA(OFFSET('(非表示)新規再エネ実現可能性判定'!$F$1,MATCH(N62,'(非表示)新規再エネ実現可能性判定'!$E:$E,0)-1,0),"//")</f>
        <v>//</v>
      </c>
      <c r="V62" s="177" t="str">
        <f ca="1">_xlfn.IFNA(OFFSET('(非表示)新規再エネ実現可能性判定'!$I$1,MATCH(O62,'(非表示)新規再エネ実現可能性判定'!$H:$H,0)-1,0),"//")</f>
        <v>//</v>
      </c>
      <c r="W62" s="177" t="str">
        <f t="shared" si="4"/>
        <v/>
      </c>
    </row>
    <row r="63" spans="2:23" s="11" customFormat="1" ht="19.5" hidden="1" customHeight="1">
      <c r="B63" s="21"/>
      <c r="C63" s="21"/>
      <c r="D63" s="36"/>
      <c r="E63" s="126"/>
      <c r="F63" s="491"/>
      <c r="G63" s="482"/>
      <c r="H63" s="498"/>
      <c r="I63" s="505"/>
      <c r="J63" s="506"/>
      <c r="K63" s="507"/>
      <c r="L63" s="513"/>
      <c r="M63" s="513"/>
      <c r="N63" s="513"/>
      <c r="O63" s="514"/>
      <c r="P63" s="24"/>
      <c r="Q63" s="21"/>
      <c r="R63" s="433">
        <f t="shared" si="1"/>
        <v>56</v>
      </c>
      <c r="S63" s="127">
        <f t="shared" si="2"/>
        <v>0</v>
      </c>
      <c r="T63" s="127" t="str">
        <f ca="1">_xlfn.IFNA(OFFSET('(非表示)新規再エネ実現可能性判定'!$C$1,MATCH(M63,'(非表示)新規再エネ実現可能性判定'!$B:$B,0)-1,0),"//")</f>
        <v>//</v>
      </c>
      <c r="U63" s="257" t="str">
        <f ca="1">_xlfn.IFNA(OFFSET('(非表示)新規再エネ実現可能性判定'!$F$1,MATCH(N63,'(非表示)新規再エネ実現可能性判定'!$E:$E,0)-1,0),"//")</f>
        <v>//</v>
      </c>
      <c r="V63" s="257" t="str">
        <f ca="1">_xlfn.IFNA(OFFSET('(非表示)新規再エネ実現可能性判定'!$I$1,MATCH(O63,'(非表示)新規再エネ実現可能性判定'!$H:$H,0)-1,0),"//")</f>
        <v>//</v>
      </c>
      <c r="W63" s="257" t="str">
        <f t="shared" si="4"/>
        <v/>
      </c>
    </row>
    <row r="64" spans="2:23" s="11" customFormat="1" ht="20">
      <c r="B64" s="21"/>
      <c r="C64" s="21"/>
      <c r="D64" s="36"/>
      <c r="E64" s="126"/>
      <c r="F64" s="504" t="str">
        <f ca="1">IFERROR(OFFSET('4.1(2)新規再エネ導入予定（設備情報）'!$F$1,MATCH(G64,'4.1(2)新規再エネ導入予定（設備情報）'!$G:$G,0)-1,0),"")</f>
        <v/>
      </c>
      <c r="G64" s="512"/>
      <c r="H64" s="508" t="str">
        <f ca="1">IFERROR(OFFSET('4.1(2)新規再エネ導入予定（設備情報）'!$H$1,MATCH(G64,'4.1(2)新規再エネ導入予定（設備情報）'!$G:$G,0)-1,0)&amp;"","")</f>
        <v/>
      </c>
      <c r="I64" s="509" t="str">
        <f ca="1">IFERROR(OFFSET('4.1(2)新規再エネ導入予定（設備情報）'!$L$1,MATCH(G64,'4.1(2)新規再エネ導入予定（設備情報）'!$G:$G,0)-1,0),"")</f>
        <v/>
      </c>
      <c r="J64" s="510" t="str">
        <f ca="1">IFERROR(OFFSET('4.1(2)新規再エネ導入予定（設備情報）'!$O$1,MATCH(G64,'4.1(2)新規再エネ導入予定（設備情報）'!$G:$G,0)-1,0),"")</f>
        <v/>
      </c>
      <c r="K64" s="511" t="str">
        <f ca="1">IFERROR(OFFSET('4.1(2)新規再エネ導入予定（設備情報）'!$P$1,MATCH(G64,'4.1(2)新規再エネ導入予定（設備情報）'!$G:$G,0)-1,0),"")</f>
        <v/>
      </c>
      <c r="L64" s="489"/>
      <c r="M64" s="489"/>
      <c r="N64" s="489"/>
      <c r="O64" s="486"/>
      <c r="P64" s="24"/>
      <c r="Q64" s="21"/>
      <c r="R64" s="433">
        <f t="shared" si="1"/>
        <v>57</v>
      </c>
      <c r="S64" s="127">
        <f t="shared" si="2"/>
        <v>0</v>
      </c>
      <c r="T64" s="127" t="str">
        <f ca="1">_xlfn.IFNA(OFFSET('(非表示)新規再エネ実現可能性判定'!$C$1,MATCH(M64,'(非表示)新規再エネ実現可能性判定'!$B:$B,0)-1,0),"//")</f>
        <v>//</v>
      </c>
      <c r="U64" s="257" t="str">
        <f ca="1">_xlfn.IFNA(OFFSET('(非表示)新規再エネ実現可能性判定'!$F$1,MATCH(N64,'(非表示)新規再エネ実現可能性判定'!$E:$E,0)-1,0),"//")</f>
        <v>//</v>
      </c>
      <c r="V64" s="257" t="str">
        <f ca="1">_xlfn.IFNA(OFFSET('(非表示)新規再エネ実現可能性判定'!$I$1,MATCH(O64,'(非表示)新規再エネ実現可能性判定'!$H:$H,0)-1,0),"//")</f>
        <v>//</v>
      </c>
      <c r="W64" s="257" t="str">
        <f t="shared" si="4"/>
        <v/>
      </c>
    </row>
    <row r="65" spans="2:23" s="11" customFormat="1" ht="20">
      <c r="B65" s="21"/>
      <c r="C65" s="21"/>
      <c r="D65" s="36"/>
      <c r="E65" s="126"/>
      <c r="F65" s="504" t="str">
        <f ca="1">IFERROR(OFFSET('4.1(2)新規再エネ導入予定（設備情報）'!$F$1,MATCH(G65,'4.1(2)新規再エネ導入予定（設備情報）'!$G:$G,0)-1,0),"")</f>
        <v/>
      </c>
      <c r="G65" s="512"/>
      <c r="H65" s="508" t="str">
        <f ca="1">IFERROR(OFFSET('4.1(2)新規再エネ導入予定（設備情報）'!$H$1,MATCH(G65,'4.1(2)新規再エネ導入予定（設備情報）'!$G:$G,0)-1,0)&amp;"","")</f>
        <v/>
      </c>
      <c r="I65" s="509" t="str">
        <f ca="1">IFERROR(OFFSET('4.1(2)新規再エネ導入予定（設備情報）'!$L$1,MATCH(G65,'4.1(2)新規再エネ導入予定（設備情報）'!$G:$G,0)-1,0),"")</f>
        <v/>
      </c>
      <c r="J65" s="510" t="str">
        <f ca="1">IFERROR(OFFSET('4.1(2)新規再エネ導入予定（設備情報）'!$O$1,MATCH(G65,'4.1(2)新規再エネ導入予定（設備情報）'!$G:$G,0)-1,0),"")</f>
        <v/>
      </c>
      <c r="K65" s="511" t="str">
        <f ca="1">IFERROR(OFFSET('4.1(2)新規再エネ導入予定（設備情報）'!$P$1,MATCH(G65,'4.1(2)新規再エネ導入予定（設備情報）'!$G:$G,0)-1,0),"")</f>
        <v/>
      </c>
      <c r="L65" s="489"/>
      <c r="M65" s="489"/>
      <c r="N65" s="489"/>
      <c r="O65" s="486"/>
      <c r="P65" s="24"/>
      <c r="Q65" s="21"/>
      <c r="R65" s="433">
        <f t="shared" si="1"/>
        <v>58</v>
      </c>
      <c r="S65" s="127">
        <f t="shared" si="2"/>
        <v>0</v>
      </c>
      <c r="T65" s="127" t="str">
        <f ca="1">_xlfn.IFNA(OFFSET('(非表示)新規再エネ実現可能性判定'!$C$1,MATCH(M65,'(非表示)新規再エネ実現可能性判定'!$B:$B,0)-1,0),"//")</f>
        <v>//</v>
      </c>
      <c r="U65" s="257" t="str">
        <f ca="1">_xlfn.IFNA(OFFSET('(非表示)新規再エネ実現可能性判定'!$F$1,MATCH(N65,'(非表示)新規再エネ実現可能性判定'!$E:$E,0)-1,0),"//")</f>
        <v>//</v>
      </c>
      <c r="V65" s="257" t="str">
        <f ca="1">_xlfn.IFNA(OFFSET('(非表示)新規再エネ実現可能性判定'!$I$1,MATCH(O65,'(非表示)新規再エネ実現可能性判定'!$H:$H,0)-1,0),"//")</f>
        <v>//</v>
      </c>
      <c r="W65" s="257" t="str">
        <f t="shared" si="4"/>
        <v/>
      </c>
    </row>
    <row r="66" spans="2:23" s="11" customFormat="1" ht="20">
      <c r="B66" s="21"/>
      <c r="C66" s="21"/>
      <c r="D66" s="36"/>
      <c r="E66" s="126"/>
      <c r="F66" s="504" t="str">
        <f ca="1">IFERROR(OFFSET('4.1(2)新規再エネ導入予定（設備情報）'!$F$1,MATCH(G66,'4.1(2)新規再エネ導入予定（設備情報）'!$G:$G,0)-1,0),"")</f>
        <v/>
      </c>
      <c r="G66" s="512"/>
      <c r="H66" s="508" t="str">
        <f ca="1">IFERROR(OFFSET('4.1(2)新規再エネ導入予定（設備情報）'!$H$1,MATCH(G66,'4.1(2)新規再エネ導入予定（設備情報）'!$G:$G,0)-1,0)&amp;"","")</f>
        <v/>
      </c>
      <c r="I66" s="509" t="str">
        <f ca="1">IFERROR(OFFSET('4.1(2)新規再エネ導入予定（設備情報）'!$L$1,MATCH(G66,'4.1(2)新規再エネ導入予定（設備情報）'!$G:$G,0)-1,0),"")</f>
        <v/>
      </c>
      <c r="J66" s="510" t="str">
        <f ca="1">IFERROR(OFFSET('4.1(2)新規再エネ導入予定（設備情報）'!$O$1,MATCH(G66,'4.1(2)新規再エネ導入予定（設備情報）'!$G:$G,0)-1,0),"")</f>
        <v/>
      </c>
      <c r="K66" s="511" t="str">
        <f ca="1">IFERROR(OFFSET('4.1(2)新規再エネ導入予定（設備情報）'!$P$1,MATCH(G66,'4.1(2)新規再エネ導入予定（設備情報）'!$G:$G,0)-1,0),"")</f>
        <v/>
      </c>
      <c r="L66" s="489"/>
      <c r="M66" s="489"/>
      <c r="N66" s="489"/>
      <c r="O66" s="486"/>
      <c r="P66" s="24"/>
      <c r="Q66" s="21"/>
      <c r="R66" s="433">
        <f t="shared" si="1"/>
        <v>59</v>
      </c>
      <c r="S66" s="127">
        <f t="shared" si="2"/>
        <v>0</v>
      </c>
      <c r="T66" s="127" t="str">
        <f ca="1">_xlfn.IFNA(OFFSET('(非表示)新規再エネ実現可能性判定'!$C$1,MATCH(M66,'(非表示)新規再エネ実現可能性判定'!$B:$B,0)-1,0),"//")</f>
        <v>//</v>
      </c>
      <c r="U66" s="257" t="str">
        <f ca="1">_xlfn.IFNA(OFFSET('(非表示)新規再エネ実現可能性判定'!$F$1,MATCH(N66,'(非表示)新規再エネ実現可能性判定'!$E:$E,0)-1,0),"//")</f>
        <v>//</v>
      </c>
      <c r="V66" s="257" t="str">
        <f ca="1">_xlfn.IFNA(OFFSET('(非表示)新規再エネ実現可能性判定'!$I$1,MATCH(O66,'(非表示)新規再エネ実現可能性判定'!$H:$H,0)-1,0),"//")</f>
        <v>//</v>
      </c>
      <c r="W66" s="257" t="str">
        <f t="shared" si="4"/>
        <v/>
      </c>
    </row>
    <row r="67" spans="2:23" s="11" customFormat="1" ht="20">
      <c r="B67" s="21"/>
      <c r="C67" s="21"/>
      <c r="D67" s="36"/>
      <c r="E67" s="126"/>
      <c r="F67" s="504" t="str">
        <f ca="1">IFERROR(OFFSET('4.1(2)新規再エネ導入予定（設備情報）'!$F$1,MATCH(G67,'4.1(2)新規再エネ導入予定（設備情報）'!$G:$G,0)-1,0),"")</f>
        <v/>
      </c>
      <c r="G67" s="512"/>
      <c r="H67" s="508" t="str">
        <f ca="1">IFERROR(OFFSET('4.1(2)新規再エネ導入予定（設備情報）'!$H$1,MATCH(G67,'4.1(2)新規再エネ導入予定（設備情報）'!$G:$G,0)-1,0)&amp;"","")</f>
        <v/>
      </c>
      <c r="I67" s="509" t="str">
        <f ca="1">IFERROR(OFFSET('4.1(2)新規再エネ導入予定（設備情報）'!$L$1,MATCH(G67,'4.1(2)新規再エネ導入予定（設備情報）'!$G:$G,0)-1,0),"")</f>
        <v/>
      </c>
      <c r="J67" s="510" t="str">
        <f ca="1">IFERROR(OFFSET('4.1(2)新規再エネ導入予定（設備情報）'!$O$1,MATCH(G67,'4.1(2)新規再エネ導入予定（設備情報）'!$G:$G,0)-1,0),"")</f>
        <v/>
      </c>
      <c r="K67" s="511" t="str">
        <f ca="1">IFERROR(OFFSET('4.1(2)新規再エネ導入予定（設備情報）'!$P$1,MATCH(G67,'4.1(2)新規再エネ導入予定（設備情報）'!$G:$G,0)-1,0),"")</f>
        <v/>
      </c>
      <c r="L67" s="489"/>
      <c r="M67" s="489"/>
      <c r="N67" s="489"/>
      <c r="O67" s="486"/>
      <c r="P67" s="24"/>
      <c r="Q67" s="21"/>
      <c r="R67" s="433">
        <f t="shared" si="1"/>
        <v>60</v>
      </c>
      <c r="S67" s="127">
        <f t="shared" si="2"/>
        <v>0</v>
      </c>
      <c r="T67" s="127" t="str">
        <f ca="1">_xlfn.IFNA(OFFSET('(非表示)新規再エネ実現可能性判定'!$C$1,MATCH(M67,'(非表示)新規再エネ実現可能性判定'!$B:$B,0)-1,0),"//")</f>
        <v>//</v>
      </c>
      <c r="U67" s="257" t="str">
        <f ca="1">_xlfn.IFNA(OFFSET('(非表示)新規再エネ実現可能性判定'!$F$1,MATCH(N67,'(非表示)新規再エネ実現可能性判定'!$E:$E,0)-1,0),"//")</f>
        <v>//</v>
      </c>
      <c r="V67" s="257" t="str">
        <f ca="1">_xlfn.IFNA(OFFSET('(非表示)新規再エネ実現可能性判定'!$I$1,MATCH(O67,'(非表示)新規再エネ実現可能性判定'!$H:$H,0)-1,0),"//")</f>
        <v>//</v>
      </c>
      <c r="W67" s="257" t="str">
        <f t="shared" si="4"/>
        <v/>
      </c>
    </row>
    <row r="68" spans="2:23" ht="20">
      <c r="D68" s="190"/>
      <c r="E68" s="192" t="s">
        <v>24</v>
      </c>
      <c r="F68" s="515"/>
      <c r="G68" s="477"/>
      <c r="H68" s="478"/>
      <c r="I68" s="479"/>
      <c r="J68" s="480"/>
      <c r="K68" s="481"/>
      <c r="L68" s="712"/>
      <c r="M68" s="712"/>
      <c r="N68" s="712"/>
      <c r="O68" s="713"/>
      <c r="P68" s="19"/>
      <c r="R68" s="425">
        <f t="shared" si="1"/>
        <v>61</v>
      </c>
      <c r="S68" s="224">
        <f t="shared" si="2"/>
        <v>0</v>
      </c>
      <c r="T68" s="224" t="str">
        <f ca="1">_xlfn.IFNA(OFFSET('(非表示)新規再エネ実現可能性判定'!$C$1,MATCH(M68,'(非表示)新規再エネ実現可能性判定'!$B:$B,0)-1,0),"//")</f>
        <v>//</v>
      </c>
      <c r="U68" s="177" t="str">
        <f ca="1">_xlfn.IFNA(OFFSET('(非表示)新規再エネ実現可能性判定'!$F$1,MATCH(N68,'(非表示)新規再エネ実現可能性判定'!$E:$E,0)-1,0),"//")</f>
        <v>//</v>
      </c>
      <c r="V68" s="177" t="str">
        <f ca="1">_xlfn.IFNA(OFFSET('(非表示)新規再エネ実現可能性判定'!$I$1,MATCH(O68,'(非表示)新規再エネ実現可能性判定'!$H:$H,0)-1,0),"//")</f>
        <v>//</v>
      </c>
      <c r="W68" s="177" t="str">
        <f t="shared" si="4"/>
        <v/>
      </c>
    </row>
    <row r="69" spans="2:23" s="11" customFormat="1" ht="19.5" hidden="1" customHeight="1">
      <c r="B69" s="21"/>
      <c r="C69" s="21"/>
      <c r="D69" s="36"/>
      <c r="E69" s="126"/>
      <c r="F69" s="491"/>
      <c r="G69" s="482"/>
      <c r="H69" s="498"/>
      <c r="I69" s="505"/>
      <c r="J69" s="506"/>
      <c r="K69" s="507"/>
      <c r="L69" s="513"/>
      <c r="M69" s="513"/>
      <c r="N69" s="513"/>
      <c r="O69" s="514"/>
      <c r="P69" s="24"/>
      <c r="Q69" s="21"/>
      <c r="R69" s="433">
        <f t="shared" si="1"/>
        <v>62</v>
      </c>
      <c r="S69" s="127">
        <f t="shared" si="2"/>
        <v>0</v>
      </c>
      <c r="T69" s="127" t="str">
        <f ca="1">_xlfn.IFNA(OFFSET('(非表示)新規再エネ実現可能性判定'!$C$1,MATCH(M69,'(非表示)新規再エネ実現可能性判定'!$B:$B,0)-1,0),"//")</f>
        <v>//</v>
      </c>
      <c r="U69" s="257" t="str">
        <f ca="1">_xlfn.IFNA(OFFSET('(非表示)新規再エネ実現可能性判定'!$F$1,MATCH(N69,'(非表示)新規再エネ実現可能性判定'!$E:$E,0)-1,0),"//")</f>
        <v>//</v>
      </c>
      <c r="V69" s="257" t="str">
        <f ca="1">_xlfn.IFNA(OFFSET('(非表示)新規再エネ実現可能性判定'!$I$1,MATCH(O69,'(非表示)新規再エネ実現可能性判定'!$H:$H,0)-1,0),"//")</f>
        <v>//</v>
      </c>
      <c r="W69" s="257" t="str">
        <f t="shared" si="4"/>
        <v/>
      </c>
    </row>
    <row r="70" spans="2:23" s="11" customFormat="1" ht="20">
      <c r="B70" s="21"/>
      <c r="C70" s="21"/>
      <c r="D70" s="36"/>
      <c r="E70" s="126"/>
      <c r="F70" s="504" t="str">
        <f ca="1">IFERROR(OFFSET('4.1(2)新規再エネ導入予定（設備情報）'!$F$1,MATCH(G70,'4.1(2)新規再エネ導入予定（設備情報）'!$G:$G,0)-1,0),"")</f>
        <v/>
      </c>
      <c r="G70" s="512"/>
      <c r="H70" s="508" t="str">
        <f ca="1">IFERROR(OFFSET('4.1(2)新規再エネ導入予定（設備情報）'!$H$1,MATCH(G70,'4.1(2)新規再エネ導入予定（設備情報）'!$G:$G,0)-1,0)&amp;"","")</f>
        <v/>
      </c>
      <c r="I70" s="509" t="str">
        <f ca="1">IFERROR(OFFSET('4.1(2)新規再エネ導入予定（設備情報）'!$L$1,MATCH(G70,'4.1(2)新規再エネ導入予定（設備情報）'!$G:$G,0)-1,0),"")</f>
        <v/>
      </c>
      <c r="J70" s="510" t="str">
        <f ca="1">IFERROR(OFFSET('4.1(2)新規再エネ導入予定（設備情報）'!$O$1,MATCH(G70,'4.1(2)新規再エネ導入予定（設備情報）'!$G:$G,0)-1,0),"")</f>
        <v/>
      </c>
      <c r="K70" s="511" t="str">
        <f ca="1">IFERROR(OFFSET('4.1(2)新規再エネ導入予定（設備情報）'!$P$1,MATCH(G70,'4.1(2)新規再エネ導入予定（設備情報）'!$G:$G,0)-1,0),"")</f>
        <v/>
      </c>
      <c r="L70" s="489"/>
      <c r="M70" s="489"/>
      <c r="N70" s="489"/>
      <c r="O70" s="486"/>
      <c r="P70" s="24"/>
      <c r="Q70" s="21"/>
      <c r="R70" s="433">
        <f t="shared" si="1"/>
        <v>63</v>
      </c>
      <c r="S70" s="127">
        <f t="shared" si="2"/>
        <v>0</v>
      </c>
      <c r="T70" s="127" t="str">
        <f ca="1">_xlfn.IFNA(OFFSET('(非表示)新規再エネ実現可能性判定'!$C$1,MATCH(M70,'(非表示)新規再エネ実現可能性判定'!$B:$B,0)-1,0),"//")</f>
        <v>//</v>
      </c>
      <c r="U70" s="257" t="str">
        <f ca="1">_xlfn.IFNA(OFFSET('(非表示)新規再エネ実現可能性判定'!$F$1,MATCH(N70,'(非表示)新規再エネ実現可能性判定'!$E:$E,0)-1,0),"//")</f>
        <v>//</v>
      </c>
      <c r="V70" s="257" t="str">
        <f ca="1">_xlfn.IFNA(OFFSET('(非表示)新規再エネ実現可能性判定'!$I$1,MATCH(O70,'(非表示)新規再エネ実現可能性判定'!$H:$H,0)-1,0),"//")</f>
        <v>//</v>
      </c>
      <c r="W70" s="257" t="str">
        <f t="shared" si="4"/>
        <v/>
      </c>
    </row>
    <row r="71" spans="2:23" s="11" customFormat="1" ht="20">
      <c r="B71" s="21"/>
      <c r="C71" s="21"/>
      <c r="D71" s="36"/>
      <c r="E71" s="126"/>
      <c r="F71" s="504" t="str">
        <f ca="1">IFERROR(OFFSET('4.1(2)新規再エネ導入予定（設備情報）'!$F$1,MATCH(G71,'4.1(2)新規再エネ導入予定（設備情報）'!$G:$G,0)-1,0),"")</f>
        <v/>
      </c>
      <c r="G71" s="512"/>
      <c r="H71" s="508" t="str">
        <f ca="1">IFERROR(OFFSET('4.1(2)新規再エネ導入予定（設備情報）'!$H$1,MATCH(G71,'4.1(2)新規再エネ導入予定（設備情報）'!$G:$G,0)-1,0)&amp;"","")</f>
        <v/>
      </c>
      <c r="I71" s="509" t="str">
        <f ca="1">IFERROR(OFFSET('4.1(2)新規再エネ導入予定（設備情報）'!$L$1,MATCH(G71,'4.1(2)新規再エネ導入予定（設備情報）'!$G:$G,0)-1,0),"")</f>
        <v/>
      </c>
      <c r="J71" s="510" t="str">
        <f ca="1">IFERROR(OFFSET('4.1(2)新規再エネ導入予定（設備情報）'!$O$1,MATCH(G71,'4.1(2)新規再エネ導入予定（設備情報）'!$G:$G,0)-1,0),"")</f>
        <v/>
      </c>
      <c r="K71" s="511" t="str">
        <f ca="1">IFERROR(OFFSET('4.1(2)新規再エネ導入予定（設備情報）'!$P$1,MATCH(G71,'4.1(2)新規再エネ導入予定（設備情報）'!$G:$G,0)-1,0),"")</f>
        <v/>
      </c>
      <c r="L71" s="489"/>
      <c r="M71" s="489"/>
      <c r="N71" s="489"/>
      <c r="O71" s="486"/>
      <c r="P71" s="24"/>
      <c r="Q71" s="21"/>
      <c r="R71" s="433">
        <f t="shared" si="1"/>
        <v>64</v>
      </c>
      <c r="S71" s="127">
        <f t="shared" si="2"/>
        <v>0</v>
      </c>
      <c r="T71" s="127" t="str">
        <f ca="1">_xlfn.IFNA(OFFSET('(非表示)新規再エネ実現可能性判定'!$C$1,MATCH(M71,'(非表示)新規再エネ実現可能性判定'!$B:$B,0)-1,0),"//")</f>
        <v>//</v>
      </c>
      <c r="U71" s="257" t="str">
        <f ca="1">_xlfn.IFNA(OFFSET('(非表示)新規再エネ実現可能性判定'!$F$1,MATCH(N71,'(非表示)新規再エネ実現可能性判定'!$E:$E,0)-1,0),"//")</f>
        <v>//</v>
      </c>
      <c r="V71" s="257" t="str">
        <f ca="1">_xlfn.IFNA(OFFSET('(非表示)新規再エネ実現可能性判定'!$I$1,MATCH(O71,'(非表示)新規再エネ実現可能性判定'!$H:$H,0)-1,0),"//")</f>
        <v>//</v>
      </c>
      <c r="W71" s="257" t="str">
        <f t="shared" si="4"/>
        <v/>
      </c>
    </row>
    <row r="72" spans="2:23" s="11" customFormat="1" ht="20">
      <c r="B72" s="21"/>
      <c r="C72" s="21"/>
      <c r="D72" s="36"/>
      <c r="E72" s="126"/>
      <c r="F72" s="504" t="str">
        <f ca="1">IFERROR(OFFSET('4.1(2)新規再エネ導入予定（設備情報）'!$F$1,MATCH(G72,'4.1(2)新規再エネ導入予定（設備情報）'!$G:$G,0)-1,0),"")</f>
        <v/>
      </c>
      <c r="G72" s="512"/>
      <c r="H72" s="508" t="str">
        <f ca="1">IFERROR(OFFSET('4.1(2)新規再エネ導入予定（設備情報）'!$H$1,MATCH(G72,'4.1(2)新規再エネ導入予定（設備情報）'!$G:$G,0)-1,0)&amp;"","")</f>
        <v/>
      </c>
      <c r="I72" s="509" t="str">
        <f ca="1">IFERROR(OFFSET('4.1(2)新規再エネ導入予定（設備情報）'!$L$1,MATCH(G72,'4.1(2)新規再エネ導入予定（設備情報）'!$G:$G,0)-1,0),"")</f>
        <v/>
      </c>
      <c r="J72" s="510" t="str">
        <f ca="1">IFERROR(OFFSET('4.1(2)新規再エネ導入予定（設備情報）'!$O$1,MATCH(G72,'4.1(2)新規再エネ導入予定（設備情報）'!$G:$G,0)-1,0),"")</f>
        <v/>
      </c>
      <c r="K72" s="511" t="str">
        <f ca="1">IFERROR(OFFSET('4.1(2)新規再エネ導入予定（設備情報）'!$P$1,MATCH(G72,'4.1(2)新規再エネ導入予定（設備情報）'!$G:$G,0)-1,0),"")</f>
        <v/>
      </c>
      <c r="L72" s="489"/>
      <c r="M72" s="489"/>
      <c r="N72" s="489"/>
      <c r="O72" s="486"/>
      <c r="P72" s="24"/>
      <c r="Q72" s="21"/>
      <c r="R72" s="433">
        <f t="shared" si="1"/>
        <v>65</v>
      </c>
      <c r="S72" s="127">
        <f t="shared" si="2"/>
        <v>0</v>
      </c>
      <c r="T72" s="127" t="str">
        <f ca="1">_xlfn.IFNA(OFFSET('(非表示)新規再エネ実現可能性判定'!$C$1,MATCH(M72,'(非表示)新規再エネ実現可能性判定'!$B:$B,0)-1,0),"//")</f>
        <v>//</v>
      </c>
      <c r="U72" s="257" t="str">
        <f ca="1">_xlfn.IFNA(OFFSET('(非表示)新規再エネ実現可能性判定'!$F$1,MATCH(N72,'(非表示)新規再エネ実現可能性判定'!$E:$E,0)-1,0),"//")</f>
        <v>//</v>
      </c>
      <c r="V72" s="257" t="str">
        <f ca="1">_xlfn.IFNA(OFFSET('(非表示)新規再エネ実現可能性判定'!$I$1,MATCH(O72,'(非表示)新規再エネ実現可能性判定'!$H:$H,0)-1,0),"//")</f>
        <v>//</v>
      </c>
      <c r="W72" s="257" t="str">
        <f t="shared" ref="W72:W135" si="5">IF(COUNTBLANK($L72:$O72)=0,IF(V72="//","//",IF(S72=0,1,MIN(T72:V72))),"")</f>
        <v/>
      </c>
    </row>
    <row r="73" spans="2:23" s="11" customFormat="1" ht="20">
      <c r="B73" s="21"/>
      <c r="C73" s="21"/>
      <c r="D73" s="36"/>
      <c r="E73" s="126"/>
      <c r="F73" s="504" t="str">
        <f ca="1">IFERROR(OFFSET('4.1(2)新規再エネ導入予定（設備情報）'!$F$1,MATCH(G73,'4.1(2)新規再エネ導入予定（設備情報）'!$G:$G,0)-1,0),"")</f>
        <v/>
      </c>
      <c r="G73" s="512"/>
      <c r="H73" s="508" t="str">
        <f ca="1">IFERROR(OFFSET('4.1(2)新規再エネ導入予定（設備情報）'!$H$1,MATCH(G73,'4.1(2)新規再エネ導入予定（設備情報）'!$G:$G,0)-1,0)&amp;"","")</f>
        <v/>
      </c>
      <c r="I73" s="509" t="str">
        <f ca="1">IFERROR(OFFSET('4.1(2)新規再エネ導入予定（設備情報）'!$L$1,MATCH(G73,'4.1(2)新規再エネ導入予定（設備情報）'!$G:$G,0)-1,0),"")</f>
        <v/>
      </c>
      <c r="J73" s="510" t="str">
        <f ca="1">IFERROR(OFFSET('4.1(2)新規再エネ導入予定（設備情報）'!$O$1,MATCH(G73,'4.1(2)新規再エネ導入予定（設備情報）'!$G:$G,0)-1,0),"")</f>
        <v/>
      </c>
      <c r="K73" s="511" t="str">
        <f ca="1">IFERROR(OFFSET('4.1(2)新規再エネ導入予定（設備情報）'!$P$1,MATCH(G73,'4.1(2)新規再エネ導入予定（設備情報）'!$G:$G,0)-1,0),"")</f>
        <v/>
      </c>
      <c r="L73" s="489"/>
      <c r="M73" s="489"/>
      <c r="N73" s="489"/>
      <c r="O73" s="486"/>
      <c r="P73" s="24"/>
      <c r="Q73" s="21"/>
      <c r="R73" s="433">
        <f t="shared" ref="R73:R136" si="6">ROW()-7</f>
        <v>66</v>
      </c>
      <c r="S73" s="127">
        <f t="shared" ref="S73:S136" si="7">IF(L73="確認済",1,0)</f>
        <v>0</v>
      </c>
      <c r="T73" s="127" t="str">
        <f ca="1">_xlfn.IFNA(OFFSET('(非表示)新規再エネ実現可能性判定'!$C$1,MATCH(M73,'(非表示)新規再エネ実現可能性判定'!$B:$B,0)-1,0),"//")</f>
        <v>//</v>
      </c>
      <c r="U73" s="257" t="str">
        <f ca="1">_xlfn.IFNA(OFFSET('(非表示)新規再エネ実現可能性判定'!$F$1,MATCH(N73,'(非表示)新規再エネ実現可能性判定'!$E:$E,0)-1,0),"//")</f>
        <v>//</v>
      </c>
      <c r="V73" s="257" t="str">
        <f ca="1">_xlfn.IFNA(OFFSET('(非表示)新規再エネ実現可能性判定'!$I$1,MATCH(O73,'(非表示)新規再エネ実現可能性判定'!$H:$H,0)-1,0),"//")</f>
        <v>//</v>
      </c>
      <c r="W73" s="257" t="str">
        <f t="shared" si="5"/>
        <v/>
      </c>
    </row>
    <row r="74" spans="2:23" ht="20">
      <c r="D74" s="190"/>
      <c r="E74" s="192" t="s">
        <v>25</v>
      </c>
      <c r="F74" s="515"/>
      <c r="G74" s="477"/>
      <c r="H74" s="478"/>
      <c r="I74" s="479"/>
      <c r="J74" s="480"/>
      <c r="K74" s="481"/>
      <c r="L74" s="712"/>
      <c r="M74" s="712"/>
      <c r="N74" s="712"/>
      <c r="O74" s="713"/>
      <c r="P74" s="19"/>
      <c r="R74" s="425">
        <f t="shared" si="6"/>
        <v>67</v>
      </c>
      <c r="S74" s="224">
        <f t="shared" si="7"/>
        <v>0</v>
      </c>
      <c r="T74" s="224" t="str">
        <f ca="1">_xlfn.IFNA(OFFSET('(非表示)新規再エネ実現可能性判定'!$C$1,MATCH(M74,'(非表示)新規再エネ実現可能性判定'!$B:$B,0)-1,0),"//")</f>
        <v>//</v>
      </c>
      <c r="U74" s="177" t="str">
        <f ca="1">_xlfn.IFNA(OFFSET('(非表示)新規再エネ実現可能性判定'!$F$1,MATCH(N74,'(非表示)新規再エネ実現可能性判定'!$E:$E,0)-1,0),"//")</f>
        <v>//</v>
      </c>
      <c r="V74" s="177" t="str">
        <f ca="1">_xlfn.IFNA(OFFSET('(非表示)新規再エネ実現可能性判定'!$I$1,MATCH(O74,'(非表示)新規再エネ実現可能性判定'!$H:$H,0)-1,0),"//")</f>
        <v>//</v>
      </c>
      <c r="W74" s="177" t="str">
        <f t="shared" si="5"/>
        <v/>
      </c>
    </row>
    <row r="75" spans="2:23" s="11" customFormat="1" ht="19.5" hidden="1" customHeight="1">
      <c r="B75" s="21"/>
      <c r="C75" s="21"/>
      <c r="D75" s="36"/>
      <c r="E75" s="126"/>
      <c r="F75" s="491"/>
      <c r="G75" s="482"/>
      <c r="H75" s="498"/>
      <c r="I75" s="505"/>
      <c r="J75" s="506"/>
      <c r="K75" s="507"/>
      <c r="L75" s="513"/>
      <c r="M75" s="513"/>
      <c r="N75" s="513"/>
      <c r="O75" s="514"/>
      <c r="P75" s="24"/>
      <c r="Q75" s="21"/>
      <c r="R75" s="433">
        <f t="shared" si="6"/>
        <v>68</v>
      </c>
      <c r="S75" s="127">
        <f t="shared" si="7"/>
        <v>0</v>
      </c>
      <c r="T75" s="127" t="str">
        <f ca="1">_xlfn.IFNA(OFFSET('(非表示)新規再エネ実現可能性判定'!$C$1,MATCH(M75,'(非表示)新規再エネ実現可能性判定'!$B:$B,0)-1,0),"//")</f>
        <v>//</v>
      </c>
      <c r="U75" s="257" t="str">
        <f ca="1">_xlfn.IFNA(OFFSET('(非表示)新規再エネ実現可能性判定'!$F$1,MATCH(N75,'(非表示)新規再エネ実現可能性判定'!$E:$E,0)-1,0),"//")</f>
        <v>//</v>
      </c>
      <c r="V75" s="257" t="str">
        <f ca="1">_xlfn.IFNA(OFFSET('(非表示)新規再エネ実現可能性判定'!$I$1,MATCH(O75,'(非表示)新規再エネ実現可能性判定'!$H:$H,0)-1,0),"//")</f>
        <v>//</v>
      </c>
      <c r="W75" s="257" t="str">
        <f t="shared" si="5"/>
        <v/>
      </c>
    </row>
    <row r="76" spans="2:23" s="11" customFormat="1" ht="20">
      <c r="B76" s="21"/>
      <c r="C76" s="21"/>
      <c r="D76" s="36"/>
      <c r="E76" s="126"/>
      <c r="F76" s="504" t="str">
        <f ca="1">IFERROR(OFFSET('4.1(2)新規再エネ導入予定（設備情報）'!$F$1,MATCH(G76,'4.1(2)新規再エネ導入予定（設備情報）'!$G:$G,0)-1,0),"")</f>
        <v/>
      </c>
      <c r="G76" s="512"/>
      <c r="H76" s="508" t="str">
        <f ca="1">IFERROR(OFFSET('4.1(2)新規再エネ導入予定（設備情報）'!$H$1,MATCH(G76,'4.1(2)新規再エネ導入予定（設備情報）'!$G:$G,0)-1,0)&amp;"","")</f>
        <v/>
      </c>
      <c r="I76" s="509" t="str">
        <f ca="1">IFERROR(OFFSET('4.1(2)新規再エネ導入予定（設備情報）'!$L$1,MATCH(G76,'4.1(2)新規再エネ導入予定（設備情報）'!$G:$G,0)-1,0),"")</f>
        <v/>
      </c>
      <c r="J76" s="510" t="str">
        <f ca="1">IFERROR(OFFSET('4.1(2)新規再エネ導入予定（設備情報）'!$O$1,MATCH(G76,'4.1(2)新規再エネ導入予定（設備情報）'!$G:$G,0)-1,0),"")</f>
        <v/>
      </c>
      <c r="K76" s="511" t="str">
        <f ca="1">IFERROR(OFFSET('4.1(2)新規再エネ導入予定（設備情報）'!$P$1,MATCH(G76,'4.1(2)新規再エネ導入予定（設備情報）'!$G:$G,0)-1,0),"")</f>
        <v/>
      </c>
      <c r="L76" s="489"/>
      <c r="M76" s="489"/>
      <c r="N76" s="489"/>
      <c r="O76" s="486"/>
      <c r="P76" s="24"/>
      <c r="Q76" s="21"/>
      <c r="R76" s="433">
        <f t="shared" si="6"/>
        <v>69</v>
      </c>
      <c r="S76" s="127">
        <f t="shared" si="7"/>
        <v>0</v>
      </c>
      <c r="T76" s="127" t="str">
        <f ca="1">_xlfn.IFNA(OFFSET('(非表示)新規再エネ実現可能性判定'!$C$1,MATCH(M76,'(非表示)新規再エネ実現可能性判定'!$B:$B,0)-1,0),"//")</f>
        <v>//</v>
      </c>
      <c r="U76" s="257" t="str">
        <f ca="1">_xlfn.IFNA(OFFSET('(非表示)新規再エネ実現可能性判定'!$F$1,MATCH(N76,'(非表示)新規再エネ実現可能性判定'!$E:$E,0)-1,0),"//")</f>
        <v>//</v>
      </c>
      <c r="V76" s="257" t="str">
        <f ca="1">_xlfn.IFNA(OFFSET('(非表示)新規再エネ実現可能性判定'!$I$1,MATCH(O76,'(非表示)新規再エネ実現可能性判定'!$H:$H,0)-1,0),"//")</f>
        <v>//</v>
      </c>
      <c r="W76" s="257" t="str">
        <f t="shared" si="5"/>
        <v/>
      </c>
    </row>
    <row r="77" spans="2:23" s="11" customFormat="1" ht="20">
      <c r="B77" s="21"/>
      <c r="C77" s="21"/>
      <c r="D77" s="36"/>
      <c r="E77" s="126"/>
      <c r="F77" s="504" t="str">
        <f ca="1">IFERROR(OFFSET('4.1(2)新規再エネ導入予定（設備情報）'!$F$1,MATCH(G77,'4.1(2)新規再エネ導入予定（設備情報）'!$G:$G,0)-1,0),"")</f>
        <v/>
      </c>
      <c r="G77" s="512"/>
      <c r="H77" s="508" t="str">
        <f ca="1">IFERROR(OFFSET('4.1(2)新規再エネ導入予定（設備情報）'!$H$1,MATCH(G77,'4.1(2)新規再エネ導入予定（設備情報）'!$G:$G,0)-1,0)&amp;"","")</f>
        <v/>
      </c>
      <c r="I77" s="509" t="str">
        <f ca="1">IFERROR(OFFSET('4.1(2)新規再エネ導入予定（設備情報）'!$L$1,MATCH(G77,'4.1(2)新規再エネ導入予定（設備情報）'!$G:$G,0)-1,0),"")</f>
        <v/>
      </c>
      <c r="J77" s="510" t="str">
        <f ca="1">IFERROR(OFFSET('4.1(2)新規再エネ導入予定（設備情報）'!$O$1,MATCH(G77,'4.1(2)新規再エネ導入予定（設備情報）'!$G:$G,0)-1,0),"")</f>
        <v/>
      </c>
      <c r="K77" s="511" t="str">
        <f ca="1">IFERROR(OFFSET('4.1(2)新規再エネ導入予定（設備情報）'!$P$1,MATCH(G77,'4.1(2)新規再エネ導入予定（設備情報）'!$G:$G,0)-1,0),"")</f>
        <v/>
      </c>
      <c r="L77" s="489"/>
      <c r="M77" s="489"/>
      <c r="N77" s="489"/>
      <c r="O77" s="486"/>
      <c r="P77" s="24"/>
      <c r="Q77" s="21"/>
      <c r="R77" s="433">
        <f t="shared" si="6"/>
        <v>70</v>
      </c>
      <c r="S77" s="127">
        <f t="shared" si="7"/>
        <v>0</v>
      </c>
      <c r="T77" s="127" t="str">
        <f ca="1">_xlfn.IFNA(OFFSET('(非表示)新規再エネ実現可能性判定'!$C$1,MATCH(M77,'(非表示)新規再エネ実現可能性判定'!$B:$B,0)-1,0),"//")</f>
        <v>//</v>
      </c>
      <c r="U77" s="257" t="str">
        <f ca="1">_xlfn.IFNA(OFFSET('(非表示)新規再エネ実現可能性判定'!$F$1,MATCH(N77,'(非表示)新規再エネ実現可能性判定'!$E:$E,0)-1,0),"//")</f>
        <v>//</v>
      </c>
      <c r="V77" s="257" t="str">
        <f ca="1">_xlfn.IFNA(OFFSET('(非表示)新規再エネ実現可能性判定'!$I$1,MATCH(O77,'(非表示)新規再エネ実現可能性判定'!$H:$H,0)-1,0),"//")</f>
        <v>//</v>
      </c>
      <c r="W77" s="257" t="str">
        <f t="shared" si="5"/>
        <v/>
      </c>
    </row>
    <row r="78" spans="2:23" s="11" customFormat="1" ht="20">
      <c r="B78" s="21"/>
      <c r="C78" s="21"/>
      <c r="D78" s="36"/>
      <c r="E78" s="126"/>
      <c r="F78" s="504" t="str">
        <f ca="1">IFERROR(OFFSET('4.1(2)新規再エネ導入予定（設備情報）'!$F$1,MATCH(G78,'4.1(2)新規再エネ導入予定（設備情報）'!$G:$G,0)-1,0),"")</f>
        <v/>
      </c>
      <c r="G78" s="512"/>
      <c r="H78" s="508" t="str">
        <f ca="1">IFERROR(OFFSET('4.1(2)新規再エネ導入予定（設備情報）'!$H$1,MATCH(G78,'4.1(2)新規再エネ導入予定（設備情報）'!$G:$G,0)-1,0)&amp;"","")</f>
        <v/>
      </c>
      <c r="I78" s="509" t="str">
        <f ca="1">IFERROR(OFFSET('4.1(2)新規再エネ導入予定（設備情報）'!$L$1,MATCH(G78,'4.1(2)新規再エネ導入予定（設備情報）'!$G:$G,0)-1,0),"")</f>
        <v/>
      </c>
      <c r="J78" s="510" t="str">
        <f ca="1">IFERROR(OFFSET('4.1(2)新規再エネ導入予定（設備情報）'!$O$1,MATCH(G78,'4.1(2)新規再エネ導入予定（設備情報）'!$G:$G,0)-1,0),"")</f>
        <v/>
      </c>
      <c r="K78" s="511" t="str">
        <f ca="1">IFERROR(OFFSET('4.1(2)新規再エネ導入予定（設備情報）'!$P$1,MATCH(G78,'4.1(2)新規再エネ導入予定（設備情報）'!$G:$G,0)-1,0),"")</f>
        <v/>
      </c>
      <c r="L78" s="489"/>
      <c r="M78" s="489"/>
      <c r="N78" s="489"/>
      <c r="O78" s="486"/>
      <c r="P78" s="24"/>
      <c r="Q78" s="21"/>
      <c r="R78" s="433">
        <f t="shared" si="6"/>
        <v>71</v>
      </c>
      <c r="S78" s="127">
        <f t="shared" si="7"/>
        <v>0</v>
      </c>
      <c r="T78" s="127" t="str">
        <f ca="1">_xlfn.IFNA(OFFSET('(非表示)新規再エネ実現可能性判定'!$C$1,MATCH(M78,'(非表示)新規再エネ実現可能性判定'!$B:$B,0)-1,0),"//")</f>
        <v>//</v>
      </c>
      <c r="U78" s="257" t="str">
        <f ca="1">_xlfn.IFNA(OFFSET('(非表示)新規再エネ実現可能性判定'!$F$1,MATCH(N78,'(非表示)新規再エネ実現可能性判定'!$E:$E,0)-1,0),"//")</f>
        <v>//</v>
      </c>
      <c r="V78" s="257" t="str">
        <f ca="1">_xlfn.IFNA(OFFSET('(非表示)新規再エネ実現可能性判定'!$I$1,MATCH(O78,'(非表示)新規再エネ実現可能性判定'!$H:$H,0)-1,0),"//")</f>
        <v>//</v>
      </c>
      <c r="W78" s="257" t="str">
        <f t="shared" si="5"/>
        <v/>
      </c>
    </row>
    <row r="79" spans="2:23" s="11" customFormat="1" ht="20">
      <c r="B79" s="21"/>
      <c r="C79" s="21"/>
      <c r="D79" s="36"/>
      <c r="E79" s="126"/>
      <c r="F79" s="504" t="str">
        <f ca="1">IFERROR(OFFSET('4.1(2)新規再エネ導入予定（設備情報）'!$F$1,MATCH(G79,'4.1(2)新規再エネ導入予定（設備情報）'!$G:$G,0)-1,0),"")</f>
        <v/>
      </c>
      <c r="G79" s="512"/>
      <c r="H79" s="508" t="str">
        <f ca="1">IFERROR(OFFSET('4.1(2)新規再エネ導入予定（設備情報）'!$H$1,MATCH(G79,'4.1(2)新規再エネ導入予定（設備情報）'!$G:$G,0)-1,0)&amp;"","")</f>
        <v/>
      </c>
      <c r="I79" s="509" t="str">
        <f ca="1">IFERROR(OFFSET('4.1(2)新規再エネ導入予定（設備情報）'!$L$1,MATCH(G79,'4.1(2)新規再エネ導入予定（設備情報）'!$G:$G,0)-1,0),"")</f>
        <v/>
      </c>
      <c r="J79" s="510" t="str">
        <f ca="1">IFERROR(OFFSET('4.1(2)新規再エネ導入予定（設備情報）'!$O$1,MATCH(G79,'4.1(2)新規再エネ導入予定（設備情報）'!$G:$G,0)-1,0),"")</f>
        <v/>
      </c>
      <c r="K79" s="511" t="str">
        <f ca="1">IFERROR(OFFSET('4.1(2)新規再エネ導入予定（設備情報）'!$P$1,MATCH(G79,'4.1(2)新規再エネ導入予定（設備情報）'!$G:$G,0)-1,0),"")</f>
        <v/>
      </c>
      <c r="L79" s="489"/>
      <c r="M79" s="489"/>
      <c r="N79" s="489"/>
      <c r="O79" s="486"/>
      <c r="P79" s="24"/>
      <c r="Q79" s="21"/>
      <c r="R79" s="433">
        <f t="shared" si="6"/>
        <v>72</v>
      </c>
      <c r="S79" s="127">
        <f t="shared" si="7"/>
        <v>0</v>
      </c>
      <c r="T79" s="127" t="str">
        <f ca="1">_xlfn.IFNA(OFFSET('(非表示)新規再エネ実現可能性判定'!$C$1,MATCH(M79,'(非表示)新規再エネ実現可能性判定'!$B:$B,0)-1,0),"//")</f>
        <v>//</v>
      </c>
      <c r="U79" s="257" t="str">
        <f ca="1">_xlfn.IFNA(OFFSET('(非表示)新規再エネ実現可能性判定'!$F$1,MATCH(N79,'(非表示)新規再エネ実現可能性判定'!$E:$E,0)-1,0),"//")</f>
        <v>//</v>
      </c>
      <c r="V79" s="257" t="str">
        <f ca="1">_xlfn.IFNA(OFFSET('(非表示)新規再エネ実現可能性判定'!$I$1,MATCH(O79,'(非表示)新規再エネ実現可能性判定'!$H:$H,0)-1,0),"//")</f>
        <v>//</v>
      </c>
      <c r="W79" s="257" t="str">
        <f t="shared" si="5"/>
        <v/>
      </c>
    </row>
    <row r="80" spans="2:23" ht="20">
      <c r="D80" s="32"/>
      <c r="E80" s="241" t="s">
        <v>26</v>
      </c>
      <c r="F80" s="242"/>
      <c r="G80" s="242"/>
      <c r="H80" s="243"/>
      <c r="I80" s="267"/>
      <c r="J80" s="245"/>
      <c r="K80" s="502">
        <f ca="1">SUM(OFFSET(K$8,0,0,ROW()-ROW(K$8),1))</f>
        <v>0</v>
      </c>
      <c r="L80" s="253"/>
      <c r="M80" s="253"/>
      <c r="N80" s="253"/>
      <c r="O80" s="253"/>
      <c r="P80" s="19"/>
      <c r="R80" s="425">
        <f t="shared" si="6"/>
        <v>73</v>
      </c>
      <c r="S80" s="224">
        <f t="shared" si="7"/>
        <v>0</v>
      </c>
      <c r="T80" s="224" t="str">
        <f ca="1">_xlfn.IFNA(OFFSET('(非表示)新規再エネ実現可能性判定'!$C$1,MATCH(M80,'(非表示)新規再エネ実現可能性判定'!$B:$B,0)-1,0),"//")</f>
        <v>//</v>
      </c>
      <c r="U80" s="177" t="str">
        <f ca="1">_xlfn.IFNA(OFFSET('(非表示)新規再エネ実現可能性判定'!$F$1,MATCH(N80,'(非表示)新規再エネ実現可能性判定'!$E:$E,0)-1,0),"//")</f>
        <v>//</v>
      </c>
      <c r="V80" s="177" t="str">
        <f ca="1">_xlfn.IFNA(OFFSET('(非表示)新規再エネ実現可能性判定'!$I$1,MATCH(O80,'(非表示)新規再エネ実現可能性判定'!$H:$H,0)-1,0),"//")</f>
        <v>//</v>
      </c>
      <c r="W80" s="177" t="str">
        <f t="shared" si="5"/>
        <v/>
      </c>
    </row>
    <row r="81" spans="2:23" ht="15" customHeight="1">
      <c r="D81" s="46"/>
      <c r="E81" s="26"/>
      <c r="F81" s="34"/>
      <c r="G81" s="34"/>
      <c r="H81" s="34"/>
      <c r="I81" s="269"/>
      <c r="J81" s="34"/>
      <c r="K81" s="34"/>
      <c r="L81" s="285"/>
      <c r="M81" s="285"/>
      <c r="N81" s="285"/>
      <c r="O81" s="286"/>
      <c r="P81" s="27"/>
      <c r="R81" s="425">
        <f t="shared" si="6"/>
        <v>74</v>
      </c>
      <c r="S81" s="224">
        <f t="shared" si="7"/>
        <v>0</v>
      </c>
      <c r="T81" s="224" t="str">
        <f ca="1">_xlfn.IFNA(OFFSET('(非表示)新規再エネ実現可能性判定'!$C$1,MATCH(M81,'(非表示)新規再エネ実現可能性判定'!$B:$B,0)-1,0),"//")</f>
        <v>//</v>
      </c>
      <c r="U81" s="177" t="str">
        <f ca="1">_xlfn.IFNA(OFFSET('(非表示)新規再エネ実現可能性判定'!$F$1,MATCH(N81,'(非表示)新規再エネ実現可能性判定'!$E:$E,0)-1,0),"//")</f>
        <v>//</v>
      </c>
      <c r="V81" s="177" t="str">
        <f ca="1">_xlfn.IFNA(OFFSET('(非表示)新規再エネ実現可能性判定'!$I$1,MATCH(O81,'(非表示)新規再エネ実現可能性判定'!$H:$H,0)-1,0),"//")</f>
        <v>//</v>
      </c>
      <c r="W81" s="177" t="str">
        <f t="shared" si="5"/>
        <v/>
      </c>
    </row>
    <row r="82" spans="2:23" ht="20">
      <c r="F82" s="31"/>
      <c r="G82" s="31"/>
      <c r="H82" s="31"/>
      <c r="I82" s="270"/>
      <c r="J82" s="31"/>
      <c r="K82" s="31"/>
      <c r="L82" s="287"/>
      <c r="M82" s="287"/>
      <c r="N82" s="287"/>
      <c r="O82" s="288"/>
      <c r="R82" s="425">
        <f t="shared" si="6"/>
        <v>75</v>
      </c>
      <c r="S82" s="224">
        <f t="shared" si="7"/>
        <v>0</v>
      </c>
      <c r="T82" s="224" t="str">
        <f ca="1">_xlfn.IFNA(OFFSET('(非表示)新規再エネ実現可能性判定'!$C$1,MATCH(M82,'(非表示)新規再エネ実現可能性判定'!$B:$B,0)-1,0),"//")</f>
        <v>//</v>
      </c>
      <c r="U82" s="177" t="str">
        <f ca="1">_xlfn.IFNA(OFFSET('(非表示)新規再エネ実現可能性判定'!$F$1,MATCH(N82,'(非表示)新規再エネ実現可能性判定'!$E:$E,0)-1,0),"//")</f>
        <v>//</v>
      </c>
      <c r="V82" s="177" t="str">
        <f ca="1">_xlfn.IFNA(OFFSET('(非表示)新規再エネ実現可能性判定'!$I$1,MATCH(O82,'(非表示)新規再エネ実現可能性判定'!$H:$H,0)-1,0),"//")</f>
        <v>//</v>
      </c>
      <c r="W82" s="177" t="str">
        <f t="shared" si="5"/>
        <v/>
      </c>
    </row>
    <row r="83" spans="2:23" ht="20">
      <c r="F83" s="31"/>
      <c r="G83" s="31"/>
      <c r="H83" s="31"/>
      <c r="I83" s="270"/>
      <c r="J83" s="31"/>
      <c r="K83" s="31"/>
      <c r="L83" s="287"/>
      <c r="M83" s="287"/>
      <c r="N83" s="287"/>
      <c r="O83" s="288"/>
      <c r="R83" s="425">
        <f t="shared" si="6"/>
        <v>76</v>
      </c>
      <c r="S83" s="224">
        <f t="shared" si="7"/>
        <v>0</v>
      </c>
      <c r="T83" s="224" t="str">
        <f ca="1">_xlfn.IFNA(OFFSET('(非表示)新規再エネ実現可能性判定'!$C$1,MATCH(M83,'(非表示)新規再エネ実現可能性判定'!$B:$B,0)-1,0),"//")</f>
        <v>//</v>
      </c>
      <c r="U83" s="177" t="str">
        <f ca="1">_xlfn.IFNA(OFFSET('(非表示)新規再エネ実現可能性判定'!$F$1,MATCH(N83,'(非表示)新規再エネ実現可能性判定'!$E:$E,0)-1,0),"//")</f>
        <v>//</v>
      </c>
      <c r="V83" s="177" t="str">
        <f ca="1">_xlfn.IFNA(OFFSET('(非表示)新規再エネ実現可能性判定'!$I$1,MATCH(O83,'(非表示)新規再エネ実現可能性判定'!$H:$H,0)-1,0),"//")</f>
        <v>//</v>
      </c>
      <c r="W83" s="177" t="str">
        <f t="shared" si="5"/>
        <v/>
      </c>
    </row>
    <row r="84" spans="2:23" ht="9.75" customHeight="1">
      <c r="D84" s="14"/>
      <c r="E84" s="15"/>
      <c r="F84" s="15"/>
      <c r="G84" s="250"/>
      <c r="H84" s="15"/>
      <c r="I84" s="237"/>
      <c r="J84" s="15"/>
      <c r="K84" s="15"/>
      <c r="L84" s="280"/>
      <c r="M84" s="280"/>
      <c r="N84" s="280"/>
      <c r="O84" s="18"/>
      <c r="P84" s="30"/>
      <c r="R84" s="425">
        <f t="shared" si="6"/>
        <v>77</v>
      </c>
      <c r="S84" s="224">
        <f t="shared" si="7"/>
        <v>0</v>
      </c>
      <c r="T84" s="224" t="str">
        <f ca="1">_xlfn.IFNA(OFFSET('(非表示)新規再エネ実現可能性判定'!$C$1,MATCH(M84,'(非表示)新規再エネ実現可能性判定'!$B:$B,0)-1,0),"//")</f>
        <v>//</v>
      </c>
      <c r="U84" s="177" t="str">
        <f ca="1">_xlfn.IFNA(OFFSET('(非表示)新規再エネ実現可能性判定'!$F$1,MATCH(N84,'(非表示)新規再エネ実現可能性判定'!$E:$E,0)-1,0),"//")</f>
        <v>//</v>
      </c>
      <c r="V84" s="177" t="str">
        <f ca="1">_xlfn.IFNA(OFFSET('(非表示)新規再エネ実現可能性判定'!$I$1,MATCH(O84,'(非表示)新規再エネ実現可能性判定'!$H:$H,0)-1,0),"//")</f>
        <v>//</v>
      </c>
      <c r="W84" s="177" t="str">
        <f t="shared" si="5"/>
        <v/>
      </c>
    </row>
    <row r="85" spans="2:23" ht="21">
      <c r="D85" s="239" t="s">
        <v>287</v>
      </c>
      <c r="F85" s="239"/>
      <c r="G85" s="271"/>
      <c r="I85" s="230"/>
      <c r="P85" s="19"/>
      <c r="R85" s="425">
        <f t="shared" si="6"/>
        <v>78</v>
      </c>
      <c r="S85" s="224">
        <f t="shared" si="7"/>
        <v>0</v>
      </c>
      <c r="T85" s="224" t="str">
        <f ca="1">_xlfn.IFNA(OFFSET('(非表示)新規再エネ実現可能性判定'!$C$1,MATCH(M85,'(非表示)新規再エネ実現可能性判定'!$B:$B,0)-1,0),"//")</f>
        <v>//</v>
      </c>
      <c r="U85" s="177" t="str">
        <f ca="1">_xlfn.IFNA(OFFSET('(非表示)新規再エネ実現可能性判定'!$F$1,MATCH(N85,'(非表示)新規再エネ実現可能性判定'!$E:$E,0)-1,0),"//")</f>
        <v>//</v>
      </c>
      <c r="V85" s="177" t="str">
        <f ca="1">_xlfn.IFNA(OFFSET('(非表示)新規再エネ実現可能性判定'!$I$1,MATCH(O85,'(非表示)新規再エネ実現可能性判定'!$H:$H,0)-1,0),"//")</f>
        <v>//</v>
      </c>
      <c r="W85" s="177" t="str">
        <f t="shared" si="5"/>
        <v/>
      </c>
    </row>
    <row r="86" spans="2:23" ht="21">
      <c r="D86" s="239"/>
      <c r="F86" s="967" t="s">
        <v>8</v>
      </c>
      <c r="G86" s="968" t="s">
        <v>186</v>
      </c>
      <c r="H86" s="968" t="s">
        <v>181</v>
      </c>
      <c r="I86" s="969" t="s">
        <v>31</v>
      </c>
      <c r="J86" s="968" t="s">
        <v>187</v>
      </c>
      <c r="K86" s="968" t="s">
        <v>81</v>
      </c>
      <c r="L86" s="962" t="s">
        <v>188</v>
      </c>
      <c r="M86" s="962"/>
      <c r="N86" s="962"/>
      <c r="O86" s="281"/>
      <c r="P86" s="19"/>
      <c r="R86" s="425">
        <f t="shared" si="6"/>
        <v>79</v>
      </c>
      <c r="S86" s="224">
        <f t="shared" si="7"/>
        <v>0</v>
      </c>
      <c r="T86" s="224" t="str">
        <f ca="1">_xlfn.IFNA(OFFSET('(非表示)新規再エネ実現可能性判定'!$C$1,MATCH(M86,'(非表示)新規再エネ実現可能性判定'!$B:$B,0)-1,0),"//")</f>
        <v>//</v>
      </c>
      <c r="U86" s="177" t="str">
        <f ca="1">_xlfn.IFNA(OFFSET('(非表示)新規再エネ実現可能性判定'!$F$1,MATCH(N86,'(非表示)新規再エネ実現可能性判定'!$E:$E,0)-1,0),"//")</f>
        <v>//</v>
      </c>
      <c r="V86" s="177" t="str">
        <f ca="1">_xlfn.IFNA(OFFSET('(非表示)新規再エネ実現可能性判定'!$I$1,MATCH(O86,'(非表示)新規再エネ実現可能性判定'!$H:$H,0)-1,0),"//")</f>
        <v>//</v>
      </c>
      <c r="W86" s="177" t="str">
        <f t="shared" si="5"/>
        <v/>
      </c>
    </row>
    <row r="87" spans="2:23" ht="36" customHeight="1">
      <c r="D87" s="16"/>
      <c r="E87" s="273"/>
      <c r="F87" s="967"/>
      <c r="G87" s="968"/>
      <c r="H87" s="968"/>
      <c r="I87" s="969"/>
      <c r="J87" s="968"/>
      <c r="K87" s="968"/>
      <c r="L87" s="296" t="s">
        <v>226</v>
      </c>
      <c r="M87" s="296" t="s">
        <v>109</v>
      </c>
      <c r="N87" s="296" t="s">
        <v>110</v>
      </c>
      <c r="O87" s="282" t="s">
        <v>323</v>
      </c>
      <c r="P87" s="19"/>
      <c r="R87" s="425">
        <f t="shared" si="6"/>
        <v>80</v>
      </c>
      <c r="S87" s="224">
        <f t="shared" si="7"/>
        <v>0</v>
      </c>
      <c r="T87" s="224" t="str">
        <f ca="1">_xlfn.IFNA(OFFSET('(非表示)新規再エネ実現可能性判定'!$C$1,MATCH(M87,'(非表示)新規再エネ実現可能性判定'!$B:$B,0)-1,0),"//")</f>
        <v>判定</v>
      </c>
      <c r="U87" s="177" t="str">
        <f ca="1">_xlfn.IFNA(OFFSET('(非表示)新規再エネ実現可能性判定'!$F$1,MATCH(N87,'(非表示)新規再エネ実現可能性判定'!$E:$E,0)-1,0),"//")</f>
        <v>判定</v>
      </c>
      <c r="V87" s="177" t="str">
        <f ca="1">_xlfn.IFNA(OFFSET('(非表示)新規再エネ実現可能性判定'!$I$1,MATCH(O87,'(非表示)新規再エネ実現可能性判定'!$H:$H,0)-1,0),"//")</f>
        <v>//</v>
      </c>
      <c r="W87" s="177" t="str">
        <f t="shared" ca="1" si="5"/>
        <v>//</v>
      </c>
    </row>
    <row r="88" spans="2:23" s="11" customFormat="1" ht="20" hidden="1">
      <c r="B88" s="21"/>
      <c r="C88" s="21"/>
      <c r="D88" s="22"/>
      <c r="E88" s="130"/>
      <c r="F88" s="491"/>
      <c r="G88" s="482"/>
      <c r="H88" s="498"/>
      <c r="I88" s="505"/>
      <c r="J88" s="506"/>
      <c r="K88" s="507"/>
      <c r="L88" s="513"/>
      <c r="M88" s="513"/>
      <c r="N88" s="513"/>
      <c r="O88" s="514"/>
      <c r="P88" s="24"/>
      <c r="Q88" s="21"/>
      <c r="R88" s="433">
        <f t="shared" si="6"/>
        <v>81</v>
      </c>
      <c r="S88" s="127">
        <f t="shared" si="7"/>
        <v>0</v>
      </c>
      <c r="T88" s="127" t="str">
        <f ca="1">_xlfn.IFNA(OFFSET('(非表示)新規再エネ実現可能性判定'!$C$1,MATCH(M88,'(非表示)新規再エネ実現可能性判定'!$B:$B,0)-1,0),"//")</f>
        <v>//</v>
      </c>
      <c r="U88" s="257" t="str">
        <f ca="1">_xlfn.IFNA(OFFSET('(非表示)新規再エネ実現可能性判定'!$F$1,MATCH(N88,'(非表示)新規再エネ実現可能性判定'!$E:$E,0)-1,0),"//")</f>
        <v>//</v>
      </c>
      <c r="V88" s="257" t="str">
        <f ca="1">_xlfn.IFNA(OFFSET('(非表示)新規再エネ実現可能性判定'!$I$1,MATCH(O88,'(非表示)新規再エネ実現可能性判定'!$H:$H,0)-1,0),"//")</f>
        <v>//</v>
      </c>
      <c r="W88" s="257" t="str">
        <f t="shared" si="5"/>
        <v/>
      </c>
    </row>
    <row r="89" spans="2:23" s="11" customFormat="1" ht="20">
      <c r="B89" s="21"/>
      <c r="C89" s="21"/>
      <c r="D89" s="22"/>
      <c r="E89" s="130"/>
      <c r="F89" s="504" t="str">
        <f ca="1">IFERROR(OFFSET('4.1(2)新規再エネ導入予定（設備情報）'!$F$1,MATCH(G89,'4.1(2)新規再エネ導入予定（設備情報）'!$G:$G,0)-1,0),"")</f>
        <v/>
      </c>
      <c r="G89" s="512"/>
      <c r="H89" s="508" t="str">
        <f ca="1">IFERROR(OFFSET('4.1(2)新規再エネ導入予定（設備情報）'!$H$1,MATCH(G89,'4.1(2)新規再エネ導入予定（設備情報）'!$G:$G,0)-1,0)&amp;"","")</f>
        <v/>
      </c>
      <c r="I89" s="509" t="str">
        <f ca="1">IFERROR(OFFSET('4.1(2)新規再エネ導入予定（設備情報）'!$L$1,MATCH(G89,'4.1(2)新規再エネ導入予定（設備情報）'!$G:$G,0)-1,0),"")</f>
        <v/>
      </c>
      <c r="J89" s="510" t="str">
        <f ca="1">IFERROR(OFFSET('4.1(2)新規再エネ導入予定（設備情報）'!$O$1,MATCH(G89,'4.1(2)新規再エネ導入予定（設備情報）'!$G:$G,0)-1,0),"")</f>
        <v/>
      </c>
      <c r="K89" s="511" t="str">
        <f ca="1">IFERROR(OFFSET('4.1(2)新規再エネ導入予定（設備情報）'!$P$1,MATCH(G89,'4.1(2)新規再エネ導入予定（設備情報）'!$G:$G,0)-1,0),"")</f>
        <v/>
      </c>
      <c r="L89" s="489"/>
      <c r="M89" s="489"/>
      <c r="N89" s="489"/>
      <c r="O89" s="486"/>
      <c r="P89" s="24"/>
      <c r="Q89" s="21"/>
      <c r="R89" s="433">
        <f t="shared" si="6"/>
        <v>82</v>
      </c>
      <c r="S89" s="127">
        <f t="shared" si="7"/>
        <v>0</v>
      </c>
      <c r="T89" s="127" t="str">
        <f ca="1">_xlfn.IFNA(OFFSET('(非表示)新規再エネ実現可能性判定'!$C$1,MATCH(M89,'(非表示)新規再エネ実現可能性判定'!$B:$B,0)-1,0),"//")</f>
        <v>//</v>
      </c>
      <c r="U89" s="257" t="str">
        <f ca="1">_xlfn.IFNA(OFFSET('(非表示)新規再エネ実現可能性判定'!$F$1,MATCH(N89,'(非表示)新規再エネ実現可能性判定'!$E:$E,0)-1,0),"//")</f>
        <v>//</v>
      </c>
      <c r="V89" s="257" t="str">
        <f ca="1">_xlfn.IFNA(OFFSET('(非表示)新規再エネ実現可能性判定'!$I$1,MATCH(O89,'(非表示)新規再エネ実現可能性判定'!$H:$H,0)-1,0),"//")</f>
        <v>//</v>
      </c>
      <c r="W89" s="257" t="str">
        <f t="shared" si="5"/>
        <v/>
      </c>
    </row>
    <row r="90" spans="2:23" s="11" customFormat="1" ht="20">
      <c r="B90" s="21"/>
      <c r="C90" s="21"/>
      <c r="D90" s="22"/>
      <c r="E90" s="130"/>
      <c r="F90" s="504" t="str">
        <f ca="1">IFERROR(OFFSET('4.1(2)新規再エネ導入予定（設備情報）'!$F$1,MATCH(G90,'4.1(2)新規再エネ導入予定（設備情報）'!$G:$G,0)-1,0),"")</f>
        <v/>
      </c>
      <c r="G90" s="512"/>
      <c r="H90" s="508" t="str">
        <f ca="1">IFERROR(OFFSET('4.1(2)新規再エネ導入予定（設備情報）'!$H$1,MATCH(G90,'4.1(2)新規再エネ導入予定（設備情報）'!$G:$G,0)-1,0)&amp;"","")</f>
        <v/>
      </c>
      <c r="I90" s="509" t="str">
        <f ca="1">IFERROR(OFFSET('4.1(2)新規再エネ導入予定（設備情報）'!$L$1,MATCH(G90,'4.1(2)新規再エネ導入予定（設備情報）'!$G:$G,0)-1,0),"")</f>
        <v/>
      </c>
      <c r="J90" s="510" t="str">
        <f ca="1">IFERROR(OFFSET('4.1(2)新規再エネ導入予定（設備情報）'!$O$1,MATCH(G90,'4.1(2)新規再エネ導入予定（設備情報）'!$G:$G,0)-1,0),"")</f>
        <v/>
      </c>
      <c r="K90" s="511" t="str">
        <f ca="1">IFERROR(OFFSET('4.1(2)新規再エネ導入予定（設備情報）'!$P$1,MATCH(G90,'4.1(2)新規再エネ導入予定（設備情報）'!$G:$G,0)-1,0),"")</f>
        <v/>
      </c>
      <c r="L90" s="489"/>
      <c r="M90" s="489"/>
      <c r="N90" s="489"/>
      <c r="O90" s="486"/>
      <c r="P90" s="24"/>
      <c r="Q90" s="21"/>
      <c r="R90" s="433">
        <f t="shared" si="6"/>
        <v>83</v>
      </c>
      <c r="S90" s="127">
        <f t="shared" si="7"/>
        <v>0</v>
      </c>
      <c r="T90" s="127" t="str">
        <f ca="1">_xlfn.IFNA(OFFSET('(非表示)新規再エネ実現可能性判定'!$C$1,MATCH(M90,'(非表示)新規再エネ実現可能性判定'!$B:$B,0)-1,0),"//")</f>
        <v>//</v>
      </c>
      <c r="U90" s="257" t="str">
        <f ca="1">_xlfn.IFNA(OFFSET('(非表示)新規再エネ実現可能性判定'!$F$1,MATCH(N90,'(非表示)新規再エネ実現可能性判定'!$E:$E,0)-1,0),"//")</f>
        <v>//</v>
      </c>
      <c r="V90" s="257" t="str">
        <f ca="1">_xlfn.IFNA(OFFSET('(非表示)新規再エネ実現可能性判定'!$I$1,MATCH(O90,'(非表示)新規再エネ実現可能性判定'!$H:$H,0)-1,0),"//")</f>
        <v>//</v>
      </c>
      <c r="W90" s="257" t="str">
        <f t="shared" si="5"/>
        <v/>
      </c>
    </row>
    <row r="91" spans="2:23" s="11" customFormat="1" ht="20">
      <c r="B91" s="21"/>
      <c r="C91" s="21"/>
      <c r="D91" s="22"/>
      <c r="E91" s="130"/>
      <c r="F91" s="504" t="str">
        <f ca="1">IFERROR(OFFSET('4.1(2)新規再エネ導入予定（設備情報）'!$F$1,MATCH(G91,'4.1(2)新規再エネ導入予定（設備情報）'!$G:$G,0)-1,0),"")</f>
        <v/>
      </c>
      <c r="G91" s="512"/>
      <c r="H91" s="508" t="str">
        <f ca="1">IFERROR(OFFSET('4.1(2)新規再エネ導入予定（設備情報）'!$H$1,MATCH(G91,'4.1(2)新規再エネ導入予定（設備情報）'!$G:$G,0)-1,0)&amp;"","")</f>
        <v/>
      </c>
      <c r="I91" s="509" t="str">
        <f ca="1">IFERROR(OFFSET('4.1(2)新規再エネ導入予定（設備情報）'!$L$1,MATCH(G91,'4.1(2)新規再エネ導入予定（設備情報）'!$G:$G,0)-1,0),"")</f>
        <v/>
      </c>
      <c r="J91" s="510" t="str">
        <f ca="1">IFERROR(OFFSET('4.1(2)新規再エネ導入予定（設備情報）'!$O$1,MATCH(G91,'4.1(2)新規再エネ導入予定（設備情報）'!$G:$G,0)-1,0),"")</f>
        <v/>
      </c>
      <c r="K91" s="511" t="str">
        <f ca="1">IFERROR(OFFSET('4.1(2)新規再エネ導入予定（設備情報）'!$P$1,MATCH(G91,'4.1(2)新規再エネ導入予定（設備情報）'!$G:$G,0)-1,0),"")</f>
        <v/>
      </c>
      <c r="L91" s="489"/>
      <c r="M91" s="489"/>
      <c r="N91" s="489"/>
      <c r="O91" s="486"/>
      <c r="P91" s="24"/>
      <c r="Q91" s="21"/>
      <c r="R91" s="433">
        <f t="shared" si="6"/>
        <v>84</v>
      </c>
      <c r="S91" s="127">
        <f t="shared" si="7"/>
        <v>0</v>
      </c>
      <c r="T91" s="127" t="str">
        <f ca="1">_xlfn.IFNA(OFFSET('(非表示)新規再エネ実現可能性判定'!$C$1,MATCH(M91,'(非表示)新規再エネ実現可能性判定'!$B:$B,0)-1,0),"//")</f>
        <v>//</v>
      </c>
      <c r="U91" s="257" t="str">
        <f ca="1">_xlfn.IFNA(OFFSET('(非表示)新規再エネ実現可能性判定'!$F$1,MATCH(N91,'(非表示)新規再エネ実現可能性判定'!$E:$E,0)-1,0),"//")</f>
        <v>//</v>
      </c>
      <c r="V91" s="257" t="str">
        <f ca="1">_xlfn.IFNA(OFFSET('(非表示)新規再エネ実現可能性判定'!$I$1,MATCH(O91,'(非表示)新規再エネ実現可能性判定'!$H:$H,0)-1,0),"//")</f>
        <v>//</v>
      </c>
      <c r="W91" s="257" t="str">
        <f t="shared" si="5"/>
        <v/>
      </c>
    </row>
    <row r="92" spans="2:23" ht="20">
      <c r="D92" s="16"/>
      <c r="E92" s="274"/>
      <c r="F92" s="283" t="s">
        <v>26</v>
      </c>
      <c r="G92" s="242"/>
      <c r="H92" s="242"/>
      <c r="I92" s="275"/>
      <c r="J92" s="276"/>
      <c r="K92" s="502">
        <f ca="1">SUM(OFFSET(K$88,0,0,ROW()-ROW(K$88),1))</f>
        <v>0</v>
      </c>
      <c r="L92" s="253"/>
      <c r="M92" s="253"/>
      <c r="N92" s="253"/>
      <c r="O92" s="253"/>
      <c r="P92" s="19"/>
      <c r="R92" s="425">
        <f t="shared" si="6"/>
        <v>85</v>
      </c>
      <c r="S92" s="224">
        <f t="shared" si="7"/>
        <v>0</v>
      </c>
      <c r="T92" s="224" t="str">
        <f ca="1">_xlfn.IFNA(OFFSET('(非表示)新規再エネ実現可能性判定'!$C$1,MATCH(M92,'(非表示)新規再エネ実現可能性判定'!$B:$B,0)-1,0),"//")</f>
        <v>//</v>
      </c>
      <c r="U92" s="177" t="str">
        <f ca="1">_xlfn.IFNA(OFFSET('(非表示)新規再エネ実現可能性判定'!$F$1,MATCH(N92,'(非表示)新規再エネ実現可能性判定'!$E:$E,0)-1,0),"//")</f>
        <v>//</v>
      </c>
      <c r="V92" s="177" t="str">
        <f ca="1">_xlfn.IFNA(OFFSET('(非表示)新規再エネ実現可能性判定'!$I$1,MATCH(O92,'(非表示)新規再エネ実現可能性判定'!$H:$H,0)-1,0),"//")</f>
        <v>//</v>
      </c>
      <c r="W92" s="177" t="str">
        <f t="shared" si="5"/>
        <v/>
      </c>
    </row>
    <row r="93" spans="2:23" ht="20">
      <c r="D93" s="46"/>
      <c r="E93" s="26"/>
      <c r="F93" s="26"/>
      <c r="G93" s="4"/>
      <c r="H93" s="4"/>
      <c r="I93" s="124"/>
      <c r="J93" s="4"/>
      <c r="K93" s="4"/>
      <c r="L93" s="289"/>
      <c r="M93" s="289"/>
      <c r="N93" s="289"/>
      <c r="O93" s="290"/>
      <c r="P93" s="27"/>
      <c r="Q93"/>
      <c r="R93" s="425">
        <f t="shared" si="6"/>
        <v>86</v>
      </c>
      <c r="S93" s="224">
        <f t="shared" si="7"/>
        <v>0</v>
      </c>
      <c r="T93" s="224" t="str">
        <f ca="1">_xlfn.IFNA(OFFSET('(非表示)新規再エネ実現可能性判定'!$C$1,MATCH(M93,'(非表示)新規再エネ実現可能性判定'!$B:$B,0)-1,0),"//")</f>
        <v>//</v>
      </c>
      <c r="U93" s="177" t="str">
        <f ca="1">_xlfn.IFNA(OFFSET('(非表示)新規再エネ実現可能性判定'!$F$1,MATCH(N93,'(非表示)新規再エネ実現可能性判定'!$E:$E,0)-1,0),"//")</f>
        <v>//</v>
      </c>
      <c r="V93" s="177" t="str">
        <f ca="1">_xlfn.IFNA(OFFSET('(非表示)新規再エネ実現可能性判定'!$I$1,MATCH(O93,'(非表示)新規再エネ実現可能性判定'!$H:$H,0)-1,0),"//")</f>
        <v>//</v>
      </c>
      <c r="W93" s="177" t="str">
        <f t="shared" si="5"/>
        <v/>
      </c>
    </row>
    <row r="94" spans="2:23" ht="20">
      <c r="F94" s="31"/>
      <c r="G94" s="31"/>
      <c r="H94" s="31"/>
      <c r="I94" s="270"/>
      <c r="J94" s="31"/>
      <c r="K94" s="31"/>
      <c r="L94" s="287"/>
      <c r="M94" s="287"/>
      <c r="N94" s="287"/>
      <c r="O94" s="288"/>
      <c r="R94" s="425">
        <f t="shared" si="6"/>
        <v>87</v>
      </c>
      <c r="S94" s="224">
        <f t="shared" si="7"/>
        <v>0</v>
      </c>
      <c r="T94" s="224" t="str">
        <f ca="1">_xlfn.IFNA(OFFSET('(非表示)新規再エネ実現可能性判定'!$C$1,MATCH(M94,'(非表示)新規再エネ実現可能性判定'!$B:$B,0)-1,0),"//")</f>
        <v>//</v>
      </c>
      <c r="U94" s="177" t="str">
        <f ca="1">_xlfn.IFNA(OFFSET('(非表示)新規再エネ実現可能性判定'!$F$1,MATCH(N94,'(非表示)新規再エネ実現可能性判定'!$E:$E,0)-1,0),"//")</f>
        <v>//</v>
      </c>
      <c r="V94" s="177" t="str">
        <f ca="1">_xlfn.IFNA(OFFSET('(非表示)新規再エネ実現可能性判定'!$I$1,MATCH(O94,'(非表示)新規再エネ実現可能性判定'!$H:$H,0)-1,0),"//")</f>
        <v>//</v>
      </c>
      <c r="W94" s="177" t="str">
        <f t="shared" si="5"/>
        <v/>
      </c>
    </row>
    <row r="95" spans="2:23" ht="20">
      <c r="F95" s="31"/>
      <c r="G95" s="31"/>
      <c r="H95" s="31"/>
      <c r="I95" s="270"/>
      <c r="J95" s="31"/>
      <c r="K95" s="31"/>
      <c r="L95" s="287"/>
      <c r="M95" s="287"/>
      <c r="N95" s="287"/>
      <c r="O95" s="288"/>
      <c r="R95" s="425">
        <f t="shared" si="6"/>
        <v>88</v>
      </c>
      <c r="S95" s="224">
        <f t="shared" si="7"/>
        <v>0</v>
      </c>
      <c r="T95" s="224" t="str">
        <f ca="1">_xlfn.IFNA(OFFSET('(非表示)新規再エネ実現可能性判定'!$C$1,MATCH(M95,'(非表示)新規再エネ実現可能性判定'!$B:$B,0)-1,0),"//")</f>
        <v>//</v>
      </c>
      <c r="U95" s="177" t="str">
        <f ca="1">_xlfn.IFNA(OFFSET('(非表示)新規再エネ実現可能性判定'!$F$1,MATCH(N95,'(非表示)新規再エネ実現可能性判定'!$E:$E,0)-1,0),"//")</f>
        <v>//</v>
      </c>
      <c r="V95" s="177" t="str">
        <f ca="1">_xlfn.IFNA(OFFSET('(非表示)新規再エネ実現可能性判定'!$I$1,MATCH(O95,'(非表示)新規再エネ実現可能性判定'!$H:$H,0)-1,0),"//")</f>
        <v>//</v>
      </c>
      <c r="W95" s="177" t="str">
        <f t="shared" si="5"/>
        <v/>
      </c>
    </row>
    <row r="96" spans="2:23" ht="9.75" customHeight="1">
      <c r="D96" s="14"/>
      <c r="E96" s="15"/>
      <c r="F96" s="15"/>
      <c r="G96" s="250"/>
      <c r="H96" s="15"/>
      <c r="I96" s="237"/>
      <c r="J96" s="15"/>
      <c r="K96" s="15"/>
      <c r="L96" s="280"/>
      <c r="M96" s="280"/>
      <c r="N96" s="280"/>
      <c r="O96" s="18"/>
      <c r="P96" s="30"/>
      <c r="R96" s="425">
        <f t="shared" si="6"/>
        <v>89</v>
      </c>
      <c r="S96" s="224">
        <f t="shared" si="7"/>
        <v>0</v>
      </c>
      <c r="T96" s="224" t="str">
        <f ca="1">_xlfn.IFNA(OFFSET('(非表示)新規再エネ実現可能性判定'!$C$1,MATCH(M96,'(非表示)新規再エネ実現可能性判定'!$B:$B,0)-1,0),"//")</f>
        <v>//</v>
      </c>
      <c r="U96" s="177" t="str">
        <f ca="1">_xlfn.IFNA(OFFSET('(非表示)新規再エネ実現可能性判定'!$F$1,MATCH(N96,'(非表示)新規再エネ実現可能性判定'!$E:$E,0)-1,0),"//")</f>
        <v>//</v>
      </c>
      <c r="V96" s="177" t="str">
        <f ca="1">_xlfn.IFNA(OFFSET('(非表示)新規再エネ実現可能性判定'!$I$1,MATCH(O96,'(非表示)新規再エネ実現可能性判定'!$H:$H,0)-1,0),"//")</f>
        <v>//</v>
      </c>
      <c r="W96" s="177" t="str">
        <f t="shared" si="5"/>
        <v/>
      </c>
    </row>
    <row r="97" spans="2:23" ht="21">
      <c r="D97" s="239" t="s">
        <v>199</v>
      </c>
      <c r="F97" s="239"/>
      <c r="G97" s="271"/>
      <c r="I97" s="230"/>
      <c r="P97" s="19"/>
      <c r="R97" s="425">
        <f t="shared" si="6"/>
        <v>90</v>
      </c>
      <c r="S97" s="224">
        <f t="shared" si="7"/>
        <v>0</v>
      </c>
      <c r="T97" s="224" t="str">
        <f ca="1">_xlfn.IFNA(OFFSET('(非表示)新規再エネ実現可能性判定'!$C$1,MATCH(M97,'(非表示)新規再エネ実現可能性判定'!$B:$B,0)-1,0),"//")</f>
        <v>//</v>
      </c>
      <c r="U97" s="177" t="str">
        <f ca="1">_xlfn.IFNA(OFFSET('(非表示)新規再エネ実現可能性判定'!$F$1,MATCH(N97,'(非表示)新規再エネ実現可能性判定'!$E:$E,0)-1,0),"//")</f>
        <v>//</v>
      </c>
      <c r="V97" s="177" t="str">
        <f ca="1">_xlfn.IFNA(OFFSET('(非表示)新規再エネ実現可能性判定'!$I$1,MATCH(O97,'(非表示)新規再エネ実現可能性判定'!$H:$H,0)-1,0),"//")</f>
        <v>//</v>
      </c>
      <c r="W97" s="177" t="str">
        <f t="shared" si="5"/>
        <v/>
      </c>
    </row>
    <row r="98" spans="2:23" ht="21">
      <c r="D98" s="239"/>
      <c r="F98" s="967" t="s">
        <v>8</v>
      </c>
      <c r="G98" s="968" t="s">
        <v>186</v>
      </c>
      <c r="H98" s="968" t="s">
        <v>181</v>
      </c>
      <c r="I98" s="969" t="s">
        <v>31</v>
      </c>
      <c r="J98" s="968" t="s">
        <v>187</v>
      </c>
      <c r="K98" s="968" t="s">
        <v>81</v>
      </c>
      <c r="L98" s="962" t="s">
        <v>188</v>
      </c>
      <c r="M98" s="962"/>
      <c r="N98" s="962"/>
      <c r="O98" s="281"/>
      <c r="P98" s="19"/>
      <c r="R98" s="425">
        <f t="shared" si="6"/>
        <v>91</v>
      </c>
      <c r="S98" s="224">
        <f t="shared" si="7"/>
        <v>0</v>
      </c>
      <c r="T98" s="224" t="str">
        <f ca="1">_xlfn.IFNA(OFFSET('(非表示)新規再エネ実現可能性判定'!$C$1,MATCH(M98,'(非表示)新規再エネ実現可能性判定'!$B:$B,0)-1,0),"//")</f>
        <v>//</v>
      </c>
      <c r="U98" s="177" t="str">
        <f ca="1">_xlfn.IFNA(OFFSET('(非表示)新規再エネ実現可能性判定'!$F$1,MATCH(N98,'(非表示)新規再エネ実現可能性判定'!$E:$E,0)-1,0),"//")</f>
        <v>//</v>
      </c>
      <c r="V98" s="177" t="str">
        <f ca="1">_xlfn.IFNA(OFFSET('(非表示)新規再エネ実現可能性判定'!$I$1,MATCH(O98,'(非表示)新規再エネ実現可能性判定'!$H:$H,0)-1,0),"//")</f>
        <v>//</v>
      </c>
      <c r="W98" s="177" t="str">
        <f t="shared" si="5"/>
        <v/>
      </c>
    </row>
    <row r="99" spans="2:23" ht="36" customHeight="1">
      <c r="D99" s="16"/>
      <c r="E99" s="273"/>
      <c r="F99" s="967"/>
      <c r="G99" s="968"/>
      <c r="H99" s="968"/>
      <c r="I99" s="969"/>
      <c r="J99" s="968"/>
      <c r="K99" s="968"/>
      <c r="L99" s="296" t="s">
        <v>226</v>
      </c>
      <c r="M99" s="296" t="s">
        <v>109</v>
      </c>
      <c r="N99" s="296" t="s">
        <v>110</v>
      </c>
      <c r="O99" s="282" t="s">
        <v>323</v>
      </c>
      <c r="P99" s="19"/>
      <c r="R99" s="425">
        <f t="shared" si="6"/>
        <v>92</v>
      </c>
      <c r="S99" s="224">
        <f t="shared" si="7"/>
        <v>0</v>
      </c>
      <c r="T99" s="224" t="str">
        <f ca="1">_xlfn.IFNA(OFFSET('(非表示)新規再エネ実現可能性判定'!$C$1,MATCH(M99,'(非表示)新規再エネ実現可能性判定'!$B:$B,0)-1,0),"//")</f>
        <v>判定</v>
      </c>
      <c r="U99" s="177" t="str">
        <f ca="1">_xlfn.IFNA(OFFSET('(非表示)新規再エネ実現可能性判定'!$F$1,MATCH(N99,'(非表示)新規再エネ実現可能性判定'!$E:$E,0)-1,0),"//")</f>
        <v>判定</v>
      </c>
      <c r="V99" s="177" t="str">
        <f ca="1">_xlfn.IFNA(OFFSET('(非表示)新規再エネ実現可能性判定'!$I$1,MATCH(O99,'(非表示)新規再エネ実現可能性判定'!$H:$H,0)-1,0),"//")</f>
        <v>//</v>
      </c>
      <c r="W99" s="177" t="str">
        <f t="shared" ca="1" si="5"/>
        <v>//</v>
      </c>
    </row>
    <row r="100" spans="2:23" s="11" customFormat="1" ht="20" hidden="1">
      <c r="B100" s="21"/>
      <c r="C100" s="21"/>
      <c r="D100" s="22"/>
      <c r="E100" s="130"/>
      <c r="F100" s="491"/>
      <c r="G100" s="482"/>
      <c r="H100" s="498"/>
      <c r="I100" s="505"/>
      <c r="J100" s="506"/>
      <c r="K100" s="507"/>
      <c r="L100" s="513"/>
      <c r="M100" s="513"/>
      <c r="N100" s="513"/>
      <c r="O100" s="514"/>
      <c r="P100" s="24"/>
      <c r="Q100" s="21"/>
      <c r="R100" s="433">
        <f t="shared" si="6"/>
        <v>93</v>
      </c>
      <c r="S100" s="127">
        <f t="shared" si="7"/>
        <v>0</v>
      </c>
      <c r="T100" s="127" t="str">
        <f ca="1">_xlfn.IFNA(OFFSET('(非表示)新規再エネ実現可能性判定'!$C$1,MATCH(M100,'(非表示)新規再エネ実現可能性判定'!$B:$B,0)-1,0),"//")</f>
        <v>//</v>
      </c>
      <c r="U100" s="257" t="str">
        <f ca="1">_xlfn.IFNA(OFFSET('(非表示)新規再エネ実現可能性判定'!$F$1,MATCH(N100,'(非表示)新規再エネ実現可能性判定'!$E:$E,0)-1,0),"//")</f>
        <v>//</v>
      </c>
      <c r="V100" s="257" t="str">
        <f ca="1">_xlfn.IFNA(OFFSET('(非表示)新規再エネ実現可能性判定'!$I$1,MATCH(O100,'(非表示)新規再エネ実現可能性判定'!$H:$H,0)-1,0),"//")</f>
        <v>//</v>
      </c>
      <c r="W100" s="257" t="str">
        <f t="shared" si="5"/>
        <v/>
      </c>
    </row>
    <row r="101" spans="2:23" s="11" customFormat="1" ht="20">
      <c r="B101" s="21"/>
      <c r="C101" s="21"/>
      <c r="D101" s="22"/>
      <c r="E101" s="130"/>
      <c r="F101" s="504" t="str">
        <f ca="1">IFERROR(OFFSET('4.1(2)新規再エネ導入予定（設備情報）'!$F$1,MATCH(G101,'4.1(2)新規再エネ導入予定（設備情報）'!$G:$G,0)-1,0),"")</f>
        <v/>
      </c>
      <c r="G101" s="512"/>
      <c r="H101" s="508" t="str">
        <f ca="1">IFERROR(OFFSET('4.1(2)新規再エネ導入予定（設備情報）'!$H$1,MATCH(G101,'4.1(2)新規再エネ導入予定（設備情報）'!$G:$G,0)-1,0)&amp;"","")</f>
        <v/>
      </c>
      <c r="I101" s="509" t="str">
        <f ca="1">IFERROR(OFFSET('4.1(2)新規再エネ導入予定（設備情報）'!$L$1,MATCH(G101,'4.1(2)新規再エネ導入予定（設備情報）'!$G:$G,0)-1,0),"")</f>
        <v/>
      </c>
      <c r="J101" s="510" t="str">
        <f ca="1">IFERROR(OFFSET('4.1(2)新規再エネ導入予定（設備情報）'!$O$1,MATCH(G101,'4.1(2)新規再エネ導入予定（設備情報）'!$G:$G,0)-1,0),"")</f>
        <v/>
      </c>
      <c r="K101" s="511" t="str">
        <f ca="1">IFERROR(OFFSET('4.1(2)新規再エネ導入予定（設備情報）'!$P$1,MATCH(G101,'4.1(2)新規再エネ導入予定（設備情報）'!$G:$G,0)-1,0),"")</f>
        <v/>
      </c>
      <c r="L101" s="489"/>
      <c r="M101" s="489"/>
      <c r="N101" s="489"/>
      <c r="O101" s="486"/>
      <c r="P101" s="24"/>
      <c r="Q101" s="21"/>
      <c r="R101" s="433">
        <f t="shared" si="6"/>
        <v>94</v>
      </c>
      <c r="S101" s="127">
        <f t="shared" si="7"/>
        <v>0</v>
      </c>
      <c r="T101" s="127" t="str">
        <f ca="1">_xlfn.IFNA(OFFSET('(非表示)新規再エネ実現可能性判定'!$C$1,MATCH(M101,'(非表示)新規再エネ実現可能性判定'!$B:$B,0)-1,0),"//")</f>
        <v>//</v>
      </c>
      <c r="U101" s="257" t="str">
        <f ca="1">_xlfn.IFNA(OFFSET('(非表示)新規再エネ実現可能性判定'!$F$1,MATCH(N101,'(非表示)新規再エネ実現可能性判定'!$E:$E,0)-1,0),"//")</f>
        <v>//</v>
      </c>
      <c r="V101" s="257" t="str">
        <f ca="1">_xlfn.IFNA(OFFSET('(非表示)新規再エネ実現可能性判定'!$I$1,MATCH(O101,'(非表示)新規再エネ実現可能性判定'!$H:$H,0)-1,0),"//")</f>
        <v>//</v>
      </c>
      <c r="W101" s="257" t="str">
        <f t="shared" si="5"/>
        <v/>
      </c>
    </row>
    <row r="102" spans="2:23" s="11" customFormat="1" ht="20">
      <c r="B102" s="21"/>
      <c r="C102" s="21"/>
      <c r="D102" s="22"/>
      <c r="E102" s="130"/>
      <c r="F102" s="504" t="str">
        <f ca="1">IFERROR(OFFSET('4.1(2)新規再エネ導入予定（設備情報）'!$F$1,MATCH(G102,'4.1(2)新規再エネ導入予定（設備情報）'!$G:$G,0)-1,0),"")</f>
        <v/>
      </c>
      <c r="G102" s="512"/>
      <c r="H102" s="508" t="str">
        <f ca="1">IFERROR(OFFSET('4.1(2)新規再エネ導入予定（設備情報）'!$H$1,MATCH(G102,'4.1(2)新規再エネ導入予定（設備情報）'!$G:$G,0)-1,0)&amp;"","")</f>
        <v/>
      </c>
      <c r="I102" s="509" t="str">
        <f ca="1">IFERROR(OFFSET('4.1(2)新規再エネ導入予定（設備情報）'!$L$1,MATCH(G102,'4.1(2)新規再エネ導入予定（設備情報）'!$G:$G,0)-1,0),"")</f>
        <v/>
      </c>
      <c r="J102" s="510" t="str">
        <f ca="1">IFERROR(OFFSET('4.1(2)新規再エネ導入予定（設備情報）'!$O$1,MATCH(G102,'4.1(2)新規再エネ導入予定（設備情報）'!$G:$G,0)-1,0),"")</f>
        <v/>
      </c>
      <c r="K102" s="511" t="str">
        <f ca="1">IFERROR(OFFSET('4.1(2)新規再エネ導入予定（設備情報）'!$P$1,MATCH(G102,'4.1(2)新規再エネ導入予定（設備情報）'!$G:$G,0)-1,0),"")</f>
        <v/>
      </c>
      <c r="L102" s="489"/>
      <c r="M102" s="489"/>
      <c r="N102" s="489"/>
      <c r="O102" s="486"/>
      <c r="P102" s="24"/>
      <c r="Q102" s="21"/>
      <c r="R102" s="433">
        <f t="shared" si="6"/>
        <v>95</v>
      </c>
      <c r="S102" s="127">
        <f t="shared" si="7"/>
        <v>0</v>
      </c>
      <c r="T102" s="127" t="str">
        <f ca="1">_xlfn.IFNA(OFFSET('(非表示)新規再エネ実現可能性判定'!$C$1,MATCH(M102,'(非表示)新規再エネ実現可能性判定'!$B:$B,0)-1,0),"//")</f>
        <v>//</v>
      </c>
      <c r="U102" s="257" t="str">
        <f ca="1">_xlfn.IFNA(OFFSET('(非表示)新規再エネ実現可能性判定'!$F$1,MATCH(N102,'(非表示)新規再エネ実現可能性判定'!$E:$E,0)-1,0),"//")</f>
        <v>//</v>
      </c>
      <c r="V102" s="257" t="str">
        <f ca="1">_xlfn.IFNA(OFFSET('(非表示)新規再エネ実現可能性判定'!$I$1,MATCH(O102,'(非表示)新規再エネ実現可能性判定'!$H:$H,0)-1,0),"//")</f>
        <v>//</v>
      </c>
      <c r="W102" s="257" t="str">
        <f t="shared" si="5"/>
        <v/>
      </c>
    </row>
    <row r="103" spans="2:23" s="11" customFormat="1" ht="20">
      <c r="B103" s="21"/>
      <c r="C103" s="21"/>
      <c r="D103" s="22"/>
      <c r="E103" s="130"/>
      <c r="F103" s="504" t="str">
        <f ca="1">IFERROR(OFFSET('4.1(2)新規再エネ導入予定（設備情報）'!$F$1,MATCH(G103,'4.1(2)新規再エネ導入予定（設備情報）'!$G:$G,0)-1,0),"")</f>
        <v/>
      </c>
      <c r="G103" s="512"/>
      <c r="H103" s="508" t="str">
        <f ca="1">IFERROR(OFFSET('4.1(2)新規再エネ導入予定（設備情報）'!$H$1,MATCH(G103,'4.1(2)新規再エネ導入予定（設備情報）'!$G:$G,0)-1,0)&amp;"","")</f>
        <v/>
      </c>
      <c r="I103" s="509" t="str">
        <f ca="1">IFERROR(OFFSET('4.1(2)新規再エネ導入予定（設備情報）'!$L$1,MATCH(G103,'4.1(2)新規再エネ導入予定（設備情報）'!$G:$G,0)-1,0),"")</f>
        <v/>
      </c>
      <c r="J103" s="510" t="str">
        <f ca="1">IFERROR(OFFSET('4.1(2)新規再エネ導入予定（設備情報）'!$O$1,MATCH(G103,'4.1(2)新規再エネ導入予定（設備情報）'!$G:$G,0)-1,0),"")</f>
        <v/>
      </c>
      <c r="K103" s="511" t="str">
        <f ca="1">IFERROR(OFFSET('4.1(2)新規再エネ導入予定（設備情報）'!$P$1,MATCH(G103,'4.1(2)新規再エネ導入予定（設備情報）'!$G:$G,0)-1,0),"")</f>
        <v/>
      </c>
      <c r="L103" s="489"/>
      <c r="M103" s="489"/>
      <c r="N103" s="489"/>
      <c r="O103" s="486"/>
      <c r="P103" s="24"/>
      <c r="Q103" s="21"/>
      <c r="R103" s="433">
        <f t="shared" si="6"/>
        <v>96</v>
      </c>
      <c r="S103" s="127">
        <f t="shared" si="7"/>
        <v>0</v>
      </c>
      <c r="T103" s="127" t="str">
        <f ca="1">_xlfn.IFNA(OFFSET('(非表示)新規再エネ実現可能性判定'!$C$1,MATCH(M103,'(非表示)新規再エネ実現可能性判定'!$B:$B,0)-1,0),"//")</f>
        <v>//</v>
      </c>
      <c r="U103" s="257" t="str">
        <f ca="1">_xlfn.IFNA(OFFSET('(非表示)新規再エネ実現可能性判定'!$F$1,MATCH(N103,'(非表示)新規再エネ実現可能性判定'!$E:$E,0)-1,0),"//")</f>
        <v>//</v>
      </c>
      <c r="V103" s="257" t="str">
        <f ca="1">_xlfn.IFNA(OFFSET('(非表示)新規再エネ実現可能性判定'!$I$1,MATCH(O103,'(非表示)新規再エネ実現可能性判定'!$H:$H,0)-1,0),"//")</f>
        <v>//</v>
      </c>
      <c r="W103" s="257" t="str">
        <f t="shared" si="5"/>
        <v/>
      </c>
    </row>
    <row r="104" spans="2:23" ht="20">
      <c r="D104" s="16"/>
      <c r="E104" s="274"/>
      <c r="F104" s="283" t="s">
        <v>26</v>
      </c>
      <c r="G104" s="242"/>
      <c r="H104" s="242"/>
      <c r="I104" s="275"/>
      <c r="J104" s="276"/>
      <c r="K104" s="502">
        <f ca="1">SUM(OFFSET(K$100,0,0,ROW()-ROW(K$100),1))</f>
        <v>0</v>
      </c>
      <c r="L104" s="253"/>
      <c r="M104" s="253"/>
      <c r="N104" s="253"/>
      <c r="O104" s="253"/>
      <c r="P104" s="19"/>
      <c r="R104" s="425">
        <f t="shared" si="6"/>
        <v>97</v>
      </c>
      <c r="S104" s="224">
        <f t="shared" si="7"/>
        <v>0</v>
      </c>
      <c r="T104" s="224" t="str">
        <f ca="1">_xlfn.IFNA(OFFSET('(非表示)新規再エネ実現可能性判定'!$C$1,MATCH(M104,'(非表示)新規再エネ実現可能性判定'!$B:$B,0)-1,0),"//")</f>
        <v>//</v>
      </c>
      <c r="U104" s="177" t="str">
        <f ca="1">_xlfn.IFNA(OFFSET('(非表示)新規再エネ実現可能性判定'!$F$1,MATCH(N104,'(非表示)新規再エネ実現可能性判定'!$E:$E,0)-1,0),"//")</f>
        <v>//</v>
      </c>
      <c r="V104" s="177" t="str">
        <f ca="1">_xlfn.IFNA(OFFSET('(非表示)新規再エネ実現可能性判定'!$I$1,MATCH(O104,'(非表示)新規再エネ実現可能性判定'!$H:$H,0)-1,0),"//")</f>
        <v>//</v>
      </c>
      <c r="W104" s="177" t="str">
        <f t="shared" si="5"/>
        <v/>
      </c>
    </row>
    <row r="105" spans="2:23" ht="20">
      <c r="D105" s="46"/>
      <c r="E105" s="26"/>
      <c r="F105" s="26"/>
      <c r="G105" s="4"/>
      <c r="H105" s="4"/>
      <c r="I105" s="124"/>
      <c r="J105" s="4"/>
      <c r="K105" s="4"/>
      <c r="L105" s="289"/>
      <c r="M105" s="289"/>
      <c r="N105" s="289"/>
      <c r="O105" s="290"/>
      <c r="P105" s="27"/>
      <c r="Q105"/>
      <c r="R105" s="425">
        <f t="shared" si="6"/>
        <v>98</v>
      </c>
      <c r="S105" s="224">
        <f t="shared" si="7"/>
        <v>0</v>
      </c>
      <c r="T105" s="224" t="str">
        <f ca="1">_xlfn.IFNA(OFFSET('(非表示)新規再エネ実現可能性判定'!$C$1,MATCH(M105,'(非表示)新規再エネ実現可能性判定'!$B:$B,0)-1,0),"//")</f>
        <v>//</v>
      </c>
      <c r="U105" s="177" t="str">
        <f ca="1">_xlfn.IFNA(OFFSET('(非表示)新規再エネ実現可能性判定'!$F$1,MATCH(N105,'(非表示)新規再エネ実現可能性判定'!$E:$E,0)-1,0),"//")</f>
        <v>//</v>
      </c>
      <c r="V105" s="177" t="str">
        <f ca="1">_xlfn.IFNA(OFFSET('(非表示)新規再エネ実現可能性判定'!$I$1,MATCH(O105,'(非表示)新規再エネ実現可能性判定'!$H:$H,0)-1,0),"//")</f>
        <v>//</v>
      </c>
      <c r="W105" s="177" t="str">
        <f t="shared" si="5"/>
        <v/>
      </c>
    </row>
    <row r="106" spans="2:23" ht="20">
      <c r="F106" s="31"/>
      <c r="G106" s="31"/>
      <c r="H106" s="31"/>
      <c r="I106" s="270"/>
      <c r="J106" s="31"/>
      <c r="K106" s="31"/>
      <c r="L106" s="287"/>
      <c r="M106" s="287"/>
      <c r="N106" s="287"/>
      <c r="O106" s="288"/>
      <c r="R106" s="425">
        <f t="shared" si="6"/>
        <v>99</v>
      </c>
      <c r="S106" s="224">
        <f t="shared" si="7"/>
        <v>0</v>
      </c>
      <c r="T106" s="224" t="str">
        <f ca="1">_xlfn.IFNA(OFFSET('(非表示)新規再エネ実現可能性判定'!$C$1,MATCH(M106,'(非表示)新規再エネ実現可能性判定'!$B:$B,0)-1,0),"//")</f>
        <v>//</v>
      </c>
      <c r="U106" s="177" t="str">
        <f ca="1">_xlfn.IFNA(OFFSET('(非表示)新規再エネ実現可能性判定'!$F$1,MATCH(N106,'(非表示)新規再エネ実現可能性判定'!$E:$E,0)-1,0),"//")</f>
        <v>//</v>
      </c>
      <c r="V106" s="177" t="str">
        <f ca="1">_xlfn.IFNA(OFFSET('(非表示)新規再エネ実現可能性判定'!$I$1,MATCH(O106,'(非表示)新規再エネ実現可能性判定'!$H:$H,0)-1,0),"//")</f>
        <v>//</v>
      </c>
      <c r="W106" s="177" t="str">
        <f t="shared" si="5"/>
        <v/>
      </c>
    </row>
    <row r="107" spans="2:23" ht="20">
      <c r="F107" s="31"/>
      <c r="G107" s="31"/>
      <c r="H107" s="31"/>
      <c r="I107" s="270"/>
      <c r="J107" s="31"/>
      <c r="K107" s="31"/>
      <c r="L107" s="287"/>
      <c r="M107" s="287"/>
      <c r="N107" s="287"/>
      <c r="O107" s="288"/>
      <c r="R107" s="425">
        <f t="shared" si="6"/>
        <v>100</v>
      </c>
      <c r="S107" s="224">
        <f t="shared" si="7"/>
        <v>0</v>
      </c>
      <c r="T107" s="224" t="str">
        <f ca="1">_xlfn.IFNA(OFFSET('(非表示)新規再エネ実現可能性判定'!$C$1,MATCH(M107,'(非表示)新規再エネ実現可能性判定'!$B:$B,0)-1,0),"//")</f>
        <v>//</v>
      </c>
      <c r="U107" s="177" t="str">
        <f ca="1">_xlfn.IFNA(OFFSET('(非表示)新規再エネ実現可能性判定'!$F$1,MATCH(N107,'(非表示)新規再エネ実現可能性判定'!$E:$E,0)-1,0),"//")</f>
        <v>//</v>
      </c>
      <c r="V107" s="177" t="str">
        <f ca="1">_xlfn.IFNA(OFFSET('(非表示)新規再エネ実現可能性判定'!$I$1,MATCH(O107,'(非表示)新規再エネ実現可能性判定'!$H:$H,0)-1,0),"//")</f>
        <v>//</v>
      </c>
      <c r="W107" s="177" t="str">
        <f t="shared" si="5"/>
        <v/>
      </c>
    </row>
    <row r="108" spans="2:23" ht="9.75" customHeight="1">
      <c r="D108" s="14"/>
      <c r="E108" s="15"/>
      <c r="F108" s="15"/>
      <c r="G108" s="250"/>
      <c r="H108" s="15"/>
      <c r="I108" s="237"/>
      <c r="J108" s="15"/>
      <c r="K108" s="15"/>
      <c r="L108" s="280"/>
      <c r="M108" s="280"/>
      <c r="N108" s="280"/>
      <c r="O108" s="18"/>
      <c r="P108" s="30"/>
      <c r="R108" s="425">
        <f t="shared" si="6"/>
        <v>101</v>
      </c>
      <c r="S108" s="224">
        <f t="shared" si="7"/>
        <v>0</v>
      </c>
      <c r="T108" s="224" t="str">
        <f ca="1">_xlfn.IFNA(OFFSET('(非表示)新規再エネ実現可能性判定'!$C$1,MATCH(M108,'(非表示)新規再エネ実現可能性判定'!$B:$B,0)-1,0),"//")</f>
        <v>//</v>
      </c>
      <c r="U108" s="177" t="str">
        <f ca="1">_xlfn.IFNA(OFFSET('(非表示)新規再エネ実現可能性判定'!$F$1,MATCH(N108,'(非表示)新規再エネ実現可能性判定'!$E:$E,0)-1,0),"//")</f>
        <v>//</v>
      </c>
      <c r="V108" s="177" t="str">
        <f ca="1">_xlfn.IFNA(OFFSET('(非表示)新規再エネ実現可能性判定'!$I$1,MATCH(O108,'(非表示)新規再エネ実現可能性判定'!$H:$H,0)-1,0),"//")</f>
        <v>//</v>
      </c>
      <c r="W108" s="177" t="str">
        <f t="shared" si="5"/>
        <v/>
      </c>
    </row>
    <row r="109" spans="2:23" ht="21">
      <c r="D109" s="239" t="s">
        <v>189</v>
      </c>
      <c r="F109" s="239"/>
      <c r="G109" s="271"/>
      <c r="I109" s="230"/>
      <c r="P109" s="19"/>
      <c r="R109" s="425">
        <f t="shared" si="6"/>
        <v>102</v>
      </c>
      <c r="S109" s="224">
        <f t="shared" si="7"/>
        <v>0</v>
      </c>
      <c r="T109" s="224" t="str">
        <f ca="1">_xlfn.IFNA(OFFSET('(非表示)新規再エネ実現可能性判定'!$C$1,MATCH(M109,'(非表示)新規再エネ実現可能性判定'!$B:$B,0)-1,0),"//")</f>
        <v>//</v>
      </c>
      <c r="U109" s="177" t="str">
        <f ca="1">_xlfn.IFNA(OFFSET('(非表示)新規再エネ実現可能性判定'!$F$1,MATCH(N109,'(非表示)新規再エネ実現可能性判定'!$E:$E,0)-1,0),"//")</f>
        <v>//</v>
      </c>
      <c r="V109" s="177" t="str">
        <f ca="1">_xlfn.IFNA(OFFSET('(非表示)新規再エネ実現可能性判定'!$I$1,MATCH(O109,'(非表示)新規再エネ実現可能性判定'!$H:$H,0)-1,0),"//")</f>
        <v>//</v>
      </c>
      <c r="W109" s="177" t="str">
        <f t="shared" si="5"/>
        <v/>
      </c>
    </row>
    <row r="110" spans="2:23" ht="21">
      <c r="D110" s="239"/>
      <c r="F110" s="967" t="s">
        <v>8</v>
      </c>
      <c r="G110" s="968" t="s">
        <v>186</v>
      </c>
      <c r="H110" s="968" t="s">
        <v>181</v>
      </c>
      <c r="I110" s="969" t="s">
        <v>31</v>
      </c>
      <c r="J110" s="968" t="s">
        <v>187</v>
      </c>
      <c r="K110" s="968" t="s">
        <v>81</v>
      </c>
      <c r="L110" s="962" t="s">
        <v>188</v>
      </c>
      <c r="M110" s="962"/>
      <c r="N110" s="962"/>
      <c r="O110" s="281"/>
      <c r="P110" s="19"/>
      <c r="R110" s="425">
        <f t="shared" si="6"/>
        <v>103</v>
      </c>
      <c r="S110" s="224">
        <f t="shared" si="7"/>
        <v>0</v>
      </c>
      <c r="T110" s="224" t="str">
        <f ca="1">_xlfn.IFNA(OFFSET('(非表示)新規再エネ実現可能性判定'!$C$1,MATCH(M110,'(非表示)新規再エネ実現可能性判定'!$B:$B,0)-1,0),"//")</f>
        <v>//</v>
      </c>
      <c r="U110" s="177" t="str">
        <f ca="1">_xlfn.IFNA(OFFSET('(非表示)新規再エネ実現可能性判定'!$F$1,MATCH(N110,'(非表示)新規再エネ実現可能性判定'!$E:$E,0)-1,0),"//")</f>
        <v>//</v>
      </c>
      <c r="V110" s="177" t="str">
        <f ca="1">_xlfn.IFNA(OFFSET('(非表示)新規再エネ実現可能性判定'!$I$1,MATCH(O110,'(非表示)新規再エネ実現可能性判定'!$H:$H,0)-1,0),"//")</f>
        <v>//</v>
      </c>
      <c r="W110" s="177" t="str">
        <f t="shared" si="5"/>
        <v/>
      </c>
    </row>
    <row r="111" spans="2:23" ht="36" customHeight="1">
      <c r="D111" s="16"/>
      <c r="E111" s="273"/>
      <c r="F111" s="967"/>
      <c r="G111" s="968"/>
      <c r="H111" s="968"/>
      <c r="I111" s="969"/>
      <c r="J111" s="968"/>
      <c r="K111" s="968"/>
      <c r="L111" s="296" t="s">
        <v>226</v>
      </c>
      <c r="M111" s="296" t="s">
        <v>109</v>
      </c>
      <c r="N111" s="296" t="s">
        <v>110</v>
      </c>
      <c r="O111" s="282" t="s">
        <v>323</v>
      </c>
      <c r="P111" s="19"/>
      <c r="R111" s="425">
        <f t="shared" si="6"/>
        <v>104</v>
      </c>
      <c r="S111" s="224">
        <f t="shared" si="7"/>
        <v>0</v>
      </c>
      <c r="T111" s="224" t="str">
        <f ca="1">_xlfn.IFNA(OFFSET('(非表示)新規再エネ実現可能性判定'!$C$1,MATCH(M111,'(非表示)新規再エネ実現可能性判定'!$B:$B,0)-1,0),"//")</f>
        <v>判定</v>
      </c>
      <c r="U111" s="177" t="str">
        <f ca="1">_xlfn.IFNA(OFFSET('(非表示)新規再エネ実現可能性判定'!$F$1,MATCH(N111,'(非表示)新規再エネ実現可能性判定'!$E:$E,0)-1,0),"//")</f>
        <v>判定</v>
      </c>
      <c r="V111" s="177" t="str">
        <f ca="1">_xlfn.IFNA(OFFSET('(非表示)新規再エネ実現可能性判定'!$I$1,MATCH(O111,'(非表示)新規再エネ実現可能性判定'!$H:$H,0)-1,0),"//")</f>
        <v>//</v>
      </c>
      <c r="W111" s="177" t="str">
        <f t="shared" ca="1" si="5"/>
        <v>//</v>
      </c>
    </row>
    <row r="112" spans="2:23" s="11" customFormat="1" ht="20" hidden="1">
      <c r="B112" s="21"/>
      <c r="C112" s="21"/>
      <c r="D112" s="22"/>
      <c r="E112" s="130"/>
      <c r="F112" s="491"/>
      <c r="G112" s="482"/>
      <c r="H112" s="498"/>
      <c r="I112" s="505"/>
      <c r="J112" s="506"/>
      <c r="K112" s="507"/>
      <c r="L112" s="513"/>
      <c r="M112" s="513"/>
      <c r="N112" s="513"/>
      <c r="O112" s="514"/>
      <c r="P112" s="24"/>
      <c r="Q112" s="21"/>
      <c r="R112" s="433">
        <f t="shared" si="6"/>
        <v>105</v>
      </c>
      <c r="S112" s="127">
        <f t="shared" si="7"/>
        <v>0</v>
      </c>
      <c r="T112" s="127" t="str">
        <f ca="1">_xlfn.IFNA(OFFSET('(非表示)新規再エネ実現可能性判定'!$C$1,MATCH(M112,'(非表示)新規再エネ実現可能性判定'!$B:$B,0)-1,0),"//")</f>
        <v>//</v>
      </c>
      <c r="U112" s="257" t="str">
        <f ca="1">_xlfn.IFNA(OFFSET('(非表示)新規再エネ実現可能性判定'!$F$1,MATCH(N112,'(非表示)新規再エネ実現可能性判定'!$E:$E,0)-1,0),"//")</f>
        <v>//</v>
      </c>
      <c r="V112" s="257" t="str">
        <f ca="1">_xlfn.IFNA(OFFSET('(非表示)新規再エネ実現可能性判定'!$I$1,MATCH(O112,'(非表示)新規再エネ実現可能性判定'!$H:$H,0)-1,0),"//")</f>
        <v>//</v>
      </c>
      <c r="W112" s="257" t="str">
        <f t="shared" si="5"/>
        <v/>
      </c>
    </row>
    <row r="113" spans="2:23" s="11" customFormat="1" ht="20">
      <c r="B113" s="21"/>
      <c r="C113" s="21"/>
      <c r="D113" s="22"/>
      <c r="E113" s="130"/>
      <c r="F113" s="504" t="str">
        <f ca="1">IFERROR(OFFSET('4.1(2)新規再エネ導入予定（設備情報）'!$F$1,MATCH(G113,'4.1(2)新規再エネ導入予定（設備情報）'!$G:$G,0)-1,0),"")</f>
        <v/>
      </c>
      <c r="G113" s="512"/>
      <c r="H113" s="508" t="str">
        <f ca="1">IFERROR(OFFSET('4.1(2)新規再エネ導入予定（設備情報）'!$H$1,MATCH(G113,'4.1(2)新規再エネ導入予定（設備情報）'!$G:$G,0)-1,0)&amp;"","")</f>
        <v/>
      </c>
      <c r="I113" s="509" t="str">
        <f ca="1">IFERROR(OFFSET('4.1(2)新規再エネ導入予定（設備情報）'!$L$1,MATCH(G113,'4.1(2)新規再エネ導入予定（設備情報）'!$G:$G,0)-1,0),"")</f>
        <v/>
      </c>
      <c r="J113" s="510" t="str">
        <f ca="1">IFERROR(OFFSET('4.1(2)新規再エネ導入予定（設備情報）'!$O$1,MATCH(G113,'4.1(2)新規再エネ導入予定（設備情報）'!$G:$G,0)-1,0),"")</f>
        <v/>
      </c>
      <c r="K113" s="511" t="str">
        <f ca="1">IFERROR(OFFSET('4.1(2)新規再エネ導入予定（設備情報）'!$P$1,MATCH(G113,'4.1(2)新規再エネ導入予定（設備情報）'!$G:$G,0)-1,0),"")</f>
        <v/>
      </c>
      <c r="L113" s="489"/>
      <c r="M113" s="489"/>
      <c r="N113" s="489"/>
      <c r="O113" s="486"/>
      <c r="P113" s="24"/>
      <c r="Q113" s="21"/>
      <c r="R113" s="433">
        <f t="shared" si="6"/>
        <v>106</v>
      </c>
      <c r="S113" s="127">
        <f t="shared" si="7"/>
        <v>0</v>
      </c>
      <c r="T113" s="127" t="str">
        <f ca="1">_xlfn.IFNA(OFFSET('(非表示)新規再エネ実現可能性判定'!$C$1,MATCH(M113,'(非表示)新規再エネ実現可能性判定'!$B:$B,0)-1,0),"//")</f>
        <v>//</v>
      </c>
      <c r="U113" s="257" t="str">
        <f ca="1">_xlfn.IFNA(OFFSET('(非表示)新規再エネ実現可能性判定'!$F$1,MATCH(N113,'(非表示)新規再エネ実現可能性判定'!$E:$E,0)-1,0),"//")</f>
        <v>//</v>
      </c>
      <c r="V113" s="257" t="str">
        <f ca="1">_xlfn.IFNA(OFFSET('(非表示)新規再エネ実現可能性判定'!$I$1,MATCH(O113,'(非表示)新規再エネ実現可能性判定'!$H:$H,0)-1,0),"//")</f>
        <v>//</v>
      </c>
      <c r="W113" s="257" t="str">
        <f t="shared" si="5"/>
        <v/>
      </c>
    </row>
    <row r="114" spans="2:23" s="11" customFormat="1" ht="20">
      <c r="B114" s="21"/>
      <c r="C114" s="21"/>
      <c r="D114" s="22"/>
      <c r="E114" s="130"/>
      <c r="F114" s="504" t="str">
        <f ca="1">IFERROR(OFFSET('4.1(2)新規再エネ導入予定（設備情報）'!$F$1,MATCH(G114,'4.1(2)新規再エネ導入予定（設備情報）'!$G:$G,0)-1,0),"")</f>
        <v/>
      </c>
      <c r="G114" s="512"/>
      <c r="H114" s="508" t="str">
        <f ca="1">IFERROR(OFFSET('4.1(2)新規再エネ導入予定（設備情報）'!$H$1,MATCH(G114,'4.1(2)新規再エネ導入予定（設備情報）'!$G:$G,0)-1,0)&amp;"","")</f>
        <v/>
      </c>
      <c r="I114" s="509" t="str">
        <f ca="1">IFERROR(OFFSET('4.1(2)新規再エネ導入予定（設備情報）'!$L$1,MATCH(G114,'4.1(2)新規再エネ導入予定（設備情報）'!$G:$G,0)-1,0),"")</f>
        <v/>
      </c>
      <c r="J114" s="510" t="str">
        <f ca="1">IFERROR(OFFSET('4.1(2)新規再エネ導入予定（設備情報）'!$O$1,MATCH(G114,'4.1(2)新規再エネ導入予定（設備情報）'!$G:$G,0)-1,0),"")</f>
        <v/>
      </c>
      <c r="K114" s="511" t="str">
        <f ca="1">IFERROR(OFFSET('4.1(2)新規再エネ導入予定（設備情報）'!$P$1,MATCH(G114,'4.1(2)新規再エネ導入予定（設備情報）'!$G:$G,0)-1,0),"")</f>
        <v/>
      </c>
      <c r="L114" s="489"/>
      <c r="M114" s="489"/>
      <c r="N114" s="489"/>
      <c r="O114" s="486"/>
      <c r="P114" s="24"/>
      <c r="Q114" s="21"/>
      <c r="R114" s="433">
        <f t="shared" si="6"/>
        <v>107</v>
      </c>
      <c r="S114" s="127">
        <f t="shared" si="7"/>
        <v>0</v>
      </c>
      <c r="T114" s="127" t="str">
        <f ca="1">_xlfn.IFNA(OFFSET('(非表示)新規再エネ実現可能性判定'!$C$1,MATCH(M114,'(非表示)新規再エネ実現可能性判定'!$B:$B,0)-1,0),"//")</f>
        <v>//</v>
      </c>
      <c r="U114" s="257" t="str">
        <f ca="1">_xlfn.IFNA(OFFSET('(非表示)新規再エネ実現可能性判定'!$F$1,MATCH(N114,'(非表示)新規再エネ実現可能性判定'!$E:$E,0)-1,0),"//")</f>
        <v>//</v>
      </c>
      <c r="V114" s="257" t="str">
        <f ca="1">_xlfn.IFNA(OFFSET('(非表示)新規再エネ実現可能性判定'!$I$1,MATCH(O114,'(非表示)新規再エネ実現可能性判定'!$H:$H,0)-1,0),"//")</f>
        <v>//</v>
      </c>
      <c r="W114" s="257" t="str">
        <f t="shared" si="5"/>
        <v/>
      </c>
    </row>
    <row r="115" spans="2:23" s="11" customFormat="1" ht="20">
      <c r="B115" s="21"/>
      <c r="C115" s="21"/>
      <c r="D115" s="22"/>
      <c r="E115" s="130"/>
      <c r="F115" s="504" t="str">
        <f ca="1">IFERROR(OFFSET('4.1(2)新規再エネ導入予定（設備情報）'!$F$1,MATCH(G115,'4.1(2)新規再エネ導入予定（設備情報）'!$G:$G,0)-1,0),"")</f>
        <v/>
      </c>
      <c r="G115" s="512"/>
      <c r="H115" s="508" t="str">
        <f ca="1">IFERROR(OFFSET('4.1(2)新規再エネ導入予定（設備情報）'!$H$1,MATCH(G115,'4.1(2)新規再エネ導入予定（設備情報）'!$G:$G,0)-1,0)&amp;"","")</f>
        <v/>
      </c>
      <c r="I115" s="509" t="str">
        <f ca="1">IFERROR(OFFSET('4.1(2)新規再エネ導入予定（設備情報）'!$L$1,MATCH(G115,'4.1(2)新規再エネ導入予定（設備情報）'!$G:$G,0)-1,0),"")</f>
        <v/>
      </c>
      <c r="J115" s="510" t="str">
        <f ca="1">IFERROR(OFFSET('4.1(2)新規再エネ導入予定（設備情報）'!$O$1,MATCH(G115,'4.1(2)新規再エネ導入予定（設備情報）'!$G:$G,0)-1,0),"")</f>
        <v/>
      </c>
      <c r="K115" s="511" t="str">
        <f ca="1">IFERROR(OFFSET('4.1(2)新規再エネ導入予定（設備情報）'!$P$1,MATCH(G115,'4.1(2)新規再エネ導入予定（設備情報）'!$G:$G,0)-1,0),"")</f>
        <v/>
      </c>
      <c r="L115" s="489"/>
      <c r="M115" s="489"/>
      <c r="N115" s="489"/>
      <c r="O115" s="486"/>
      <c r="P115" s="24"/>
      <c r="Q115" s="21"/>
      <c r="R115" s="433">
        <f t="shared" si="6"/>
        <v>108</v>
      </c>
      <c r="S115" s="127">
        <f t="shared" si="7"/>
        <v>0</v>
      </c>
      <c r="T115" s="127" t="str">
        <f ca="1">_xlfn.IFNA(OFFSET('(非表示)新規再エネ実現可能性判定'!$C$1,MATCH(M115,'(非表示)新規再エネ実現可能性判定'!$B:$B,0)-1,0),"//")</f>
        <v>//</v>
      </c>
      <c r="U115" s="257" t="str">
        <f ca="1">_xlfn.IFNA(OFFSET('(非表示)新規再エネ実現可能性判定'!$F$1,MATCH(N115,'(非表示)新規再エネ実現可能性判定'!$E:$E,0)-1,0),"//")</f>
        <v>//</v>
      </c>
      <c r="V115" s="257" t="str">
        <f ca="1">_xlfn.IFNA(OFFSET('(非表示)新規再エネ実現可能性判定'!$I$1,MATCH(O115,'(非表示)新規再エネ実現可能性判定'!$H:$H,0)-1,0),"//")</f>
        <v>//</v>
      </c>
      <c r="W115" s="257" t="str">
        <f t="shared" si="5"/>
        <v/>
      </c>
    </row>
    <row r="116" spans="2:23" ht="20">
      <c r="D116" s="16"/>
      <c r="E116" s="274"/>
      <c r="F116" s="283" t="s">
        <v>26</v>
      </c>
      <c r="G116" s="242"/>
      <c r="H116" s="242"/>
      <c r="I116" s="275"/>
      <c r="J116" s="276"/>
      <c r="K116" s="502">
        <f ca="1">SUM(OFFSET(K$112,0,0,ROW()-ROW(K$112),1))</f>
        <v>0</v>
      </c>
      <c r="L116" s="253"/>
      <c r="M116" s="253"/>
      <c r="N116" s="253"/>
      <c r="O116" s="253"/>
      <c r="P116" s="19"/>
      <c r="R116" s="425">
        <f t="shared" si="6"/>
        <v>109</v>
      </c>
      <c r="S116" s="224">
        <f t="shared" si="7"/>
        <v>0</v>
      </c>
      <c r="T116" s="224" t="str">
        <f ca="1">_xlfn.IFNA(OFFSET('(非表示)新規再エネ実現可能性判定'!$C$1,MATCH(M116,'(非表示)新規再エネ実現可能性判定'!$B:$B,0)-1,0),"//")</f>
        <v>//</v>
      </c>
      <c r="U116" s="177" t="str">
        <f ca="1">_xlfn.IFNA(OFFSET('(非表示)新規再エネ実現可能性判定'!$F$1,MATCH(N116,'(非表示)新規再エネ実現可能性判定'!$E:$E,0)-1,0),"//")</f>
        <v>//</v>
      </c>
      <c r="V116" s="177" t="str">
        <f ca="1">_xlfn.IFNA(OFFSET('(非表示)新規再エネ実現可能性判定'!$I$1,MATCH(O116,'(非表示)新規再エネ実現可能性判定'!$H:$H,0)-1,0),"//")</f>
        <v>//</v>
      </c>
      <c r="W116" s="177" t="str">
        <f t="shared" si="5"/>
        <v/>
      </c>
    </row>
    <row r="117" spans="2:23" ht="20">
      <c r="D117" s="46"/>
      <c r="E117" s="26"/>
      <c r="F117" s="26"/>
      <c r="G117" s="4"/>
      <c r="H117" s="4"/>
      <c r="I117" s="124"/>
      <c r="J117" s="4"/>
      <c r="K117" s="4"/>
      <c r="L117" s="289"/>
      <c r="M117" s="289"/>
      <c r="N117" s="289"/>
      <c r="O117" s="290"/>
      <c r="P117" s="27"/>
      <c r="Q117"/>
      <c r="R117" s="425">
        <f t="shared" si="6"/>
        <v>110</v>
      </c>
      <c r="S117" s="224">
        <f t="shared" si="7"/>
        <v>0</v>
      </c>
      <c r="T117" s="224" t="str">
        <f ca="1">_xlfn.IFNA(OFFSET('(非表示)新規再エネ実現可能性判定'!$C$1,MATCH(M117,'(非表示)新規再エネ実現可能性判定'!$B:$B,0)-1,0),"//")</f>
        <v>//</v>
      </c>
      <c r="U117" s="177" t="str">
        <f ca="1">_xlfn.IFNA(OFFSET('(非表示)新規再エネ実現可能性判定'!$F$1,MATCH(N117,'(非表示)新規再エネ実現可能性判定'!$E:$E,0)-1,0),"//")</f>
        <v>//</v>
      </c>
      <c r="V117" s="177" t="str">
        <f ca="1">_xlfn.IFNA(OFFSET('(非表示)新規再エネ実現可能性判定'!$I$1,MATCH(O117,'(非表示)新規再エネ実現可能性判定'!$H:$H,0)-1,0),"//")</f>
        <v>//</v>
      </c>
      <c r="W117" s="177" t="str">
        <f t="shared" si="5"/>
        <v/>
      </c>
    </row>
    <row r="118" spans="2:23" ht="20">
      <c r="F118" s="31"/>
      <c r="G118" s="31"/>
      <c r="H118" s="31"/>
      <c r="I118" s="270"/>
      <c r="J118" s="31"/>
      <c r="K118" s="31"/>
      <c r="L118" s="287"/>
      <c r="M118" s="287"/>
      <c r="N118" s="287"/>
      <c r="O118" s="288"/>
      <c r="R118" s="425">
        <f t="shared" si="6"/>
        <v>111</v>
      </c>
      <c r="S118" s="224">
        <f t="shared" si="7"/>
        <v>0</v>
      </c>
      <c r="T118" s="224" t="str">
        <f ca="1">_xlfn.IFNA(OFFSET('(非表示)新規再エネ実現可能性判定'!$C$1,MATCH(M118,'(非表示)新規再エネ実現可能性判定'!$B:$B,0)-1,0),"//")</f>
        <v>//</v>
      </c>
      <c r="U118" s="177" t="str">
        <f ca="1">_xlfn.IFNA(OFFSET('(非表示)新規再エネ実現可能性判定'!$F$1,MATCH(N118,'(非表示)新規再エネ実現可能性判定'!$E:$E,0)-1,0),"//")</f>
        <v>//</v>
      </c>
      <c r="V118" s="177" t="str">
        <f ca="1">_xlfn.IFNA(OFFSET('(非表示)新規再エネ実現可能性判定'!$I$1,MATCH(O118,'(非表示)新規再エネ実現可能性判定'!$H:$H,0)-1,0),"//")</f>
        <v>//</v>
      </c>
      <c r="W118" s="177" t="str">
        <f t="shared" si="5"/>
        <v/>
      </c>
    </row>
    <row r="119" spans="2:23" ht="20">
      <c r="F119" s="31"/>
      <c r="G119" s="31"/>
      <c r="H119" s="31"/>
      <c r="I119" s="270"/>
      <c r="J119" s="31"/>
      <c r="K119" s="31"/>
      <c r="L119" s="287"/>
      <c r="M119" s="287"/>
      <c r="N119" s="287"/>
      <c r="O119" s="288"/>
      <c r="R119" s="425">
        <f t="shared" si="6"/>
        <v>112</v>
      </c>
      <c r="S119" s="224">
        <f t="shared" si="7"/>
        <v>0</v>
      </c>
      <c r="T119" s="224" t="str">
        <f ca="1">_xlfn.IFNA(OFFSET('(非表示)新規再エネ実現可能性判定'!$C$1,MATCH(M119,'(非表示)新規再エネ実現可能性判定'!$B:$B,0)-1,0),"//")</f>
        <v>//</v>
      </c>
      <c r="U119" s="177" t="str">
        <f ca="1">_xlfn.IFNA(OFFSET('(非表示)新規再エネ実現可能性判定'!$F$1,MATCH(N119,'(非表示)新規再エネ実現可能性判定'!$E:$E,0)-1,0),"//")</f>
        <v>//</v>
      </c>
      <c r="V119" s="177" t="str">
        <f ca="1">_xlfn.IFNA(OFFSET('(非表示)新規再エネ実現可能性判定'!$I$1,MATCH(O119,'(非表示)新規再エネ実現可能性判定'!$H:$H,0)-1,0),"//")</f>
        <v>//</v>
      </c>
      <c r="W119" s="177" t="str">
        <f t="shared" si="5"/>
        <v/>
      </c>
    </row>
    <row r="120" spans="2:23" ht="9.75" customHeight="1">
      <c r="D120" s="14"/>
      <c r="E120" s="15"/>
      <c r="F120" s="15"/>
      <c r="G120" s="250"/>
      <c r="H120" s="15"/>
      <c r="I120" s="237"/>
      <c r="J120" s="15"/>
      <c r="K120" s="15"/>
      <c r="L120" s="280"/>
      <c r="M120" s="280"/>
      <c r="N120" s="280"/>
      <c r="O120" s="18"/>
      <c r="P120" s="30"/>
      <c r="R120" s="425">
        <f t="shared" si="6"/>
        <v>113</v>
      </c>
      <c r="S120" s="224">
        <f t="shared" si="7"/>
        <v>0</v>
      </c>
      <c r="T120" s="224" t="str">
        <f ca="1">_xlfn.IFNA(OFFSET('(非表示)新規再エネ実現可能性判定'!$C$1,MATCH(M120,'(非表示)新規再エネ実現可能性判定'!$B:$B,0)-1,0),"//")</f>
        <v>//</v>
      </c>
      <c r="U120" s="177" t="str">
        <f ca="1">_xlfn.IFNA(OFFSET('(非表示)新規再エネ実現可能性判定'!$F$1,MATCH(N120,'(非表示)新規再エネ実現可能性判定'!$E:$E,0)-1,0),"//")</f>
        <v>//</v>
      </c>
      <c r="V120" s="177" t="str">
        <f ca="1">_xlfn.IFNA(OFFSET('(非表示)新規再エネ実現可能性判定'!$I$1,MATCH(O120,'(非表示)新規再エネ実現可能性判定'!$H:$H,0)-1,0),"//")</f>
        <v>//</v>
      </c>
      <c r="W120" s="177" t="str">
        <f t="shared" si="5"/>
        <v/>
      </c>
    </row>
    <row r="121" spans="2:23" ht="21">
      <c r="D121" s="239" t="s">
        <v>190</v>
      </c>
      <c r="F121" s="239"/>
      <c r="G121" s="271"/>
      <c r="I121" s="230"/>
      <c r="P121" s="19"/>
      <c r="R121" s="425">
        <f t="shared" si="6"/>
        <v>114</v>
      </c>
      <c r="S121" s="224">
        <f t="shared" si="7"/>
        <v>0</v>
      </c>
      <c r="T121" s="224" t="str">
        <f ca="1">_xlfn.IFNA(OFFSET('(非表示)新規再エネ実現可能性判定'!$C$1,MATCH(M121,'(非表示)新規再エネ実現可能性判定'!$B:$B,0)-1,0),"//")</f>
        <v>//</v>
      </c>
      <c r="U121" s="177" t="str">
        <f ca="1">_xlfn.IFNA(OFFSET('(非表示)新規再エネ実現可能性判定'!$F$1,MATCH(N121,'(非表示)新規再エネ実現可能性判定'!$E:$E,0)-1,0),"//")</f>
        <v>//</v>
      </c>
      <c r="V121" s="177" t="str">
        <f ca="1">_xlfn.IFNA(OFFSET('(非表示)新規再エネ実現可能性判定'!$I$1,MATCH(O121,'(非表示)新規再エネ実現可能性判定'!$H:$H,0)-1,0),"//")</f>
        <v>//</v>
      </c>
      <c r="W121" s="177" t="str">
        <f t="shared" si="5"/>
        <v/>
      </c>
    </row>
    <row r="122" spans="2:23" ht="21">
      <c r="D122" s="239"/>
      <c r="F122" s="967" t="s">
        <v>8</v>
      </c>
      <c r="G122" s="968" t="s">
        <v>186</v>
      </c>
      <c r="H122" s="968" t="s">
        <v>181</v>
      </c>
      <c r="I122" s="969" t="s">
        <v>31</v>
      </c>
      <c r="J122" s="968" t="s">
        <v>187</v>
      </c>
      <c r="K122" s="968" t="s">
        <v>81</v>
      </c>
      <c r="L122" s="962" t="s">
        <v>188</v>
      </c>
      <c r="M122" s="962"/>
      <c r="N122" s="962"/>
      <c r="O122" s="281"/>
      <c r="P122" s="19"/>
      <c r="R122" s="425">
        <f t="shared" si="6"/>
        <v>115</v>
      </c>
      <c r="S122" s="224">
        <f t="shared" si="7"/>
        <v>0</v>
      </c>
      <c r="T122" s="224" t="str">
        <f ca="1">_xlfn.IFNA(OFFSET('(非表示)新規再エネ実現可能性判定'!$C$1,MATCH(M122,'(非表示)新規再エネ実現可能性判定'!$B:$B,0)-1,0),"//")</f>
        <v>//</v>
      </c>
      <c r="U122" s="177" t="str">
        <f ca="1">_xlfn.IFNA(OFFSET('(非表示)新規再エネ実現可能性判定'!$F$1,MATCH(N122,'(非表示)新規再エネ実現可能性判定'!$E:$E,0)-1,0),"//")</f>
        <v>//</v>
      </c>
      <c r="V122" s="177" t="str">
        <f ca="1">_xlfn.IFNA(OFFSET('(非表示)新規再エネ実現可能性判定'!$I$1,MATCH(O122,'(非表示)新規再エネ実現可能性判定'!$H:$H,0)-1,0),"//")</f>
        <v>//</v>
      </c>
      <c r="W122" s="177" t="str">
        <f t="shared" si="5"/>
        <v/>
      </c>
    </row>
    <row r="123" spans="2:23" ht="36" customHeight="1">
      <c r="D123" s="16"/>
      <c r="E123" s="273"/>
      <c r="F123" s="967"/>
      <c r="G123" s="968"/>
      <c r="H123" s="968"/>
      <c r="I123" s="969"/>
      <c r="J123" s="968"/>
      <c r="K123" s="968"/>
      <c r="L123" s="296" t="s">
        <v>226</v>
      </c>
      <c r="M123" s="296" t="s">
        <v>109</v>
      </c>
      <c r="N123" s="296" t="s">
        <v>110</v>
      </c>
      <c r="O123" s="282" t="s">
        <v>323</v>
      </c>
      <c r="P123" s="19"/>
      <c r="R123" s="425">
        <f t="shared" si="6"/>
        <v>116</v>
      </c>
      <c r="S123" s="224">
        <f t="shared" si="7"/>
        <v>0</v>
      </c>
      <c r="T123" s="224" t="str">
        <f ca="1">_xlfn.IFNA(OFFSET('(非表示)新規再エネ実現可能性判定'!$C$1,MATCH(M123,'(非表示)新規再エネ実現可能性判定'!$B:$B,0)-1,0),"//")</f>
        <v>判定</v>
      </c>
      <c r="U123" s="177" t="str">
        <f ca="1">_xlfn.IFNA(OFFSET('(非表示)新規再エネ実現可能性判定'!$F$1,MATCH(N123,'(非表示)新規再エネ実現可能性判定'!$E:$E,0)-1,0),"//")</f>
        <v>判定</v>
      </c>
      <c r="V123" s="177" t="str">
        <f ca="1">_xlfn.IFNA(OFFSET('(非表示)新規再エネ実現可能性判定'!$I$1,MATCH(O123,'(非表示)新規再エネ実現可能性判定'!$H:$H,0)-1,0),"//")</f>
        <v>//</v>
      </c>
      <c r="W123" s="177" t="str">
        <f t="shared" ca="1" si="5"/>
        <v>//</v>
      </c>
    </row>
    <row r="124" spans="2:23" s="11" customFormat="1" ht="20" hidden="1">
      <c r="B124" s="21"/>
      <c r="C124" s="21"/>
      <c r="D124" s="22"/>
      <c r="E124" s="130"/>
      <c r="F124" s="491"/>
      <c r="G124" s="482"/>
      <c r="H124" s="498"/>
      <c r="I124" s="505"/>
      <c r="J124" s="506"/>
      <c r="K124" s="507"/>
      <c r="L124" s="513"/>
      <c r="M124" s="513"/>
      <c r="N124" s="513"/>
      <c r="O124" s="514"/>
      <c r="P124" s="24"/>
      <c r="Q124" s="21"/>
      <c r="R124" s="433">
        <f t="shared" si="6"/>
        <v>117</v>
      </c>
      <c r="S124" s="127">
        <f t="shared" si="7"/>
        <v>0</v>
      </c>
      <c r="T124" s="127" t="str">
        <f ca="1">_xlfn.IFNA(OFFSET('(非表示)新規再エネ実現可能性判定'!$C$1,MATCH(M124,'(非表示)新規再エネ実現可能性判定'!$B:$B,0)-1,0),"//")</f>
        <v>//</v>
      </c>
      <c r="U124" s="257" t="str">
        <f ca="1">_xlfn.IFNA(OFFSET('(非表示)新規再エネ実現可能性判定'!$F$1,MATCH(N124,'(非表示)新規再エネ実現可能性判定'!$E:$E,0)-1,0),"//")</f>
        <v>//</v>
      </c>
      <c r="V124" s="257" t="str">
        <f ca="1">_xlfn.IFNA(OFFSET('(非表示)新規再エネ実現可能性判定'!$I$1,MATCH(O124,'(非表示)新規再エネ実現可能性判定'!$H:$H,0)-1,0),"//")</f>
        <v>//</v>
      </c>
      <c r="W124" s="257" t="str">
        <f t="shared" si="5"/>
        <v/>
      </c>
    </row>
    <row r="125" spans="2:23" s="11" customFormat="1" ht="20">
      <c r="B125" s="21"/>
      <c r="C125" s="21"/>
      <c r="D125" s="22"/>
      <c r="E125" s="130"/>
      <c r="F125" s="504" t="str">
        <f ca="1">IFERROR(OFFSET('4.1(2)新規再エネ導入予定（設備情報）'!$F$1,MATCH(G125,'4.1(2)新規再エネ導入予定（設備情報）'!$G:$G,0)-1,0),"")</f>
        <v/>
      </c>
      <c r="G125" s="512"/>
      <c r="H125" s="508" t="str">
        <f ca="1">IFERROR(OFFSET('4.1(2)新規再エネ導入予定（設備情報）'!$H$1,MATCH(G125,'4.1(2)新規再エネ導入予定（設備情報）'!$G:$G,0)-1,0)&amp;"","")</f>
        <v/>
      </c>
      <c r="I125" s="509" t="str">
        <f ca="1">IFERROR(OFFSET('4.1(2)新規再エネ導入予定（設備情報）'!$L$1,MATCH(G125,'4.1(2)新規再エネ導入予定（設備情報）'!$G:$G,0)-1,0),"")</f>
        <v/>
      </c>
      <c r="J125" s="510" t="str">
        <f ca="1">IFERROR(OFFSET('4.1(2)新規再エネ導入予定（設備情報）'!$O$1,MATCH(G125,'4.1(2)新規再エネ導入予定（設備情報）'!$G:$G,0)-1,0),"")</f>
        <v/>
      </c>
      <c r="K125" s="511" t="str">
        <f ca="1">IFERROR(OFFSET('4.1(2)新規再エネ導入予定（設備情報）'!$P$1,MATCH(G125,'4.1(2)新規再エネ導入予定（設備情報）'!$G:$G,0)-1,0),"")</f>
        <v/>
      </c>
      <c r="L125" s="489"/>
      <c r="M125" s="489"/>
      <c r="N125" s="489"/>
      <c r="O125" s="486"/>
      <c r="P125" s="24"/>
      <c r="Q125" s="21"/>
      <c r="R125" s="433">
        <f t="shared" si="6"/>
        <v>118</v>
      </c>
      <c r="S125" s="127">
        <f t="shared" si="7"/>
        <v>0</v>
      </c>
      <c r="T125" s="127" t="str">
        <f ca="1">_xlfn.IFNA(OFFSET('(非表示)新規再エネ実現可能性判定'!$C$1,MATCH(M125,'(非表示)新規再エネ実現可能性判定'!$B:$B,0)-1,0),"//")</f>
        <v>//</v>
      </c>
      <c r="U125" s="257" t="str">
        <f ca="1">_xlfn.IFNA(OFFSET('(非表示)新規再エネ実現可能性判定'!$F$1,MATCH(N125,'(非表示)新規再エネ実現可能性判定'!$E:$E,0)-1,0),"//")</f>
        <v>//</v>
      </c>
      <c r="V125" s="257" t="str">
        <f ca="1">_xlfn.IFNA(OFFSET('(非表示)新規再エネ実現可能性判定'!$I$1,MATCH(O125,'(非表示)新規再エネ実現可能性判定'!$H:$H,0)-1,0),"//")</f>
        <v>//</v>
      </c>
      <c r="W125" s="257" t="str">
        <f t="shared" si="5"/>
        <v/>
      </c>
    </row>
    <row r="126" spans="2:23" s="11" customFormat="1" ht="20">
      <c r="B126" s="21"/>
      <c r="C126" s="21"/>
      <c r="D126" s="22"/>
      <c r="E126" s="130"/>
      <c r="F126" s="504" t="str">
        <f ca="1">IFERROR(OFFSET('4.1(2)新規再エネ導入予定（設備情報）'!$F$1,MATCH(G126,'4.1(2)新規再エネ導入予定（設備情報）'!$G:$G,0)-1,0),"")</f>
        <v/>
      </c>
      <c r="G126" s="512"/>
      <c r="H126" s="508" t="str">
        <f ca="1">IFERROR(OFFSET('4.1(2)新規再エネ導入予定（設備情報）'!$H$1,MATCH(G126,'4.1(2)新規再エネ導入予定（設備情報）'!$G:$G,0)-1,0)&amp;"","")</f>
        <v/>
      </c>
      <c r="I126" s="509" t="str">
        <f ca="1">IFERROR(OFFSET('4.1(2)新規再エネ導入予定（設備情報）'!$L$1,MATCH(G126,'4.1(2)新規再エネ導入予定（設備情報）'!$G:$G,0)-1,0),"")</f>
        <v/>
      </c>
      <c r="J126" s="510" t="str">
        <f ca="1">IFERROR(OFFSET('4.1(2)新規再エネ導入予定（設備情報）'!$O$1,MATCH(G126,'4.1(2)新規再エネ導入予定（設備情報）'!$G:$G,0)-1,0),"")</f>
        <v/>
      </c>
      <c r="K126" s="511" t="str">
        <f ca="1">IFERROR(OFFSET('4.1(2)新規再エネ導入予定（設備情報）'!$P$1,MATCH(G126,'4.1(2)新規再エネ導入予定（設備情報）'!$G:$G,0)-1,0),"")</f>
        <v/>
      </c>
      <c r="L126" s="489"/>
      <c r="M126" s="489"/>
      <c r="N126" s="489"/>
      <c r="O126" s="486"/>
      <c r="P126" s="24"/>
      <c r="Q126" s="21"/>
      <c r="R126" s="433">
        <f t="shared" si="6"/>
        <v>119</v>
      </c>
      <c r="S126" s="127">
        <f t="shared" si="7"/>
        <v>0</v>
      </c>
      <c r="T126" s="127" t="str">
        <f ca="1">_xlfn.IFNA(OFFSET('(非表示)新規再エネ実現可能性判定'!$C$1,MATCH(M126,'(非表示)新規再エネ実現可能性判定'!$B:$B,0)-1,0),"//")</f>
        <v>//</v>
      </c>
      <c r="U126" s="257" t="str">
        <f ca="1">_xlfn.IFNA(OFFSET('(非表示)新規再エネ実現可能性判定'!$F$1,MATCH(N126,'(非表示)新規再エネ実現可能性判定'!$E:$E,0)-1,0),"//")</f>
        <v>//</v>
      </c>
      <c r="V126" s="257" t="str">
        <f ca="1">_xlfn.IFNA(OFFSET('(非表示)新規再エネ実現可能性判定'!$I$1,MATCH(O126,'(非表示)新規再エネ実現可能性判定'!$H:$H,0)-1,0),"//")</f>
        <v>//</v>
      </c>
      <c r="W126" s="257" t="str">
        <f t="shared" si="5"/>
        <v/>
      </c>
    </row>
    <row r="127" spans="2:23" s="11" customFormat="1" ht="20">
      <c r="B127" s="21"/>
      <c r="C127" s="21"/>
      <c r="D127" s="22"/>
      <c r="E127" s="130"/>
      <c r="F127" s="504" t="str">
        <f ca="1">IFERROR(OFFSET('4.1(2)新規再エネ導入予定（設備情報）'!$F$1,MATCH(G127,'4.1(2)新規再エネ導入予定（設備情報）'!$G:$G,0)-1,0),"")</f>
        <v/>
      </c>
      <c r="G127" s="512"/>
      <c r="H127" s="508" t="str">
        <f ca="1">IFERROR(OFFSET('4.1(2)新規再エネ導入予定（設備情報）'!$H$1,MATCH(G127,'4.1(2)新規再エネ導入予定（設備情報）'!$G:$G,0)-1,0)&amp;"","")</f>
        <v/>
      </c>
      <c r="I127" s="509" t="str">
        <f ca="1">IFERROR(OFFSET('4.1(2)新規再エネ導入予定（設備情報）'!$L$1,MATCH(G127,'4.1(2)新規再エネ導入予定（設備情報）'!$G:$G,0)-1,0),"")</f>
        <v/>
      </c>
      <c r="J127" s="510" t="str">
        <f ca="1">IFERROR(OFFSET('4.1(2)新規再エネ導入予定（設備情報）'!$O$1,MATCH(G127,'4.1(2)新規再エネ導入予定（設備情報）'!$G:$G,0)-1,0),"")</f>
        <v/>
      </c>
      <c r="K127" s="511" t="str">
        <f ca="1">IFERROR(OFFSET('4.1(2)新規再エネ導入予定（設備情報）'!$P$1,MATCH(G127,'4.1(2)新規再エネ導入予定（設備情報）'!$G:$G,0)-1,0),"")</f>
        <v/>
      </c>
      <c r="L127" s="489"/>
      <c r="M127" s="489"/>
      <c r="N127" s="489"/>
      <c r="O127" s="486"/>
      <c r="P127" s="24"/>
      <c r="Q127" s="21"/>
      <c r="R127" s="433">
        <f t="shared" si="6"/>
        <v>120</v>
      </c>
      <c r="S127" s="127">
        <f t="shared" si="7"/>
        <v>0</v>
      </c>
      <c r="T127" s="127" t="str">
        <f ca="1">_xlfn.IFNA(OFFSET('(非表示)新規再エネ実現可能性判定'!$C$1,MATCH(M127,'(非表示)新規再エネ実現可能性判定'!$B:$B,0)-1,0),"//")</f>
        <v>//</v>
      </c>
      <c r="U127" s="257" t="str">
        <f ca="1">_xlfn.IFNA(OFFSET('(非表示)新規再エネ実現可能性判定'!$F$1,MATCH(N127,'(非表示)新規再エネ実現可能性判定'!$E:$E,0)-1,0),"//")</f>
        <v>//</v>
      </c>
      <c r="V127" s="257" t="str">
        <f ca="1">_xlfn.IFNA(OFFSET('(非表示)新規再エネ実現可能性判定'!$I$1,MATCH(O127,'(非表示)新規再エネ実現可能性判定'!$H:$H,0)-1,0),"//")</f>
        <v>//</v>
      </c>
      <c r="W127" s="257" t="str">
        <f t="shared" si="5"/>
        <v/>
      </c>
    </row>
    <row r="128" spans="2:23" ht="20">
      <c r="D128" s="16"/>
      <c r="E128" s="274"/>
      <c r="F128" s="283" t="s">
        <v>26</v>
      </c>
      <c r="G128" s="242"/>
      <c r="H128" s="242"/>
      <c r="I128" s="275"/>
      <c r="J128" s="276"/>
      <c r="K128" s="502">
        <f ca="1">SUM(OFFSET(K$124,0,0,ROW()-ROW(K$124),1))</f>
        <v>0</v>
      </c>
      <c r="L128" s="253"/>
      <c r="M128" s="253"/>
      <c r="N128" s="253"/>
      <c r="O128" s="253"/>
      <c r="P128" s="19"/>
      <c r="R128" s="425">
        <f t="shared" si="6"/>
        <v>121</v>
      </c>
      <c r="S128" s="224">
        <f t="shared" si="7"/>
        <v>0</v>
      </c>
      <c r="T128" s="224" t="str">
        <f ca="1">_xlfn.IFNA(OFFSET('(非表示)新規再エネ実現可能性判定'!$C$1,MATCH(M128,'(非表示)新規再エネ実現可能性判定'!$B:$B,0)-1,0),"//")</f>
        <v>//</v>
      </c>
      <c r="U128" s="177" t="str">
        <f ca="1">_xlfn.IFNA(OFFSET('(非表示)新規再エネ実現可能性判定'!$F$1,MATCH(N128,'(非表示)新規再エネ実現可能性判定'!$E:$E,0)-1,0),"//")</f>
        <v>//</v>
      </c>
      <c r="V128" s="177" t="str">
        <f ca="1">_xlfn.IFNA(OFFSET('(非表示)新規再エネ実現可能性判定'!$I$1,MATCH(O128,'(非表示)新規再エネ実現可能性判定'!$H:$H,0)-1,0),"//")</f>
        <v>//</v>
      </c>
      <c r="W128" s="177" t="str">
        <f t="shared" si="5"/>
        <v/>
      </c>
    </row>
    <row r="129" spans="2:23" ht="20">
      <c r="D129" s="46"/>
      <c r="E129" s="26"/>
      <c r="F129" s="26"/>
      <c r="G129" s="4"/>
      <c r="H129" s="4"/>
      <c r="I129" s="124"/>
      <c r="J129" s="4"/>
      <c r="K129" s="4"/>
      <c r="L129" s="289"/>
      <c r="M129" s="289"/>
      <c r="N129" s="289"/>
      <c r="O129" s="290"/>
      <c r="P129" s="27"/>
      <c r="Q129"/>
      <c r="R129" s="425">
        <f t="shared" si="6"/>
        <v>122</v>
      </c>
      <c r="S129" s="224">
        <f t="shared" si="7"/>
        <v>0</v>
      </c>
      <c r="T129" s="224" t="str">
        <f ca="1">_xlfn.IFNA(OFFSET('(非表示)新規再エネ実現可能性判定'!$C$1,MATCH(M129,'(非表示)新規再エネ実現可能性判定'!$B:$B,0)-1,0),"//")</f>
        <v>//</v>
      </c>
      <c r="U129" s="177" t="str">
        <f ca="1">_xlfn.IFNA(OFFSET('(非表示)新規再エネ実現可能性判定'!$F$1,MATCH(N129,'(非表示)新規再エネ実現可能性判定'!$E:$E,0)-1,0),"//")</f>
        <v>//</v>
      </c>
      <c r="V129" s="177" t="str">
        <f ca="1">_xlfn.IFNA(OFFSET('(非表示)新規再エネ実現可能性判定'!$I$1,MATCH(O129,'(非表示)新規再エネ実現可能性判定'!$H:$H,0)-1,0),"//")</f>
        <v>//</v>
      </c>
      <c r="W129" s="177" t="str">
        <f t="shared" si="5"/>
        <v/>
      </c>
    </row>
    <row r="130" spans="2:23" ht="20">
      <c r="F130" s="31"/>
      <c r="G130" s="31"/>
      <c r="H130" s="31"/>
      <c r="I130" s="270"/>
      <c r="J130" s="31"/>
      <c r="K130" s="31"/>
      <c r="L130" s="287"/>
      <c r="M130" s="287"/>
      <c r="N130" s="287"/>
      <c r="O130" s="288"/>
      <c r="R130" s="425">
        <f t="shared" si="6"/>
        <v>123</v>
      </c>
      <c r="S130" s="224">
        <f t="shared" si="7"/>
        <v>0</v>
      </c>
      <c r="T130" s="224" t="str">
        <f ca="1">_xlfn.IFNA(OFFSET('(非表示)新規再エネ実現可能性判定'!$C$1,MATCH(M130,'(非表示)新規再エネ実現可能性判定'!$B:$B,0)-1,0),"//")</f>
        <v>//</v>
      </c>
      <c r="U130" s="177" t="str">
        <f ca="1">_xlfn.IFNA(OFFSET('(非表示)新規再エネ実現可能性判定'!$F$1,MATCH(N130,'(非表示)新規再エネ実現可能性判定'!$E:$E,0)-1,0),"//")</f>
        <v>//</v>
      </c>
      <c r="V130" s="177" t="str">
        <f ca="1">_xlfn.IFNA(OFFSET('(非表示)新規再エネ実現可能性判定'!$I$1,MATCH(O130,'(非表示)新規再エネ実現可能性判定'!$H:$H,0)-1,0),"//")</f>
        <v>//</v>
      </c>
      <c r="W130" s="177" t="str">
        <f t="shared" si="5"/>
        <v/>
      </c>
    </row>
    <row r="131" spans="2:23" ht="20">
      <c r="F131" s="31"/>
      <c r="G131" s="31"/>
      <c r="H131" s="31"/>
      <c r="I131" s="270"/>
      <c r="J131" s="31"/>
      <c r="K131" s="31"/>
      <c r="L131" s="287"/>
      <c r="M131" s="287"/>
      <c r="N131" s="287"/>
      <c r="O131" s="288"/>
      <c r="R131" s="425">
        <f t="shared" si="6"/>
        <v>124</v>
      </c>
      <c r="S131" s="224">
        <f t="shared" si="7"/>
        <v>0</v>
      </c>
      <c r="T131" s="224" t="str">
        <f ca="1">_xlfn.IFNA(OFFSET('(非表示)新規再エネ実現可能性判定'!$C$1,MATCH(M131,'(非表示)新規再エネ実現可能性判定'!$B:$B,0)-1,0),"//")</f>
        <v>//</v>
      </c>
      <c r="U131" s="177" t="str">
        <f ca="1">_xlfn.IFNA(OFFSET('(非表示)新規再エネ実現可能性判定'!$F$1,MATCH(N131,'(非表示)新規再エネ実現可能性判定'!$E:$E,0)-1,0),"//")</f>
        <v>//</v>
      </c>
      <c r="V131" s="177" t="str">
        <f ca="1">_xlfn.IFNA(OFFSET('(非表示)新規再エネ実現可能性判定'!$I$1,MATCH(O131,'(非表示)新規再エネ実現可能性判定'!$H:$H,0)-1,0),"//")</f>
        <v>//</v>
      </c>
      <c r="W131" s="177" t="str">
        <f t="shared" si="5"/>
        <v/>
      </c>
    </row>
    <row r="132" spans="2:23" ht="9.75" customHeight="1">
      <c r="D132" s="14"/>
      <c r="E132" s="15"/>
      <c r="F132" s="15"/>
      <c r="G132" s="250"/>
      <c r="H132" s="15"/>
      <c r="I132" s="237"/>
      <c r="J132" s="15"/>
      <c r="K132" s="15"/>
      <c r="L132" s="280"/>
      <c r="M132" s="280"/>
      <c r="N132" s="280"/>
      <c r="O132" s="18"/>
      <c r="P132" s="30"/>
      <c r="R132" s="425">
        <f t="shared" si="6"/>
        <v>125</v>
      </c>
      <c r="S132" s="224">
        <f t="shared" si="7"/>
        <v>0</v>
      </c>
      <c r="T132" s="224" t="str">
        <f ca="1">_xlfn.IFNA(OFFSET('(非表示)新規再エネ実現可能性判定'!$C$1,MATCH(M132,'(非表示)新規再エネ実現可能性判定'!$B:$B,0)-1,0),"//")</f>
        <v>//</v>
      </c>
      <c r="U132" s="177" t="str">
        <f ca="1">_xlfn.IFNA(OFFSET('(非表示)新規再エネ実現可能性判定'!$F$1,MATCH(N132,'(非表示)新規再エネ実現可能性判定'!$E:$E,0)-1,0),"//")</f>
        <v>//</v>
      </c>
      <c r="V132" s="177" t="str">
        <f ca="1">_xlfn.IFNA(OFFSET('(非表示)新規再エネ実現可能性判定'!$I$1,MATCH(O132,'(非表示)新規再エネ実現可能性判定'!$H:$H,0)-1,0),"//")</f>
        <v>//</v>
      </c>
      <c r="W132" s="177" t="str">
        <f t="shared" si="5"/>
        <v/>
      </c>
    </row>
    <row r="133" spans="2:23" ht="21">
      <c r="D133" s="239" t="s">
        <v>92</v>
      </c>
      <c r="F133" s="239"/>
      <c r="G133" s="271"/>
      <c r="I133" s="230"/>
      <c r="P133" s="19"/>
      <c r="R133" s="425">
        <f t="shared" si="6"/>
        <v>126</v>
      </c>
      <c r="S133" s="224">
        <f t="shared" si="7"/>
        <v>0</v>
      </c>
      <c r="T133" s="224" t="str">
        <f ca="1">_xlfn.IFNA(OFFSET('(非表示)新規再エネ実現可能性判定'!$C$1,MATCH(M133,'(非表示)新規再エネ実現可能性判定'!$B:$B,0)-1,0),"//")</f>
        <v>//</v>
      </c>
      <c r="U133" s="177" t="str">
        <f ca="1">_xlfn.IFNA(OFFSET('(非表示)新規再エネ実現可能性判定'!$F$1,MATCH(N133,'(非表示)新規再エネ実現可能性判定'!$E:$E,0)-1,0),"//")</f>
        <v>//</v>
      </c>
      <c r="V133" s="177" t="str">
        <f ca="1">_xlfn.IFNA(OFFSET('(非表示)新規再エネ実現可能性判定'!$I$1,MATCH(O133,'(非表示)新規再エネ実現可能性判定'!$H:$H,0)-1,0),"//")</f>
        <v>//</v>
      </c>
      <c r="W133" s="177" t="str">
        <f t="shared" si="5"/>
        <v/>
      </c>
    </row>
    <row r="134" spans="2:23" ht="21">
      <c r="D134" s="239"/>
      <c r="F134" s="967" t="s">
        <v>8</v>
      </c>
      <c r="G134" s="968" t="s">
        <v>186</v>
      </c>
      <c r="H134" s="968" t="s">
        <v>181</v>
      </c>
      <c r="I134" s="969" t="s">
        <v>31</v>
      </c>
      <c r="J134" s="968" t="s">
        <v>187</v>
      </c>
      <c r="K134" s="968" t="s">
        <v>200</v>
      </c>
      <c r="L134" s="962" t="s">
        <v>188</v>
      </c>
      <c r="M134" s="962"/>
      <c r="N134" s="962"/>
      <c r="O134" s="281"/>
      <c r="P134" s="19"/>
      <c r="R134" s="425">
        <f t="shared" si="6"/>
        <v>127</v>
      </c>
      <c r="S134" s="224">
        <f t="shared" si="7"/>
        <v>0</v>
      </c>
      <c r="T134" s="224" t="str">
        <f ca="1">_xlfn.IFNA(OFFSET('(非表示)新規再エネ実現可能性判定'!$C$1,MATCH(M134,'(非表示)新規再エネ実現可能性判定'!$B:$B,0)-1,0),"//")</f>
        <v>//</v>
      </c>
      <c r="U134" s="177" t="str">
        <f ca="1">_xlfn.IFNA(OFFSET('(非表示)新規再エネ実現可能性判定'!$F$1,MATCH(N134,'(非表示)新規再エネ実現可能性判定'!$E:$E,0)-1,0),"//")</f>
        <v>//</v>
      </c>
      <c r="V134" s="177" t="str">
        <f ca="1">_xlfn.IFNA(OFFSET('(非表示)新規再エネ実現可能性判定'!$I$1,MATCH(O134,'(非表示)新規再エネ実現可能性判定'!$H:$H,0)-1,0),"//")</f>
        <v>//</v>
      </c>
      <c r="W134" s="177" t="str">
        <f t="shared" si="5"/>
        <v/>
      </c>
    </row>
    <row r="135" spans="2:23" ht="36" customHeight="1">
      <c r="D135" s="16"/>
      <c r="E135" s="273"/>
      <c r="F135" s="967"/>
      <c r="G135" s="968"/>
      <c r="H135" s="968"/>
      <c r="I135" s="969"/>
      <c r="J135" s="968"/>
      <c r="K135" s="968"/>
      <c r="L135" s="296" t="s">
        <v>226</v>
      </c>
      <c r="M135" s="296" t="s">
        <v>109</v>
      </c>
      <c r="N135" s="296" t="s">
        <v>110</v>
      </c>
      <c r="O135" s="282" t="s">
        <v>323</v>
      </c>
      <c r="P135" s="19"/>
      <c r="R135" s="425">
        <f t="shared" si="6"/>
        <v>128</v>
      </c>
      <c r="S135" s="224">
        <f t="shared" si="7"/>
        <v>0</v>
      </c>
      <c r="T135" s="224" t="str">
        <f ca="1">_xlfn.IFNA(OFFSET('(非表示)新規再エネ実現可能性判定'!$C$1,MATCH(M135,'(非表示)新規再エネ実現可能性判定'!$B:$B,0)-1,0),"//")</f>
        <v>判定</v>
      </c>
      <c r="U135" s="177" t="str">
        <f ca="1">_xlfn.IFNA(OFFSET('(非表示)新規再エネ実現可能性判定'!$F$1,MATCH(N135,'(非表示)新規再エネ実現可能性判定'!$E:$E,0)-1,0),"//")</f>
        <v>判定</v>
      </c>
      <c r="V135" s="177" t="str">
        <f ca="1">_xlfn.IFNA(OFFSET('(非表示)新規再エネ実現可能性判定'!$I$1,MATCH(O135,'(非表示)新規再エネ実現可能性判定'!$H:$H,0)-1,0),"//")</f>
        <v>//</v>
      </c>
      <c r="W135" s="177" t="str">
        <f t="shared" ca="1" si="5"/>
        <v>//</v>
      </c>
    </row>
    <row r="136" spans="2:23" s="11" customFormat="1" ht="20" hidden="1">
      <c r="B136" s="21"/>
      <c r="C136" s="21"/>
      <c r="D136" s="22"/>
      <c r="E136" s="130"/>
      <c r="F136" s="491"/>
      <c r="G136" s="482"/>
      <c r="H136" s="498"/>
      <c r="I136" s="505"/>
      <c r="J136" s="506"/>
      <c r="K136" s="507"/>
      <c r="L136" s="513"/>
      <c r="M136" s="513"/>
      <c r="N136" s="513"/>
      <c r="O136" s="514"/>
      <c r="P136" s="24"/>
      <c r="Q136" s="21"/>
      <c r="R136" s="433">
        <f t="shared" si="6"/>
        <v>129</v>
      </c>
      <c r="S136" s="127">
        <f t="shared" si="7"/>
        <v>0</v>
      </c>
      <c r="T136" s="127" t="str">
        <f ca="1">_xlfn.IFNA(OFFSET('(非表示)新規再エネ実現可能性判定'!$C$1,MATCH(M136,'(非表示)新規再エネ実現可能性判定'!$B:$B,0)-1,0),"//")</f>
        <v>//</v>
      </c>
      <c r="U136" s="257" t="str">
        <f ca="1">_xlfn.IFNA(OFFSET('(非表示)新規再エネ実現可能性判定'!$F$1,MATCH(N136,'(非表示)新規再エネ実現可能性判定'!$E:$E,0)-1,0),"//")</f>
        <v>//</v>
      </c>
      <c r="V136" s="257" t="str">
        <f ca="1">_xlfn.IFNA(OFFSET('(非表示)新規再エネ実現可能性判定'!$I$1,MATCH(O136,'(非表示)新規再エネ実現可能性判定'!$H:$H,0)-1,0),"//")</f>
        <v>//</v>
      </c>
      <c r="W136" s="257" t="str">
        <f t="shared" ref="W136:W165" si="8">IF(COUNTBLANK($L136:$O136)=0,IF(V136="//","//",IF(S136=0,1,MIN(T136:V136))),"")</f>
        <v/>
      </c>
    </row>
    <row r="137" spans="2:23" s="11" customFormat="1" ht="20">
      <c r="B137" s="21"/>
      <c r="C137" s="21"/>
      <c r="D137" s="22"/>
      <c r="E137" s="130"/>
      <c r="F137" s="504" t="str">
        <f ca="1">IFERROR(OFFSET('4.1(2)新規再エネ導入予定（設備情報）'!$F$1,MATCH(G137,'4.1(2)新規再エネ導入予定（設備情報）'!$G:$G,0)-1,0),"")</f>
        <v/>
      </c>
      <c r="G137" s="512"/>
      <c r="H137" s="508" t="str">
        <f ca="1">IFERROR(OFFSET('4.1(2)新規再エネ導入予定（設備情報）'!$H$1,MATCH(G137,'4.1(2)新規再エネ導入予定（設備情報）'!$G:$G,0)-1,0)&amp;"","")</f>
        <v/>
      </c>
      <c r="I137" s="509" t="str">
        <f ca="1">IFERROR(OFFSET('4.1(2)新規再エネ導入予定（設備情報）'!$L$1,MATCH(G137,'4.1(2)新規再エネ導入予定（設備情報）'!$G:$G,0)-1,0),"")</f>
        <v/>
      </c>
      <c r="J137" s="510" t="str">
        <f ca="1">IFERROR(OFFSET('4.1(2)新規再エネ導入予定（設備情報）'!$O$1,MATCH(G137,'4.1(2)新規再エネ導入予定（設備情報）'!$G:$G,0)-1,0),"")</f>
        <v/>
      </c>
      <c r="K137" s="511" t="str">
        <f ca="1">IFERROR(OFFSET('4.1(2)新規再エネ導入予定（設備情報）'!$P$1,MATCH(G137,'4.1(2)新規再エネ導入予定（設備情報）'!$G:$G,0)-1,0),"")</f>
        <v/>
      </c>
      <c r="L137" s="489"/>
      <c r="M137" s="489"/>
      <c r="N137" s="489"/>
      <c r="O137" s="486"/>
      <c r="P137" s="24"/>
      <c r="Q137" s="21"/>
      <c r="R137" s="433">
        <f t="shared" ref="R137:R165" si="9">ROW()-7</f>
        <v>130</v>
      </c>
      <c r="S137" s="127">
        <f t="shared" ref="S137:S165" si="10">IF(L137="確認済",1,0)</f>
        <v>0</v>
      </c>
      <c r="T137" s="127" t="str">
        <f ca="1">_xlfn.IFNA(OFFSET('(非表示)新規再エネ実現可能性判定'!$C$1,MATCH(M137,'(非表示)新規再エネ実現可能性判定'!$B:$B,0)-1,0),"//")</f>
        <v>//</v>
      </c>
      <c r="U137" s="257" t="str">
        <f ca="1">_xlfn.IFNA(OFFSET('(非表示)新規再エネ実現可能性判定'!$F$1,MATCH(N137,'(非表示)新規再エネ実現可能性判定'!$E:$E,0)-1,0),"//")</f>
        <v>//</v>
      </c>
      <c r="V137" s="257" t="str">
        <f ca="1">_xlfn.IFNA(OFFSET('(非表示)新規再エネ実現可能性判定'!$I$1,MATCH(O137,'(非表示)新規再エネ実現可能性判定'!$H:$H,0)-1,0),"//")</f>
        <v>//</v>
      </c>
      <c r="W137" s="257" t="str">
        <f t="shared" si="8"/>
        <v/>
      </c>
    </row>
    <row r="138" spans="2:23" s="11" customFormat="1" ht="20">
      <c r="B138" s="21"/>
      <c r="C138" s="21"/>
      <c r="D138" s="22"/>
      <c r="E138" s="130"/>
      <c r="F138" s="504" t="str">
        <f ca="1">IFERROR(OFFSET('4.1(2)新規再エネ導入予定（設備情報）'!$F$1,MATCH(G138,'4.1(2)新規再エネ導入予定（設備情報）'!$G:$G,0)-1,0),"")</f>
        <v/>
      </c>
      <c r="G138" s="512"/>
      <c r="H138" s="508" t="str">
        <f ca="1">IFERROR(OFFSET('4.1(2)新規再エネ導入予定（設備情報）'!$H$1,MATCH(G138,'4.1(2)新規再エネ導入予定（設備情報）'!$G:$G,0)-1,0)&amp;"","")</f>
        <v/>
      </c>
      <c r="I138" s="509" t="str">
        <f ca="1">IFERROR(OFFSET('4.1(2)新規再エネ導入予定（設備情報）'!$L$1,MATCH(G138,'4.1(2)新規再エネ導入予定（設備情報）'!$G:$G,0)-1,0),"")</f>
        <v/>
      </c>
      <c r="J138" s="510" t="str">
        <f ca="1">IFERROR(OFFSET('4.1(2)新規再エネ導入予定（設備情報）'!$O$1,MATCH(G138,'4.1(2)新規再エネ導入予定（設備情報）'!$G:$G,0)-1,0),"")</f>
        <v/>
      </c>
      <c r="K138" s="511" t="str">
        <f ca="1">IFERROR(OFFSET('4.1(2)新規再エネ導入予定（設備情報）'!$P$1,MATCH(G138,'4.1(2)新規再エネ導入予定（設備情報）'!$G:$G,0)-1,0),"")</f>
        <v/>
      </c>
      <c r="L138" s="489"/>
      <c r="M138" s="489"/>
      <c r="N138" s="489"/>
      <c r="O138" s="486"/>
      <c r="P138" s="24"/>
      <c r="Q138" s="21"/>
      <c r="R138" s="433">
        <f t="shared" si="9"/>
        <v>131</v>
      </c>
      <c r="S138" s="127">
        <f t="shared" si="10"/>
        <v>0</v>
      </c>
      <c r="T138" s="127" t="str">
        <f ca="1">_xlfn.IFNA(OFFSET('(非表示)新規再エネ実現可能性判定'!$C$1,MATCH(M138,'(非表示)新規再エネ実現可能性判定'!$B:$B,0)-1,0),"//")</f>
        <v>//</v>
      </c>
      <c r="U138" s="257" t="str">
        <f ca="1">_xlfn.IFNA(OFFSET('(非表示)新規再エネ実現可能性判定'!$F$1,MATCH(N138,'(非表示)新規再エネ実現可能性判定'!$E:$E,0)-1,0),"//")</f>
        <v>//</v>
      </c>
      <c r="V138" s="257" t="str">
        <f ca="1">_xlfn.IFNA(OFFSET('(非表示)新規再エネ実現可能性判定'!$I$1,MATCH(O138,'(非表示)新規再エネ実現可能性判定'!$H:$H,0)-1,0),"//")</f>
        <v>//</v>
      </c>
      <c r="W138" s="257" t="str">
        <f t="shared" si="8"/>
        <v/>
      </c>
    </row>
    <row r="139" spans="2:23" s="11" customFormat="1" ht="20">
      <c r="B139" s="21"/>
      <c r="C139" s="21"/>
      <c r="D139" s="22"/>
      <c r="E139" s="130"/>
      <c r="F139" s="504" t="str">
        <f ca="1">IFERROR(OFFSET('4.1(2)新規再エネ導入予定（設備情報）'!$F$1,MATCH(G139,'4.1(2)新規再エネ導入予定（設備情報）'!$G:$G,0)-1,0),"")</f>
        <v/>
      </c>
      <c r="G139" s="512"/>
      <c r="H139" s="508" t="str">
        <f ca="1">IFERROR(OFFSET('4.1(2)新規再エネ導入予定（設備情報）'!$H$1,MATCH(G139,'4.1(2)新規再エネ導入予定（設備情報）'!$G:$G,0)-1,0)&amp;"","")</f>
        <v/>
      </c>
      <c r="I139" s="509" t="str">
        <f ca="1">IFERROR(OFFSET('4.1(2)新規再エネ導入予定（設備情報）'!$L$1,MATCH(G139,'4.1(2)新規再エネ導入予定（設備情報）'!$G:$G,0)-1,0),"")</f>
        <v/>
      </c>
      <c r="J139" s="510" t="str">
        <f ca="1">IFERROR(OFFSET('4.1(2)新規再エネ導入予定（設備情報）'!$O$1,MATCH(G139,'4.1(2)新規再エネ導入予定（設備情報）'!$G:$G,0)-1,0),"")</f>
        <v/>
      </c>
      <c r="K139" s="511" t="str">
        <f ca="1">IFERROR(OFFSET('4.1(2)新規再エネ導入予定（設備情報）'!$P$1,MATCH(G139,'4.1(2)新規再エネ導入予定（設備情報）'!$G:$G,0)-1,0),"")</f>
        <v/>
      </c>
      <c r="L139" s="489"/>
      <c r="M139" s="489"/>
      <c r="N139" s="489"/>
      <c r="O139" s="486"/>
      <c r="P139" s="24"/>
      <c r="Q139" s="21"/>
      <c r="R139" s="433">
        <f t="shared" si="9"/>
        <v>132</v>
      </c>
      <c r="S139" s="127">
        <f t="shared" si="10"/>
        <v>0</v>
      </c>
      <c r="T139" s="127" t="str">
        <f ca="1">_xlfn.IFNA(OFFSET('(非表示)新規再エネ実現可能性判定'!$C$1,MATCH(M139,'(非表示)新規再エネ実現可能性判定'!$B:$B,0)-1,0),"//")</f>
        <v>//</v>
      </c>
      <c r="U139" s="257" t="str">
        <f ca="1">_xlfn.IFNA(OFFSET('(非表示)新規再エネ実現可能性判定'!$F$1,MATCH(N139,'(非表示)新規再エネ実現可能性判定'!$E:$E,0)-1,0),"//")</f>
        <v>//</v>
      </c>
      <c r="V139" s="257" t="str">
        <f ca="1">_xlfn.IFNA(OFFSET('(非表示)新規再エネ実現可能性判定'!$I$1,MATCH(O139,'(非表示)新規再エネ実現可能性判定'!$H:$H,0)-1,0),"//")</f>
        <v>//</v>
      </c>
      <c r="W139" s="257" t="str">
        <f t="shared" si="8"/>
        <v/>
      </c>
    </row>
    <row r="140" spans="2:23" ht="20">
      <c r="D140" s="16"/>
      <c r="E140" s="274"/>
      <c r="F140" s="283" t="s">
        <v>26</v>
      </c>
      <c r="G140" s="242"/>
      <c r="H140" s="242"/>
      <c r="I140" s="275"/>
      <c r="J140" s="276"/>
      <c r="K140" s="502">
        <f ca="1">SUM(OFFSET(K$136,0,0,ROW()-ROW(K$136),1))</f>
        <v>0</v>
      </c>
      <c r="L140" s="253"/>
      <c r="M140" s="253"/>
      <c r="N140" s="253"/>
      <c r="O140" s="253"/>
      <c r="P140" s="19"/>
      <c r="R140" s="425">
        <f t="shared" si="9"/>
        <v>133</v>
      </c>
      <c r="S140" s="224">
        <f t="shared" si="10"/>
        <v>0</v>
      </c>
      <c r="T140" s="224" t="str">
        <f ca="1">_xlfn.IFNA(OFFSET('(非表示)新規再エネ実現可能性判定'!$C$1,MATCH(M140,'(非表示)新規再エネ実現可能性判定'!$B:$B,0)-1,0),"//")</f>
        <v>//</v>
      </c>
      <c r="U140" s="177" t="str">
        <f ca="1">_xlfn.IFNA(OFFSET('(非表示)新規再エネ実現可能性判定'!$F$1,MATCH(N140,'(非表示)新規再エネ実現可能性判定'!$E:$E,0)-1,0),"//")</f>
        <v>//</v>
      </c>
      <c r="V140" s="177" t="str">
        <f ca="1">_xlfn.IFNA(OFFSET('(非表示)新規再エネ実現可能性判定'!$I$1,MATCH(O140,'(非表示)新規再エネ実現可能性判定'!$H:$H,0)-1,0),"//")</f>
        <v>//</v>
      </c>
      <c r="W140" s="177" t="str">
        <f t="shared" si="8"/>
        <v/>
      </c>
    </row>
    <row r="141" spans="2:23" ht="20">
      <c r="D141" s="46"/>
      <c r="E141" s="26"/>
      <c r="F141" s="26"/>
      <c r="G141" s="4"/>
      <c r="H141" s="4"/>
      <c r="I141" s="124"/>
      <c r="J141" s="4"/>
      <c r="K141" s="4"/>
      <c r="L141" s="289"/>
      <c r="M141" s="289"/>
      <c r="N141" s="289"/>
      <c r="O141" s="290"/>
      <c r="P141" s="27"/>
      <c r="Q141"/>
      <c r="R141" s="425">
        <f t="shared" si="9"/>
        <v>134</v>
      </c>
      <c r="S141" s="224">
        <f t="shared" si="10"/>
        <v>0</v>
      </c>
      <c r="T141" s="224" t="str">
        <f ca="1">_xlfn.IFNA(OFFSET('(非表示)新規再エネ実現可能性判定'!$C$1,MATCH(M141,'(非表示)新規再エネ実現可能性判定'!$B:$B,0)-1,0),"//")</f>
        <v>//</v>
      </c>
      <c r="U141" s="177" t="str">
        <f ca="1">_xlfn.IFNA(OFFSET('(非表示)新規再エネ実現可能性判定'!$F$1,MATCH(N141,'(非表示)新規再エネ実現可能性判定'!$E:$E,0)-1,0),"//")</f>
        <v>//</v>
      </c>
      <c r="V141" s="177" t="str">
        <f ca="1">_xlfn.IFNA(OFFSET('(非表示)新規再エネ実現可能性判定'!$I$1,MATCH(O141,'(非表示)新規再エネ実現可能性判定'!$H:$H,0)-1,0),"//")</f>
        <v>//</v>
      </c>
      <c r="W141" s="177" t="str">
        <f t="shared" si="8"/>
        <v/>
      </c>
    </row>
    <row r="142" spans="2:23" ht="20">
      <c r="F142" s="31"/>
      <c r="G142" s="31"/>
      <c r="H142" s="31"/>
      <c r="I142" s="270"/>
      <c r="J142" s="31"/>
      <c r="K142" s="31"/>
      <c r="L142" s="287"/>
      <c r="M142" s="287"/>
      <c r="N142" s="287"/>
      <c r="O142" s="288"/>
      <c r="R142" s="425">
        <f t="shared" si="9"/>
        <v>135</v>
      </c>
      <c r="S142" s="224">
        <f t="shared" si="10"/>
        <v>0</v>
      </c>
      <c r="T142" s="224" t="str">
        <f ca="1">_xlfn.IFNA(OFFSET('(非表示)新規再エネ実現可能性判定'!$C$1,MATCH(M142,'(非表示)新規再エネ実現可能性判定'!$B:$B,0)-1,0),"//")</f>
        <v>//</v>
      </c>
      <c r="U142" s="177" t="str">
        <f ca="1">_xlfn.IFNA(OFFSET('(非表示)新規再エネ実現可能性判定'!$F$1,MATCH(N142,'(非表示)新規再エネ実現可能性判定'!$E:$E,0)-1,0),"//")</f>
        <v>//</v>
      </c>
      <c r="V142" s="177" t="str">
        <f ca="1">_xlfn.IFNA(OFFSET('(非表示)新規再エネ実現可能性判定'!$I$1,MATCH(O142,'(非表示)新規再エネ実現可能性判定'!$H:$H,0)-1,0),"//")</f>
        <v>//</v>
      </c>
      <c r="W142" s="177" t="str">
        <f t="shared" si="8"/>
        <v/>
      </c>
    </row>
    <row r="143" spans="2:23" ht="20">
      <c r="F143" s="31"/>
      <c r="G143" s="31"/>
      <c r="H143" s="31"/>
      <c r="I143" s="270"/>
      <c r="J143" s="31"/>
      <c r="K143" s="31"/>
      <c r="L143" s="287"/>
      <c r="M143" s="287"/>
      <c r="N143" s="287"/>
      <c r="O143" s="288"/>
      <c r="R143" s="425">
        <f t="shared" si="9"/>
        <v>136</v>
      </c>
      <c r="S143" s="224">
        <f t="shared" si="10"/>
        <v>0</v>
      </c>
      <c r="T143" s="224" t="str">
        <f ca="1">_xlfn.IFNA(OFFSET('(非表示)新規再エネ実現可能性判定'!$C$1,MATCH(M143,'(非表示)新規再エネ実現可能性判定'!$B:$B,0)-1,0),"//")</f>
        <v>//</v>
      </c>
      <c r="U143" s="177" t="str">
        <f ca="1">_xlfn.IFNA(OFFSET('(非表示)新規再エネ実現可能性判定'!$F$1,MATCH(N143,'(非表示)新規再エネ実現可能性判定'!$E:$E,0)-1,0),"//")</f>
        <v>//</v>
      </c>
      <c r="V143" s="177" t="str">
        <f ca="1">_xlfn.IFNA(OFFSET('(非表示)新規再エネ実現可能性判定'!$I$1,MATCH(O143,'(非表示)新規再エネ実現可能性判定'!$H:$H,0)-1,0),"//")</f>
        <v>//</v>
      </c>
      <c r="W143" s="177" t="str">
        <f t="shared" si="8"/>
        <v/>
      </c>
    </row>
    <row r="144" spans="2:23" ht="9.75" customHeight="1">
      <c r="D144" s="14"/>
      <c r="E144" s="15"/>
      <c r="F144" s="15"/>
      <c r="G144" s="250"/>
      <c r="H144" s="15"/>
      <c r="I144" s="237"/>
      <c r="J144" s="15"/>
      <c r="K144" s="15"/>
      <c r="L144" s="280"/>
      <c r="M144" s="280"/>
      <c r="N144" s="280"/>
      <c r="O144" s="18"/>
      <c r="P144" s="30"/>
      <c r="R144" s="425">
        <f t="shared" si="9"/>
        <v>137</v>
      </c>
      <c r="S144" s="224">
        <f t="shared" si="10"/>
        <v>0</v>
      </c>
      <c r="T144" s="224" t="str">
        <f ca="1">_xlfn.IFNA(OFFSET('(非表示)新規再エネ実現可能性判定'!$C$1,MATCH(M144,'(非表示)新規再エネ実現可能性判定'!$B:$B,0)-1,0),"//")</f>
        <v>//</v>
      </c>
      <c r="U144" s="177" t="str">
        <f ca="1">_xlfn.IFNA(OFFSET('(非表示)新規再エネ実現可能性判定'!$F$1,MATCH(N144,'(非表示)新規再エネ実現可能性判定'!$E:$E,0)-1,0),"//")</f>
        <v>//</v>
      </c>
      <c r="V144" s="177" t="str">
        <f ca="1">_xlfn.IFNA(OFFSET('(非表示)新規再エネ実現可能性判定'!$I$1,MATCH(O144,'(非表示)新規再エネ実現可能性判定'!$H:$H,0)-1,0),"//")</f>
        <v>//</v>
      </c>
      <c r="W144" s="177" t="str">
        <f t="shared" si="8"/>
        <v/>
      </c>
    </row>
    <row r="145" spans="2:23" ht="26.5">
      <c r="D145" s="239" t="str">
        <f>"【その他発電】"&amp;" "&amp;IF('4.1(2)新規再エネ導入予定（設備情報）'!H147="〇〇発電(こちらに発電方式を記載ください)","",'4.1(2)新規再エネ導入予定（設備情報）'!H147)</f>
        <v xml:space="preserve">【その他発電】 </v>
      </c>
      <c r="F145" s="239"/>
      <c r="G145" s="432"/>
      <c r="I145" s="230"/>
      <c r="P145" s="19"/>
      <c r="R145" s="425">
        <f t="shared" si="9"/>
        <v>138</v>
      </c>
      <c r="S145" s="224">
        <f t="shared" si="10"/>
        <v>0</v>
      </c>
      <c r="T145" s="224" t="str">
        <f ca="1">_xlfn.IFNA(OFFSET('(非表示)新規再エネ実現可能性判定'!$C$1,MATCH(M145,'(非表示)新規再エネ実現可能性判定'!$B:$B,0)-1,0),"//")</f>
        <v>//</v>
      </c>
      <c r="U145" s="177" t="str">
        <f ca="1">_xlfn.IFNA(OFFSET('(非表示)新規再エネ実現可能性判定'!$F$1,MATCH(N145,'(非表示)新規再エネ実現可能性判定'!$E:$E,0)-1,0),"//")</f>
        <v>//</v>
      </c>
      <c r="V145" s="177" t="str">
        <f ca="1">_xlfn.IFNA(OFFSET('(非表示)新規再エネ実現可能性判定'!$I$1,MATCH(O145,'(非表示)新規再エネ実現可能性判定'!$H:$H,0)-1,0),"//")</f>
        <v>//</v>
      </c>
      <c r="W145" s="177" t="str">
        <f t="shared" si="8"/>
        <v/>
      </c>
    </row>
    <row r="146" spans="2:23" ht="21">
      <c r="D146" s="239"/>
      <c r="F146" s="967" t="s">
        <v>8</v>
      </c>
      <c r="G146" s="968" t="s">
        <v>186</v>
      </c>
      <c r="H146" s="968" t="s">
        <v>181</v>
      </c>
      <c r="I146" s="969" t="s">
        <v>31</v>
      </c>
      <c r="J146" s="968" t="s">
        <v>187</v>
      </c>
      <c r="K146" s="968" t="s">
        <v>81</v>
      </c>
      <c r="L146" s="962" t="s">
        <v>188</v>
      </c>
      <c r="M146" s="962"/>
      <c r="N146" s="962"/>
      <c r="O146" s="281"/>
      <c r="P146" s="19"/>
      <c r="R146" s="425">
        <f t="shared" si="9"/>
        <v>139</v>
      </c>
      <c r="S146" s="224">
        <f t="shared" si="10"/>
        <v>0</v>
      </c>
      <c r="T146" s="224" t="str">
        <f ca="1">_xlfn.IFNA(OFFSET('(非表示)新規再エネ実現可能性判定'!$C$1,MATCH(M146,'(非表示)新規再エネ実現可能性判定'!$B:$B,0)-1,0),"//")</f>
        <v>//</v>
      </c>
      <c r="U146" s="177" t="str">
        <f ca="1">_xlfn.IFNA(OFFSET('(非表示)新規再エネ実現可能性判定'!$F$1,MATCH(N146,'(非表示)新規再エネ実現可能性判定'!$E:$E,0)-1,0),"//")</f>
        <v>//</v>
      </c>
      <c r="V146" s="177" t="str">
        <f ca="1">_xlfn.IFNA(OFFSET('(非表示)新規再エネ実現可能性判定'!$I$1,MATCH(O146,'(非表示)新規再エネ実現可能性判定'!$H:$H,0)-1,0),"//")</f>
        <v>//</v>
      </c>
      <c r="W146" s="177" t="str">
        <f t="shared" si="8"/>
        <v/>
      </c>
    </row>
    <row r="147" spans="2:23" ht="36" customHeight="1">
      <c r="D147" s="16"/>
      <c r="E147" s="273"/>
      <c r="F147" s="967"/>
      <c r="G147" s="968"/>
      <c r="H147" s="968"/>
      <c r="I147" s="969"/>
      <c r="J147" s="968"/>
      <c r="K147" s="968"/>
      <c r="L147" s="296" t="s">
        <v>226</v>
      </c>
      <c r="M147" s="296" t="s">
        <v>109</v>
      </c>
      <c r="N147" s="296" t="s">
        <v>110</v>
      </c>
      <c r="O147" s="282" t="s">
        <v>323</v>
      </c>
      <c r="P147" s="19"/>
      <c r="R147" s="425">
        <f t="shared" si="9"/>
        <v>140</v>
      </c>
      <c r="S147" s="224">
        <f t="shared" si="10"/>
        <v>0</v>
      </c>
      <c r="T147" s="224" t="str">
        <f ca="1">_xlfn.IFNA(OFFSET('(非表示)新規再エネ実現可能性判定'!$C$1,MATCH(M147,'(非表示)新規再エネ実現可能性判定'!$B:$B,0)-1,0),"//")</f>
        <v>判定</v>
      </c>
      <c r="U147" s="177" t="str">
        <f ca="1">_xlfn.IFNA(OFFSET('(非表示)新規再エネ実現可能性判定'!$F$1,MATCH(N147,'(非表示)新規再エネ実現可能性判定'!$E:$E,0)-1,0),"//")</f>
        <v>判定</v>
      </c>
      <c r="V147" s="177" t="str">
        <f ca="1">_xlfn.IFNA(OFFSET('(非表示)新規再エネ実現可能性判定'!$I$1,MATCH(O147,'(非表示)新規再エネ実現可能性判定'!$H:$H,0)-1,0),"//")</f>
        <v>//</v>
      </c>
      <c r="W147" s="177" t="str">
        <f t="shared" ca="1" si="8"/>
        <v>//</v>
      </c>
    </row>
    <row r="148" spans="2:23" s="11" customFormat="1" ht="20" hidden="1">
      <c r="B148" s="21"/>
      <c r="C148" s="21"/>
      <c r="D148" s="22"/>
      <c r="E148" s="130"/>
      <c r="F148" s="491"/>
      <c r="G148" s="482"/>
      <c r="H148" s="498"/>
      <c r="I148" s="505"/>
      <c r="J148" s="506"/>
      <c r="K148" s="507"/>
      <c r="L148" s="513"/>
      <c r="M148" s="513"/>
      <c r="N148" s="513"/>
      <c r="O148" s="514"/>
      <c r="P148" s="24"/>
      <c r="Q148" s="21"/>
      <c r="R148" s="433">
        <f t="shared" si="9"/>
        <v>141</v>
      </c>
      <c r="S148" s="127">
        <f t="shared" si="10"/>
        <v>0</v>
      </c>
      <c r="T148" s="127" t="str">
        <f ca="1">_xlfn.IFNA(OFFSET('(非表示)新規再エネ実現可能性判定'!$C$1,MATCH(M148,'(非表示)新規再エネ実現可能性判定'!$B:$B,0)-1,0),"//")</f>
        <v>//</v>
      </c>
      <c r="U148" s="257" t="str">
        <f ca="1">_xlfn.IFNA(OFFSET('(非表示)新規再エネ実現可能性判定'!$F$1,MATCH(N148,'(非表示)新規再エネ実現可能性判定'!$E:$E,0)-1,0),"//")</f>
        <v>//</v>
      </c>
      <c r="V148" s="257" t="str">
        <f ca="1">_xlfn.IFNA(OFFSET('(非表示)新規再エネ実現可能性判定'!$I$1,MATCH(O148,'(非表示)新規再エネ実現可能性判定'!$H:$H,0)-1,0),"//")</f>
        <v>//</v>
      </c>
      <c r="W148" s="257" t="str">
        <f t="shared" si="8"/>
        <v/>
      </c>
    </row>
    <row r="149" spans="2:23" s="11" customFormat="1" ht="20">
      <c r="B149" s="21"/>
      <c r="C149" s="21"/>
      <c r="D149" s="22"/>
      <c r="E149" s="130"/>
      <c r="F149" s="504" t="str">
        <f ca="1">IFERROR(OFFSET('4.1(2)新規再エネ導入予定（設備情報）'!$F$1,MATCH(G149,'4.1(2)新規再エネ導入予定（設備情報）'!$G:$G,0)-1,0),"")</f>
        <v/>
      </c>
      <c r="G149" s="512"/>
      <c r="H149" s="508" t="str">
        <f ca="1">IFERROR(OFFSET('4.1(2)新規再エネ導入予定（設備情報）'!$H$1,MATCH(G149,'4.1(2)新規再エネ導入予定（設備情報）'!$G:$G,0)-1,0)&amp;"","")</f>
        <v/>
      </c>
      <c r="I149" s="509" t="str">
        <f ca="1">IFERROR(OFFSET('4.1(2)新規再エネ導入予定（設備情報）'!$L$1,MATCH(G149,'4.1(2)新規再エネ導入予定（設備情報）'!$G:$G,0)-1,0),"")</f>
        <v/>
      </c>
      <c r="J149" s="510" t="str">
        <f ca="1">IFERROR(OFFSET('4.1(2)新規再エネ導入予定（設備情報）'!$O$1,MATCH(G149,'4.1(2)新規再エネ導入予定（設備情報）'!$G:$G,0)-1,0),"")</f>
        <v/>
      </c>
      <c r="K149" s="511" t="str">
        <f ca="1">IFERROR(OFFSET('4.1(2)新規再エネ導入予定（設備情報）'!$P$1,MATCH(G149,'4.1(2)新規再エネ導入予定（設備情報）'!$G:$G,0)-1,0),"")</f>
        <v/>
      </c>
      <c r="L149" s="489"/>
      <c r="M149" s="489"/>
      <c r="N149" s="489"/>
      <c r="O149" s="486"/>
      <c r="P149" s="24"/>
      <c r="Q149" s="21"/>
      <c r="R149" s="433">
        <f t="shared" si="9"/>
        <v>142</v>
      </c>
      <c r="S149" s="127">
        <f t="shared" si="10"/>
        <v>0</v>
      </c>
      <c r="T149" s="127" t="str">
        <f ca="1">_xlfn.IFNA(OFFSET('(非表示)新規再エネ実現可能性判定'!$C$1,MATCH(M149,'(非表示)新規再エネ実現可能性判定'!$B:$B,0)-1,0),"//")</f>
        <v>//</v>
      </c>
      <c r="U149" s="257" t="str">
        <f ca="1">_xlfn.IFNA(OFFSET('(非表示)新規再エネ実現可能性判定'!$F$1,MATCH(N149,'(非表示)新規再エネ実現可能性判定'!$E:$E,0)-1,0),"//")</f>
        <v>//</v>
      </c>
      <c r="V149" s="257" t="str">
        <f ca="1">_xlfn.IFNA(OFFSET('(非表示)新規再エネ実現可能性判定'!$I$1,MATCH(O149,'(非表示)新規再エネ実現可能性判定'!$H:$H,0)-1,0),"//")</f>
        <v>//</v>
      </c>
      <c r="W149" s="257" t="str">
        <f t="shared" si="8"/>
        <v/>
      </c>
    </row>
    <row r="150" spans="2:23" s="11" customFormat="1" ht="20">
      <c r="B150" s="21"/>
      <c r="C150" s="21"/>
      <c r="D150" s="22"/>
      <c r="E150" s="130"/>
      <c r="F150" s="504" t="str">
        <f ca="1">IFERROR(OFFSET('4.1(2)新規再エネ導入予定（設備情報）'!$F$1,MATCH(G150,'4.1(2)新規再エネ導入予定（設備情報）'!$G:$G,0)-1,0),"")</f>
        <v/>
      </c>
      <c r="G150" s="512"/>
      <c r="H150" s="508" t="str">
        <f ca="1">IFERROR(OFFSET('4.1(2)新規再エネ導入予定（設備情報）'!$H$1,MATCH(G150,'4.1(2)新規再エネ導入予定（設備情報）'!$G:$G,0)-1,0)&amp;"","")</f>
        <v/>
      </c>
      <c r="I150" s="509" t="str">
        <f ca="1">IFERROR(OFFSET('4.1(2)新規再エネ導入予定（設備情報）'!$L$1,MATCH(G150,'4.1(2)新規再エネ導入予定（設備情報）'!$G:$G,0)-1,0),"")</f>
        <v/>
      </c>
      <c r="J150" s="510" t="str">
        <f ca="1">IFERROR(OFFSET('4.1(2)新規再エネ導入予定（設備情報）'!$O$1,MATCH(G150,'4.1(2)新規再エネ導入予定（設備情報）'!$G:$G,0)-1,0),"")</f>
        <v/>
      </c>
      <c r="K150" s="511" t="str">
        <f ca="1">IFERROR(OFFSET('4.1(2)新規再エネ導入予定（設備情報）'!$P$1,MATCH(G150,'4.1(2)新規再エネ導入予定（設備情報）'!$G:$G,0)-1,0),"")</f>
        <v/>
      </c>
      <c r="L150" s="489"/>
      <c r="M150" s="489"/>
      <c r="N150" s="489"/>
      <c r="O150" s="486"/>
      <c r="P150" s="24"/>
      <c r="Q150" s="21"/>
      <c r="R150" s="433">
        <f t="shared" si="9"/>
        <v>143</v>
      </c>
      <c r="S150" s="127">
        <f t="shared" si="10"/>
        <v>0</v>
      </c>
      <c r="T150" s="127" t="str">
        <f ca="1">_xlfn.IFNA(OFFSET('(非表示)新規再エネ実現可能性判定'!$C$1,MATCH(M150,'(非表示)新規再エネ実現可能性判定'!$B:$B,0)-1,0),"//")</f>
        <v>//</v>
      </c>
      <c r="U150" s="257" t="str">
        <f ca="1">_xlfn.IFNA(OFFSET('(非表示)新規再エネ実現可能性判定'!$F$1,MATCH(N150,'(非表示)新規再エネ実現可能性判定'!$E:$E,0)-1,0),"//")</f>
        <v>//</v>
      </c>
      <c r="V150" s="257" t="str">
        <f ca="1">_xlfn.IFNA(OFFSET('(非表示)新規再エネ実現可能性判定'!$I$1,MATCH(O150,'(非表示)新規再エネ実現可能性判定'!$H:$H,0)-1,0),"//")</f>
        <v>//</v>
      </c>
      <c r="W150" s="257" t="str">
        <f t="shared" si="8"/>
        <v/>
      </c>
    </row>
    <row r="151" spans="2:23" s="11" customFormat="1" ht="20">
      <c r="B151" s="21"/>
      <c r="C151" s="21"/>
      <c r="D151" s="22"/>
      <c r="E151" s="130"/>
      <c r="F151" s="504" t="str">
        <f ca="1">IFERROR(OFFSET('4.1(2)新規再エネ導入予定（設備情報）'!$F$1,MATCH(G151,'4.1(2)新規再エネ導入予定（設備情報）'!$G:$G,0)-1,0),"")</f>
        <v/>
      </c>
      <c r="G151" s="512"/>
      <c r="H151" s="508" t="str">
        <f ca="1">IFERROR(OFFSET('4.1(2)新規再エネ導入予定（設備情報）'!$H$1,MATCH(G151,'4.1(2)新規再エネ導入予定（設備情報）'!$G:$G,0)-1,0)&amp;"","")</f>
        <v/>
      </c>
      <c r="I151" s="509" t="str">
        <f ca="1">IFERROR(OFFSET('4.1(2)新規再エネ導入予定（設備情報）'!$L$1,MATCH(G151,'4.1(2)新規再エネ導入予定（設備情報）'!$G:$G,0)-1,0),"")</f>
        <v/>
      </c>
      <c r="J151" s="510" t="str">
        <f ca="1">IFERROR(OFFSET('4.1(2)新規再エネ導入予定（設備情報）'!$O$1,MATCH(G151,'4.1(2)新規再エネ導入予定（設備情報）'!$G:$G,0)-1,0),"")</f>
        <v/>
      </c>
      <c r="K151" s="511" t="str">
        <f ca="1">IFERROR(OFFSET('4.1(2)新規再エネ導入予定（設備情報）'!$P$1,MATCH(G151,'4.1(2)新規再エネ導入予定（設備情報）'!$G:$G,0)-1,0),"")</f>
        <v/>
      </c>
      <c r="L151" s="489"/>
      <c r="M151" s="489"/>
      <c r="N151" s="489"/>
      <c r="O151" s="486"/>
      <c r="P151" s="24"/>
      <c r="Q151" s="21"/>
      <c r="R151" s="433">
        <f t="shared" si="9"/>
        <v>144</v>
      </c>
      <c r="S151" s="127">
        <f t="shared" si="10"/>
        <v>0</v>
      </c>
      <c r="T151" s="127" t="str">
        <f ca="1">_xlfn.IFNA(OFFSET('(非表示)新規再エネ実現可能性判定'!$C$1,MATCH(M151,'(非表示)新規再エネ実現可能性判定'!$B:$B,0)-1,0),"//")</f>
        <v>//</v>
      </c>
      <c r="U151" s="257" t="str">
        <f ca="1">_xlfn.IFNA(OFFSET('(非表示)新規再エネ実現可能性判定'!$F$1,MATCH(N151,'(非表示)新規再エネ実現可能性判定'!$E:$E,0)-1,0),"//")</f>
        <v>//</v>
      </c>
      <c r="V151" s="257" t="str">
        <f ca="1">_xlfn.IFNA(OFFSET('(非表示)新規再エネ実現可能性判定'!$I$1,MATCH(O151,'(非表示)新規再エネ実現可能性判定'!$H:$H,0)-1,0),"//")</f>
        <v>//</v>
      </c>
      <c r="W151" s="257" t="str">
        <f t="shared" si="8"/>
        <v/>
      </c>
    </row>
    <row r="152" spans="2:23" ht="20">
      <c r="D152" s="16"/>
      <c r="E152" s="274"/>
      <c r="F152" s="283" t="s">
        <v>26</v>
      </c>
      <c r="G152" s="242"/>
      <c r="H152" s="242"/>
      <c r="I152" s="275"/>
      <c r="J152" s="276"/>
      <c r="K152" s="502">
        <f ca="1">SUM(OFFSET(K$148,0,0,ROW()-ROW(K$148),1))</f>
        <v>0</v>
      </c>
      <c r="L152" s="253"/>
      <c r="M152" s="253"/>
      <c r="N152" s="253"/>
      <c r="O152" s="253"/>
      <c r="P152" s="19"/>
      <c r="R152" s="425">
        <f t="shared" si="9"/>
        <v>145</v>
      </c>
      <c r="S152" s="224">
        <f t="shared" si="10"/>
        <v>0</v>
      </c>
      <c r="T152" s="224" t="str">
        <f ca="1">_xlfn.IFNA(OFFSET('(非表示)新規再エネ実現可能性判定'!$C$1,MATCH(M152,'(非表示)新規再エネ実現可能性判定'!$B:$B,0)-1,0),"//")</f>
        <v>//</v>
      </c>
      <c r="U152" s="177" t="str">
        <f ca="1">_xlfn.IFNA(OFFSET('(非表示)新規再エネ実現可能性判定'!$F$1,MATCH(N152,'(非表示)新規再エネ実現可能性判定'!$E:$E,0)-1,0),"//")</f>
        <v>//</v>
      </c>
      <c r="V152" s="177" t="str">
        <f ca="1">_xlfn.IFNA(OFFSET('(非表示)新規再エネ実現可能性判定'!$I$1,MATCH(O152,'(非表示)新規再エネ実現可能性判定'!$H:$H,0)-1,0),"//")</f>
        <v>//</v>
      </c>
      <c r="W152" s="177" t="str">
        <f t="shared" si="8"/>
        <v/>
      </c>
    </row>
    <row r="153" spans="2:23" ht="20">
      <c r="D153" s="46"/>
      <c r="E153" s="26"/>
      <c r="F153" s="26"/>
      <c r="G153" s="4"/>
      <c r="H153" s="4"/>
      <c r="I153" s="124"/>
      <c r="J153" s="4"/>
      <c r="K153" s="4"/>
      <c r="L153" s="289"/>
      <c r="M153" s="289"/>
      <c r="N153" s="289"/>
      <c r="O153" s="290"/>
      <c r="P153" s="27"/>
      <c r="Q153"/>
      <c r="R153" s="425">
        <f t="shared" si="9"/>
        <v>146</v>
      </c>
      <c r="S153" s="224">
        <f t="shared" si="10"/>
        <v>0</v>
      </c>
      <c r="T153" s="224" t="str">
        <f ca="1">_xlfn.IFNA(OFFSET('(非表示)新規再エネ実現可能性判定'!$C$1,MATCH(M153,'(非表示)新規再エネ実現可能性判定'!$B:$B,0)-1,0),"//")</f>
        <v>//</v>
      </c>
      <c r="U153" s="177" t="str">
        <f ca="1">_xlfn.IFNA(OFFSET('(非表示)新規再エネ実現可能性判定'!$F$1,MATCH(N153,'(非表示)新規再エネ実現可能性判定'!$E:$E,0)-1,0),"//")</f>
        <v>//</v>
      </c>
      <c r="V153" s="177" t="str">
        <f ca="1">_xlfn.IFNA(OFFSET('(非表示)新規再エネ実現可能性判定'!$I$1,MATCH(O153,'(非表示)新規再エネ実現可能性判定'!$H:$H,0)-1,0),"//")</f>
        <v>//</v>
      </c>
      <c r="W153" s="177" t="str">
        <f t="shared" si="8"/>
        <v/>
      </c>
    </row>
    <row r="154" spans="2:23" ht="20">
      <c r="G154"/>
      <c r="H154"/>
      <c r="I154" s="90"/>
      <c r="J154"/>
      <c r="K154"/>
      <c r="L154" s="291"/>
      <c r="M154" s="291"/>
      <c r="N154" s="291"/>
      <c r="O154" s="3"/>
      <c r="Q154"/>
      <c r="R154" s="425">
        <f t="shared" si="9"/>
        <v>147</v>
      </c>
      <c r="S154" s="224">
        <f t="shared" si="10"/>
        <v>0</v>
      </c>
      <c r="T154" s="224" t="str">
        <f ca="1">_xlfn.IFNA(OFFSET('(非表示)新規再エネ実現可能性判定'!$C$1,MATCH(M154,'(非表示)新規再エネ実現可能性判定'!$B:$B,0)-1,0),"//")</f>
        <v>//</v>
      </c>
      <c r="U154" s="177" t="str">
        <f ca="1">_xlfn.IFNA(OFFSET('(非表示)新規再エネ実現可能性判定'!$F$1,MATCH(N154,'(非表示)新規再エネ実現可能性判定'!$E:$E,0)-1,0),"//")</f>
        <v>//</v>
      </c>
      <c r="V154" s="177" t="str">
        <f ca="1">_xlfn.IFNA(OFFSET('(非表示)新規再エネ実現可能性判定'!$I$1,MATCH(O154,'(非表示)新規再エネ実現可能性判定'!$H:$H,0)-1,0),"//")</f>
        <v>//</v>
      </c>
      <c r="W154" s="177" t="str">
        <f t="shared" si="8"/>
        <v/>
      </c>
    </row>
    <row r="155" spans="2:23" ht="20">
      <c r="F155" s="31"/>
      <c r="G155" s="31"/>
      <c r="H155" s="31"/>
      <c r="I155" s="270"/>
      <c r="J155" s="31"/>
      <c r="K155" s="31"/>
      <c r="L155" s="287"/>
      <c r="M155" s="287"/>
      <c r="N155" s="287"/>
      <c r="O155" s="288"/>
      <c r="R155" s="425">
        <f t="shared" si="9"/>
        <v>148</v>
      </c>
      <c r="S155" s="224">
        <f t="shared" si="10"/>
        <v>0</v>
      </c>
      <c r="T155" s="224" t="str">
        <f ca="1">_xlfn.IFNA(OFFSET('(非表示)新規再エネ実現可能性判定'!$C$1,MATCH(M155,'(非表示)新規再エネ実現可能性判定'!$B:$B,0)-1,0),"//")</f>
        <v>//</v>
      </c>
      <c r="U155" s="177" t="str">
        <f ca="1">_xlfn.IFNA(OFFSET('(非表示)新規再エネ実現可能性判定'!$F$1,MATCH(N155,'(非表示)新規再エネ実現可能性判定'!$E:$E,0)-1,0),"//")</f>
        <v>//</v>
      </c>
      <c r="V155" s="177" t="str">
        <f ca="1">_xlfn.IFNA(OFFSET('(非表示)新規再エネ実現可能性判定'!$I$1,MATCH(O155,'(非表示)新規再エネ実現可能性判定'!$H:$H,0)-1,0),"//")</f>
        <v>//</v>
      </c>
      <c r="W155" s="177" t="str">
        <f t="shared" si="8"/>
        <v/>
      </c>
    </row>
    <row r="156" spans="2:23" ht="9.75" customHeight="1">
      <c r="D156" s="14"/>
      <c r="E156" s="15"/>
      <c r="F156" s="15"/>
      <c r="G156" s="250"/>
      <c r="H156" s="15"/>
      <c r="I156" s="237"/>
      <c r="J156" s="15"/>
      <c r="K156" s="15"/>
      <c r="L156" s="280"/>
      <c r="M156" s="280"/>
      <c r="N156" s="280"/>
      <c r="O156" s="18"/>
      <c r="P156" s="30"/>
      <c r="R156" s="425">
        <f t="shared" si="9"/>
        <v>149</v>
      </c>
      <c r="S156" s="224">
        <f t="shared" si="10"/>
        <v>0</v>
      </c>
      <c r="T156" s="224" t="str">
        <f ca="1">_xlfn.IFNA(OFFSET('(非表示)新規再エネ実現可能性判定'!$C$1,MATCH(M156,'(非表示)新規再エネ実現可能性判定'!$B:$B,0)-1,0),"//")</f>
        <v>//</v>
      </c>
      <c r="U156" s="177" t="str">
        <f ca="1">_xlfn.IFNA(OFFSET('(非表示)新規再エネ実現可能性判定'!$F$1,MATCH(N156,'(非表示)新規再エネ実現可能性判定'!$E:$E,0)-1,0),"//")</f>
        <v>//</v>
      </c>
      <c r="V156" s="177" t="str">
        <f ca="1">_xlfn.IFNA(OFFSET('(非表示)新規再エネ実現可能性判定'!$I$1,MATCH(O156,'(非表示)新規再エネ実現可能性判定'!$H:$H,0)-1,0),"//")</f>
        <v>//</v>
      </c>
      <c r="W156" s="177" t="str">
        <f t="shared" si="8"/>
        <v/>
      </c>
    </row>
    <row r="157" spans="2:23" ht="21">
      <c r="D157" s="239" t="s">
        <v>321</v>
      </c>
      <c r="F157" s="239"/>
      <c r="G157" s="271"/>
      <c r="I157" s="230"/>
      <c r="P157" s="19"/>
      <c r="R157" s="425">
        <f t="shared" si="9"/>
        <v>150</v>
      </c>
      <c r="S157" s="224">
        <f t="shared" si="10"/>
        <v>0</v>
      </c>
      <c r="T157" s="224" t="str">
        <f ca="1">_xlfn.IFNA(OFFSET('(非表示)新規再エネ実現可能性判定'!$C$1,MATCH(M157,'(非表示)新規再エネ実現可能性判定'!$B:$B,0)-1,0),"//")</f>
        <v>//</v>
      </c>
      <c r="U157" s="177" t="str">
        <f ca="1">_xlfn.IFNA(OFFSET('(非表示)新規再エネ実現可能性判定'!$F$1,MATCH(N157,'(非表示)新規再エネ実現可能性判定'!$E:$E,0)-1,0),"//")</f>
        <v>//</v>
      </c>
      <c r="V157" s="177" t="str">
        <f ca="1">_xlfn.IFNA(OFFSET('(非表示)新規再エネ実現可能性判定'!$I$1,MATCH(O157,'(非表示)新規再エネ実現可能性判定'!$H:$H,0)-1,0),"//")</f>
        <v>//</v>
      </c>
      <c r="W157" s="177" t="str">
        <f t="shared" si="8"/>
        <v/>
      </c>
    </row>
    <row r="158" spans="2:23" ht="21" customHeight="1">
      <c r="D158" s="239"/>
      <c r="F158" s="967" t="s">
        <v>8</v>
      </c>
      <c r="G158" s="968" t="s">
        <v>186</v>
      </c>
      <c r="H158" s="968" t="s">
        <v>181</v>
      </c>
      <c r="I158" s="969" t="s">
        <v>31</v>
      </c>
      <c r="J158" s="968" t="s">
        <v>187</v>
      </c>
      <c r="K158" s="968" t="s">
        <v>81</v>
      </c>
      <c r="L158" s="962" t="s">
        <v>188</v>
      </c>
      <c r="M158" s="962"/>
      <c r="N158" s="962"/>
      <c r="O158" s="281"/>
      <c r="P158" s="19"/>
      <c r="R158" s="425">
        <f t="shared" si="9"/>
        <v>151</v>
      </c>
      <c r="S158" s="224">
        <f t="shared" si="10"/>
        <v>0</v>
      </c>
      <c r="T158" s="224" t="str">
        <f ca="1">_xlfn.IFNA(OFFSET('(非表示)新規再エネ実現可能性判定'!$C$1,MATCH(M158,'(非表示)新規再エネ実現可能性判定'!$B:$B,0)-1,0),"//")</f>
        <v>//</v>
      </c>
      <c r="U158" s="177" t="str">
        <f ca="1">_xlfn.IFNA(OFFSET('(非表示)新規再エネ実現可能性判定'!$F$1,MATCH(N158,'(非表示)新規再エネ実現可能性判定'!$E:$E,0)-1,0),"//")</f>
        <v>//</v>
      </c>
      <c r="V158" s="177" t="str">
        <f ca="1">_xlfn.IFNA(OFFSET('(非表示)新規再エネ実現可能性判定'!$I$1,MATCH(O158,'(非表示)新規再エネ実現可能性判定'!$H:$H,0)-1,0),"//")</f>
        <v>//</v>
      </c>
      <c r="W158" s="177" t="str">
        <f t="shared" si="8"/>
        <v/>
      </c>
    </row>
    <row r="159" spans="2:23" ht="36" customHeight="1">
      <c r="D159" s="16"/>
      <c r="E159" s="273"/>
      <c r="F159" s="967"/>
      <c r="G159" s="968"/>
      <c r="H159" s="968"/>
      <c r="I159" s="969"/>
      <c r="J159" s="968"/>
      <c r="K159" s="968"/>
      <c r="L159" s="296" t="s">
        <v>226</v>
      </c>
      <c r="M159" s="296" t="s">
        <v>109</v>
      </c>
      <c r="N159" s="296" t="s">
        <v>110</v>
      </c>
      <c r="O159" s="282" t="s">
        <v>323</v>
      </c>
      <c r="P159" s="19"/>
      <c r="R159" s="425">
        <f t="shared" si="9"/>
        <v>152</v>
      </c>
      <c r="S159" s="224">
        <f t="shared" si="10"/>
        <v>0</v>
      </c>
      <c r="T159" s="224" t="str">
        <f ca="1">_xlfn.IFNA(OFFSET('(非表示)新規再エネ実現可能性判定'!$C$1,MATCH(M159,'(非表示)新規再エネ実現可能性判定'!$B:$B,0)-1,0),"//")</f>
        <v>判定</v>
      </c>
      <c r="U159" s="177" t="str">
        <f ca="1">_xlfn.IFNA(OFFSET('(非表示)新規再エネ実現可能性判定'!$F$1,MATCH(N159,'(非表示)新規再エネ実現可能性判定'!$E:$E,0)-1,0),"//")</f>
        <v>判定</v>
      </c>
      <c r="V159" s="177" t="str">
        <f ca="1">_xlfn.IFNA(OFFSET('(非表示)新規再エネ実現可能性判定'!$I$1,MATCH(O159,'(非表示)新規再エネ実現可能性判定'!$H:$H,0)-1,0),"//")</f>
        <v>//</v>
      </c>
      <c r="W159" s="177" t="str">
        <f t="shared" ca="1" si="8"/>
        <v>//</v>
      </c>
    </row>
    <row r="160" spans="2:23" s="11" customFormat="1" ht="20" hidden="1">
      <c r="B160" s="21"/>
      <c r="C160" s="21"/>
      <c r="D160" s="22"/>
      <c r="E160" s="130"/>
      <c r="F160" s="491"/>
      <c r="G160" s="482"/>
      <c r="H160" s="498"/>
      <c r="I160" s="505"/>
      <c r="J160" s="506"/>
      <c r="K160" s="507"/>
      <c r="L160" s="513"/>
      <c r="M160" s="513"/>
      <c r="N160" s="513"/>
      <c r="O160" s="514"/>
      <c r="P160" s="24"/>
      <c r="Q160" s="21"/>
      <c r="R160" s="433">
        <f t="shared" si="9"/>
        <v>153</v>
      </c>
      <c r="S160" s="127">
        <f t="shared" si="10"/>
        <v>0</v>
      </c>
      <c r="T160" s="127" t="str">
        <f ca="1">_xlfn.IFNA(OFFSET('(非表示)新規再エネ実現可能性判定'!$C$1,MATCH(M160,'(非表示)新規再エネ実現可能性判定'!$B:$B,0)-1,0),"//")</f>
        <v>//</v>
      </c>
      <c r="U160" s="257" t="str">
        <f ca="1">_xlfn.IFNA(OFFSET('(非表示)新規再エネ実現可能性判定'!$F$1,MATCH(N160,'(非表示)新規再エネ実現可能性判定'!$E:$E,0)-1,0),"//")</f>
        <v>//</v>
      </c>
      <c r="V160" s="257" t="str">
        <f ca="1">_xlfn.IFNA(OFFSET('(非表示)新規再エネ実現可能性判定'!$I$1,MATCH(O160,'(非表示)新規再エネ実現可能性判定'!$H:$H,0)-1,0),"//")</f>
        <v>//</v>
      </c>
      <c r="W160" s="257" t="str">
        <f t="shared" si="8"/>
        <v/>
      </c>
    </row>
    <row r="161" spans="2:23" s="11" customFormat="1" ht="20">
      <c r="B161" s="21"/>
      <c r="C161" s="21"/>
      <c r="D161" s="22"/>
      <c r="E161" s="130"/>
      <c r="F161" s="504" t="str">
        <f ca="1">IFERROR(OFFSET('4.1(2)新規再エネ導入予定（設備情報）'!$F$1,MATCH(G161,'4.1(2)新規再エネ導入予定（設備情報）'!$G:$G,0)-1,0),"")</f>
        <v/>
      </c>
      <c r="G161" s="512"/>
      <c r="H161" s="508" t="str">
        <f ca="1">IFERROR(OFFSET('4.1(2)新規再エネ導入予定（設備情報）'!$H$1,MATCH(G161,'4.1(2)新規再エネ導入予定（設備情報）'!$G:$G,0)-1,0)&amp;"","")</f>
        <v/>
      </c>
      <c r="I161" s="509" t="str">
        <f ca="1">IFERROR(OFFSET('4.1(2)新規再エネ導入予定（設備情報）'!$L$1,MATCH(G161,'4.1(2)新規再エネ導入予定（設備情報）'!$G:$G,0)-1,0),"")</f>
        <v/>
      </c>
      <c r="J161" s="510" t="str">
        <f ca="1">IFERROR(OFFSET('4.1(2)新規再エネ導入予定（設備情報）'!$O$1,MATCH(G161,'4.1(2)新規再エネ導入予定（設備情報）'!$G:$G,0)-1,0),"")</f>
        <v/>
      </c>
      <c r="K161" s="511" t="str">
        <f ca="1">IFERROR(OFFSET('4.1(2)新規再エネ導入予定（設備情報）'!$P$1,MATCH(G161,'4.1(2)新規再エネ導入予定（設備情報）'!$G:$G,0)-1,0),"")</f>
        <v/>
      </c>
      <c r="L161" s="489"/>
      <c r="M161" s="489"/>
      <c r="N161" s="489"/>
      <c r="O161" s="486"/>
      <c r="P161" s="24"/>
      <c r="Q161" s="21"/>
      <c r="R161" s="433">
        <f t="shared" si="9"/>
        <v>154</v>
      </c>
      <c r="S161" s="127">
        <f t="shared" si="10"/>
        <v>0</v>
      </c>
      <c r="T161" s="127" t="str">
        <f ca="1">_xlfn.IFNA(OFFSET('(非表示)新規再エネ実現可能性判定'!$C$1,MATCH(M161,'(非表示)新規再エネ実現可能性判定'!$B:$B,0)-1,0),"//")</f>
        <v>//</v>
      </c>
      <c r="U161" s="257" t="str">
        <f ca="1">_xlfn.IFNA(OFFSET('(非表示)新規再エネ実現可能性判定'!$F$1,MATCH(N161,'(非表示)新規再エネ実現可能性判定'!$E:$E,0)-1,0),"//")</f>
        <v>//</v>
      </c>
      <c r="V161" s="257" t="str">
        <f ca="1">_xlfn.IFNA(OFFSET('(非表示)新規再エネ実現可能性判定'!$I$1,MATCH(O161,'(非表示)新規再エネ実現可能性判定'!$H:$H,0)-1,0),"//")</f>
        <v>//</v>
      </c>
      <c r="W161" s="257" t="str">
        <f t="shared" si="8"/>
        <v/>
      </c>
    </row>
    <row r="162" spans="2:23" s="11" customFormat="1" ht="20">
      <c r="B162" s="21"/>
      <c r="C162" s="21"/>
      <c r="D162" s="22"/>
      <c r="E162" s="130"/>
      <c r="F162" s="504" t="str">
        <f ca="1">IFERROR(OFFSET('4.1(2)新規再エネ導入予定（設備情報）'!$F$1,MATCH(G162,'4.1(2)新規再エネ導入予定（設備情報）'!$G:$G,0)-1,0),"")</f>
        <v/>
      </c>
      <c r="G162" s="512"/>
      <c r="H162" s="508" t="str">
        <f ca="1">IFERROR(OFFSET('4.1(2)新規再エネ導入予定（設備情報）'!$H$1,MATCH(G162,'4.1(2)新規再エネ導入予定（設備情報）'!$G:$G,0)-1,0)&amp;"","")</f>
        <v/>
      </c>
      <c r="I162" s="509" t="str">
        <f ca="1">IFERROR(OFFSET('4.1(2)新規再エネ導入予定（設備情報）'!$L$1,MATCH(G162,'4.1(2)新規再エネ導入予定（設備情報）'!$G:$G,0)-1,0),"")</f>
        <v/>
      </c>
      <c r="J162" s="510" t="str">
        <f ca="1">IFERROR(OFFSET('4.1(2)新規再エネ導入予定（設備情報）'!$O$1,MATCH(G162,'4.1(2)新規再エネ導入予定（設備情報）'!$G:$G,0)-1,0),"")</f>
        <v/>
      </c>
      <c r="K162" s="511" t="str">
        <f ca="1">IFERROR(OFFSET('4.1(2)新規再エネ導入予定（設備情報）'!$P$1,MATCH(G162,'4.1(2)新規再エネ導入予定（設備情報）'!$G:$G,0)-1,0),"")</f>
        <v/>
      </c>
      <c r="L162" s="489"/>
      <c r="M162" s="489"/>
      <c r="N162" s="489"/>
      <c r="O162" s="486"/>
      <c r="P162" s="24"/>
      <c r="Q162" s="21"/>
      <c r="R162" s="433">
        <f t="shared" si="9"/>
        <v>155</v>
      </c>
      <c r="S162" s="127">
        <f t="shared" si="10"/>
        <v>0</v>
      </c>
      <c r="T162" s="127" t="str">
        <f ca="1">_xlfn.IFNA(OFFSET('(非表示)新規再エネ実現可能性判定'!$C$1,MATCH(M162,'(非表示)新規再エネ実現可能性判定'!$B:$B,0)-1,0),"//")</f>
        <v>//</v>
      </c>
      <c r="U162" s="257" t="str">
        <f ca="1">_xlfn.IFNA(OFFSET('(非表示)新規再エネ実現可能性判定'!$F$1,MATCH(N162,'(非表示)新規再エネ実現可能性判定'!$E:$E,0)-1,0),"//")</f>
        <v>//</v>
      </c>
      <c r="V162" s="257" t="str">
        <f ca="1">_xlfn.IFNA(OFFSET('(非表示)新規再エネ実現可能性判定'!$I$1,MATCH(O162,'(非表示)新規再エネ実現可能性判定'!$H:$H,0)-1,0),"//")</f>
        <v>//</v>
      </c>
      <c r="W162" s="257" t="str">
        <f t="shared" si="8"/>
        <v/>
      </c>
    </row>
    <row r="163" spans="2:23" s="11" customFormat="1" ht="20">
      <c r="B163" s="21"/>
      <c r="C163" s="21"/>
      <c r="D163" s="22"/>
      <c r="E163" s="130"/>
      <c r="F163" s="504" t="str">
        <f ca="1">IFERROR(OFFSET('4.1(2)新規再エネ導入予定（設備情報）'!$F$1,MATCH(G163,'4.1(2)新規再エネ導入予定（設備情報）'!$G:$G,0)-1,0),"")</f>
        <v/>
      </c>
      <c r="G163" s="512"/>
      <c r="H163" s="508" t="str">
        <f ca="1">IFERROR(OFFSET('4.1(2)新規再エネ導入予定（設備情報）'!$H$1,MATCH(G163,'4.1(2)新規再エネ導入予定（設備情報）'!$G:$G,0)-1,0)&amp;"","")</f>
        <v/>
      </c>
      <c r="I163" s="509" t="str">
        <f ca="1">IFERROR(OFFSET('4.1(2)新規再エネ導入予定（設備情報）'!$L$1,MATCH(G163,'4.1(2)新規再エネ導入予定（設備情報）'!$G:$G,0)-1,0),"")</f>
        <v/>
      </c>
      <c r="J163" s="510" t="str">
        <f ca="1">IFERROR(OFFSET('4.1(2)新規再エネ導入予定（設備情報）'!$O$1,MATCH(G163,'4.1(2)新規再エネ導入予定（設備情報）'!$G:$G,0)-1,0),"")</f>
        <v/>
      </c>
      <c r="K163" s="511" t="str">
        <f ca="1">IFERROR(OFFSET('4.1(2)新規再エネ導入予定（設備情報）'!$P$1,MATCH(G163,'4.1(2)新規再エネ導入予定（設備情報）'!$G:$G,0)-1,0),"")</f>
        <v/>
      </c>
      <c r="L163" s="489"/>
      <c r="M163" s="489"/>
      <c r="N163" s="489"/>
      <c r="O163" s="486"/>
      <c r="P163" s="24"/>
      <c r="Q163" s="21"/>
      <c r="R163" s="433">
        <f t="shared" si="9"/>
        <v>156</v>
      </c>
      <c r="S163" s="127">
        <f t="shared" si="10"/>
        <v>0</v>
      </c>
      <c r="T163" s="127" t="str">
        <f ca="1">_xlfn.IFNA(OFFSET('(非表示)新規再エネ実現可能性判定'!$C$1,MATCH(M163,'(非表示)新規再エネ実現可能性判定'!$B:$B,0)-1,0),"//")</f>
        <v>//</v>
      </c>
      <c r="U163" s="257" t="str">
        <f ca="1">_xlfn.IFNA(OFFSET('(非表示)新規再エネ実現可能性判定'!$F$1,MATCH(N163,'(非表示)新規再エネ実現可能性判定'!$E:$E,0)-1,0),"//")</f>
        <v>//</v>
      </c>
      <c r="V163" s="257" t="str">
        <f ca="1">_xlfn.IFNA(OFFSET('(非表示)新規再エネ実現可能性判定'!$I$1,MATCH(O163,'(非表示)新規再エネ実現可能性判定'!$H:$H,0)-1,0),"//")</f>
        <v>//</v>
      </c>
      <c r="W163" s="257" t="str">
        <f t="shared" si="8"/>
        <v/>
      </c>
    </row>
    <row r="164" spans="2:23" ht="20">
      <c r="D164" s="16"/>
      <c r="E164" s="274"/>
      <c r="F164" s="283" t="s">
        <v>26</v>
      </c>
      <c r="G164" s="242"/>
      <c r="H164" s="242"/>
      <c r="I164" s="275"/>
      <c r="J164" s="276"/>
      <c r="K164" s="502">
        <f ca="1">SUM(OFFSET(K$160,0,0,ROW()-ROW(K$160),1))</f>
        <v>0</v>
      </c>
      <c r="L164" s="253"/>
      <c r="M164" s="253"/>
      <c r="N164" s="253"/>
      <c r="O164" s="253"/>
      <c r="P164" s="19"/>
      <c r="R164" s="425">
        <f t="shared" si="9"/>
        <v>157</v>
      </c>
      <c r="S164" s="224">
        <f t="shared" si="10"/>
        <v>0</v>
      </c>
      <c r="T164" s="224" t="str">
        <f ca="1">_xlfn.IFNA(OFFSET('(非表示)新規再エネ実現可能性判定'!$C$1,MATCH(M164,'(非表示)新規再エネ実現可能性判定'!$B:$B,0)-1,0),"//")</f>
        <v>//</v>
      </c>
      <c r="U164" s="177" t="str">
        <f ca="1">_xlfn.IFNA(OFFSET('(非表示)新規再エネ実現可能性判定'!$F$1,MATCH(N164,'(非表示)新規再エネ実現可能性判定'!$E:$E,0)-1,0),"//")</f>
        <v>//</v>
      </c>
      <c r="V164" s="177" t="str">
        <f ca="1">_xlfn.IFNA(OFFSET('(非表示)新規再エネ実現可能性判定'!$I$1,MATCH(O164,'(非表示)新規再エネ実現可能性判定'!$H:$H,0)-1,0),"//")</f>
        <v>//</v>
      </c>
      <c r="W164" s="177" t="str">
        <f t="shared" si="8"/>
        <v/>
      </c>
    </row>
    <row r="165" spans="2:23" ht="20">
      <c r="D165" s="46"/>
      <c r="E165" s="26"/>
      <c r="F165" s="26"/>
      <c r="G165" s="4"/>
      <c r="H165" s="4"/>
      <c r="I165" s="124"/>
      <c r="J165" s="4"/>
      <c r="K165" s="4"/>
      <c r="L165" s="289"/>
      <c r="M165" s="289"/>
      <c r="N165" s="289"/>
      <c r="O165" s="290"/>
      <c r="P165" s="27"/>
      <c r="Q165"/>
      <c r="R165" s="425">
        <f t="shared" si="9"/>
        <v>158</v>
      </c>
      <c r="S165" s="224">
        <f t="shared" si="10"/>
        <v>0</v>
      </c>
      <c r="T165" s="224" t="str">
        <f ca="1">_xlfn.IFNA(OFFSET('(非表示)新規再エネ実現可能性判定'!$C$1,MATCH(M165,'(非表示)新規再エネ実現可能性判定'!$B:$B,0)-1,0),"//")</f>
        <v>//</v>
      </c>
      <c r="U165" s="177" t="str">
        <f ca="1">_xlfn.IFNA(OFFSET('(非表示)新規再エネ実現可能性判定'!$F$1,MATCH(N165,'(非表示)新規再エネ実現可能性判定'!$E:$E,0)-1,0),"//")</f>
        <v>//</v>
      </c>
      <c r="V165" s="177" t="str">
        <f ca="1">_xlfn.IFNA(OFFSET('(非表示)新規再エネ実現可能性判定'!$I$1,MATCH(O165,'(非表示)新規再エネ実現可能性判定'!$H:$H,0)-1,0),"//")</f>
        <v>//</v>
      </c>
      <c r="W165" s="177" t="str">
        <f t="shared" si="8"/>
        <v/>
      </c>
    </row>
    <row r="166" spans="2:23">
      <c r="F166" s="31"/>
      <c r="G166" s="31"/>
      <c r="H166" s="31"/>
      <c r="I166" s="270"/>
      <c r="J166" s="31"/>
      <c r="K166" s="31"/>
      <c r="L166" s="287"/>
      <c r="M166" s="287"/>
      <c r="N166" s="287"/>
      <c r="O166" s="288"/>
      <c r="R166" s="123"/>
      <c r="S166" s="123"/>
      <c r="T166" s="123"/>
      <c r="U166" s="123"/>
      <c r="V166" s="123"/>
      <c r="W166" s="123"/>
    </row>
    <row r="167" spans="2:23" ht="14.25" customHeight="1">
      <c r="I167" s="230"/>
      <c r="J167"/>
      <c r="K167"/>
      <c r="L167" s="291"/>
      <c r="M167" s="291"/>
      <c r="N167" s="291"/>
      <c r="O167" s="3"/>
      <c r="P167"/>
      <c r="Q167"/>
      <c r="S167" s="123"/>
      <c r="T167" s="123"/>
    </row>
    <row r="168" spans="2:23" ht="25.5" customHeight="1">
      <c r="D168" s="890" t="s">
        <v>166</v>
      </c>
      <c r="F168"/>
      <c r="G168"/>
      <c r="H168"/>
      <c r="I168" s="90"/>
      <c r="J168"/>
      <c r="K168"/>
      <c r="L168" s="291"/>
      <c r="M168" s="291"/>
      <c r="N168" s="291"/>
      <c r="O168" s="3"/>
      <c r="P168"/>
      <c r="Q168"/>
      <c r="S168" s="277" t="s">
        <v>425</v>
      </c>
      <c r="T168" s="123"/>
    </row>
    <row r="169" spans="2:23">
      <c r="E169" s="963" t="s">
        <v>162</v>
      </c>
      <c r="F169" s="964"/>
      <c r="G169" s="964"/>
      <c r="H169" s="964"/>
      <c r="I169" s="965">
        <f ca="1">K80</f>
        <v>0</v>
      </c>
      <c r="J169" s="966"/>
      <c r="K169"/>
      <c r="L169" s="292"/>
      <c r="M169" s="291"/>
      <c r="N169" s="291"/>
      <c r="O169" s="3"/>
      <c r="P169"/>
      <c r="Q169"/>
      <c r="S169" s="123">
        <f ca="1">IF('4.1(2)新規再エネ導入予定（設備情報）'!J171='4.1(2)新規再エネ導入予定(FS調査、系統接続検討状況)'!I169,1,0)</f>
        <v>1</v>
      </c>
      <c r="T169" s="123"/>
    </row>
    <row r="170" spans="2:23">
      <c r="E170" s="963" t="s">
        <v>286</v>
      </c>
      <c r="F170" s="964"/>
      <c r="G170" s="964"/>
      <c r="H170" s="964"/>
      <c r="I170" s="965">
        <f ca="1">K92</f>
        <v>0</v>
      </c>
      <c r="J170" s="966"/>
      <c r="K170"/>
      <c r="L170" s="292"/>
      <c r="M170" s="291"/>
      <c r="N170" s="291"/>
      <c r="O170" s="3"/>
      <c r="P170"/>
      <c r="Q170"/>
      <c r="S170" s="123">
        <f ca="1">IF('4.1(2)新規再エネ導入予定（設備情報）'!J172='4.1(2)新規再エネ導入予定(FS調査、系統接続検討状況)'!I170,1,0)</f>
        <v>1</v>
      </c>
      <c r="T170" s="123"/>
    </row>
    <row r="171" spans="2:23">
      <c r="E171" s="963" t="s">
        <v>91</v>
      </c>
      <c r="F171" s="964"/>
      <c r="G171" s="964"/>
      <c r="H171" s="964"/>
      <c r="I171" s="965">
        <f ca="1">K104</f>
        <v>0</v>
      </c>
      <c r="J171" s="966"/>
      <c r="K171"/>
      <c r="L171" s="292"/>
      <c r="M171" s="291"/>
      <c r="N171" s="291"/>
      <c r="O171" s="3"/>
      <c r="P171"/>
      <c r="Q171"/>
      <c r="S171" s="123">
        <f ca="1">IF('4.1(2)新規再エネ導入予定（設備情報）'!J173='4.1(2)新規再エネ導入予定(FS調査、系統接続検討状況)'!I171,1,0)</f>
        <v>1</v>
      </c>
      <c r="T171" s="123"/>
    </row>
    <row r="172" spans="2:23">
      <c r="E172" s="963" t="s">
        <v>163</v>
      </c>
      <c r="F172" s="964"/>
      <c r="G172" s="964"/>
      <c r="H172" s="964"/>
      <c r="I172" s="965">
        <f ca="1">K116</f>
        <v>0</v>
      </c>
      <c r="J172" s="966"/>
      <c r="K172"/>
      <c r="L172" s="292"/>
      <c r="M172" s="291"/>
      <c r="N172" s="291"/>
      <c r="O172" s="3"/>
      <c r="P172"/>
      <c r="Q172"/>
      <c r="S172" s="123">
        <f ca="1">IF('4.1(2)新規再エネ導入予定（設備情報）'!J174='4.1(2)新規再エネ導入予定(FS調査、系統接続検討状況)'!I172,1,0)</f>
        <v>1</v>
      </c>
      <c r="T172" s="123"/>
    </row>
    <row r="173" spans="2:23">
      <c r="E173" s="963" t="s">
        <v>164</v>
      </c>
      <c r="F173" s="964"/>
      <c r="G173" s="964"/>
      <c r="H173" s="964"/>
      <c r="I173" s="965">
        <f ca="1">K128</f>
        <v>0</v>
      </c>
      <c r="J173" s="966"/>
      <c r="K173"/>
      <c r="L173" s="292"/>
      <c r="M173" s="291"/>
      <c r="N173" s="291"/>
      <c r="O173" s="3"/>
      <c r="P173"/>
      <c r="Q173"/>
      <c r="S173" s="123">
        <f ca="1">IF('4.1(2)新規再エネ導入予定（設備情報）'!J175='4.1(2)新規再エネ導入予定(FS調査、系統接続検討状況)'!I173,1,0)</f>
        <v>1</v>
      </c>
      <c r="T173" s="123"/>
    </row>
    <row r="174" spans="2:23">
      <c r="E174" s="963" t="s">
        <v>165</v>
      </c>
      <c r="F174" s="964"/>
      <c r="G174" s="964"/>
      <c r="H174" s="964"/>
      <c r="I174" s="965">
        <f ca="1">K140</f>
        <v>0</v>
      </c>
      <c r="J174" s="966"/>
      <c r="K174"/>
      <c r="L174" s="292"/>
      <c r="M174" s="291"/>
      <c r="N174" s="291"/>
      <c r="O174" s="3"/>
      <c r="P174"/>
      <c r="Q174"/>
      <c r="S174" s="123">
        <f ca="1">IF('4.1(2)新規再エネ導入予定（設備情報）'!J176='4.1(2)新規再エネ導入予定(FS調査、系統接続検討状況)'!I174,1,0)</f>
        <v>1</v>
      </c>
      <c r="T174" s="123"/>
    </row>
    <row r="175" spans="2:23">
      <c r="E175" s="963" t="s">
        <v>225</v>
      </c>
      <c r="F175" s="964"/>
      <c r="G175" s="964"/>
      <c r="H175" s="964"/>
      <c r="I175" s="965">
        <f ca="1">K152</f>
        <v>0</v>
      </c>
      <c r="J175" s="966"/>
      <c r="K175"/>
      <c r="L175" s="292"/>
      <c r="M175" s="291"/>
      <c r="N175" s="291"/>
      <c r="O175" s="3"/>
      <c r="P175"/>
      <c r="Q175"/>
      <c r="S175" s="123">
        <f ca="1">IF('4.1(2)新規再エネ導入予定（設備情報）'!J177='4.1(2)新規再エネ導入予定(FS調査、系統接続検討状況)'!I175,1,0)</f>
        <v>1</v>
      </c>
      <c r="T175" s="123"/>
    </row>
    <row r="176" spans="2:23">
      <c r="E176" s="963" t="s">
        <v>319</v>
      </c>
      <c r="F176" s="964"/>
      <c r="G176" s="964"/>
      <c r="H176" s="964"/>
      <c r="I176" s="965">
        <f ca="1">SUM(I169:I175)</f>
        <v>0</v>
      </c>
      <c r="J176" s="966"/>
      <c r="K176"/>
      <c r="L176" s="292"/>
      <c r="M176" s="291"/>
      <c r="N176" s="291"/>
      <c r="O176" s="3"/>
      <c r="P176"/>
      <c r="Q176"/>
      <c r="S176" s="123">
        <f ca="1">IF('4.1(2)新規再エネ導入予定（設備情報）'!J178='4.1(2)新規再エネ導入予定(FS調査、系統接続検討状況)'!I176,1,0)</f>
        <v>1</v>
      </c>
      <c r="T176" s="123"/>
    </row>
    <row r="177" spans="4:20">
      <c r="E177" s="963" t="s">
        <v>320</v>
      </c>
      <c r="F177" s="964"/>
      <c r="G177" s="964"/>
      <c r="H177" s="964"/>
      <c r="I177" s="965">
        <f ca="1">K164</f>
        <v>0</v>
      </c>
      <c r="J177" s="966"/>
      <c r="K177"/>
      <c r="L177" s="292"/>
      <c r="M177" s="291"/>
      <c r="N177" s="291"/>
      <c r="O177" s="3"/>
      <c r="P177"/>
      <c r="Q177"/>
      <c r="S177" s="123">
        <f ca="1">IF('4.1(2)新規再エネ導入予定（設備情報）'!J179='4.1(2)新規再エネ導入予定(FS調査、系統接続検討状況)'!I177,1,0)</f>
        <v>1</v>
      </c>
      <c r="T177" s="123"/>
    </row>
    <row r="178" spans="4:20" ht="12.75" customHeight="1">
      <c r="I178" s="230"/>
      <c r="J178"/>
      <c r="K178"/>
      <c r="L178" s="291"/>
      <c r="M178" s="291"/>
      <c r="N178" s="291"/>
      <c r="O178" s="3"/>
      <c r="P178"/>
      <c r="Q178"/>
      <c r="S178" s="1">
        <f ca="1">PRODUCT(S169:S177)</f>
        <v>1</v>
      </c>
    </row>
    <row r="179" spans="4:20">
      <c r="D179"/>
      <c r="E179"/>
      <c r="F179"/>
      <c r="G179"/>
      <c r="H179"/>
      <c r="I179" s="90"/>
      <c r="J179"/>
      <c r="K179"/>
      <c r="L179" s="291"/>
      <c r="M179" s="291"/>
      <c r="N179" s="291"/>
      <c r="O179" s="3"/>
      <c r="P179"/>
      <c r="Q179"/>
    </row>
    <row r="180" spans="4:20">
      <c r="D180"/>
      <c r="E180"/>
      <c r="F180"/>
      <c r="G180"/>
      <c r="H180"/>
      <c r="I180" s="90"/>
      <c r="J180"/>
      <c r="K180"/>
      <c r="L180" s="291"/>
      <c r="M180" s="291"/>
      <c r="N180" s="291"/>
      <c r="O180" s="3"/>
      <c r="P180"/>
      <c r="Q180"/>
    </row>
    <row r="181" spans="4:20">
      <c r="D181"/>
      <c r="E181"/>
      <c r="F181"/>
      <c r="G181"/>
      <c r="H181"/>
      <c r="I181" s="90"/>
      <c r="J181"/>
      <c r="K181"/>
      <c r="L181" s="291"/>
      <c r="M181" s="291"/>
      <c r="N181" s="291"/>
      <c r="O181" s="3"/>
      <c r="P181"/>
      <c r="Q181"/>
    </row>
    <row r="182" spans="4:20">
      <c r="D182"/>
      <c r="E182"/>
      <c r="F182"/>
      <c r="G182"/>
      <c r="H182"/>
      <c r="I182" s="90"/>
      <c r="J182"/>
      <c r="K182"/>
      <c r="L182" s="291"/>
      <c r="M182" s="291"/>
      <c r="N182" s="291"/>
      <c r="O182" s="3"/>
      <c r="P182"/>
      <c r="Q182"/>
    </row>
    <row r="183" spans="4:20">
      <c r="D183"/>
      <c r="E183"/>
      <c r="F183"/>
      <c r="G183"/>
      <c r="H183"/>
      <c r="I183" s="90"/>
      <c r="J183"/>
      <c r="K183"/>
      <c r="L183" s="291"/>
      <c r="M183" s="291"/>
      <c r="N183" s="291"/>
      <c r="O183" s="3"/>
      <c r="P183"/>
      <c r="Q183"/>
    </row>
    <row r="184" spans="4:20">
      <c r="D184"/>
      <c r="E184"/>
      <c r="F184"/>
      <c r="G184"/>
      <c r="H184"/>
      <c r="I184" s="90"/>
      <c r="J184"/>
      <c r="K184"/>
      <c r="L184" s="291"/>
      <c r="M184" s="291"/>
      <c r="N184" s="291"/>
      <c r="O184" s="3"/>
    </row>
    <row r="185" spans="4:20">
      <c r="D185"/>
      <c r="E185"/>
      <c r="F185"/>
      <c r="G185"/>
      <c r="H185"/>
      <c r="I185" s="90"/>
      <c r="J185"/>
      <c r="K185"/>
      <c r="L185" s="291"/>
      <c r="M185" s="291"/>
      <c r="N185" s="291"/>
      <c r="O185" s="3"/>
    </row>
    <row r="186" spans="4:20">
      <c r="D186"/>
      <c r="E186"/>
      <c r="F186"/>
      <c r="G186"/>
      <c r="H186"/>
      <c r="I186" s="90"/>
      <c r="J186"/>
      <c r="K186"/>
      <c r="L186" s="291"/>
      <c r="M186" s="291"/>
      <c r="N186" s="291"/>
      <c r="O186" s="3"/>
      <c r="R186" s="13"/>
    </row>
    <row r="187" spans="4:20" ht="37.5" customHeight="1">
      <c r="D187"/>
      <c r="E187"/>
      <c r="F187"/>
      <c r="G187"/>
      <c r="H187"/>
      <c r="I187" s="90"/>
      <c r="J187"/>
      <c r="K187"/>
      <c r="L187" s="291"/>
      <c r="M187" s="291"/>
      <c r="N187" s="291"/>
      <c r="O187" s="3"/>
    </row>
    <row r="188" spans="4:20">
      <c r="D188"/>
      <c r="E188"/>
      <c r="F188"/>
      <c r="G188"/>
      <c r="H188"/>
      <c r="I188" s="90"/>
      <c r="J188"/>
      <c r="K188"/>
      <c r="L188" s="291"/>
      <c r="M188" s="291"/>
      <c r="N188" s="291"/>
      <c r="O188" s="3"/>
    </row>
    <row r="189" spans="4:20">
      <c r="D189"/>
      <c r="E189"/>
      <c r="F189"/>
      <c r="G189"/>
      <c r="H189"/>
      <c r="I189" s="90"/>
      <c r="J189"/>
      <c r="K189"/>
      <c r="L189" s="291"/>
      <c r="M189" s="291"/>
      <c r="N189" s="291"/>
      <c r="O189" s="3"/>
    </row>
    <row r="190" spans="4:20">
      <c r="D190"/>
      <c r="E190"/>
      <c r="F190"/>
      <c r="G190"/>
      <c r="H190"/>
      <c r="I190" s="90"/>
      <c r="J190"/>
      <c r="K190"/>
      <c r="L190" s="291"/>
      <c r="M190" s="291"/>
      <c r="N190" s="291"/>
      <c r="O190" s="3"/>
    </row>
    <row r="191" spans="4:20">
      <c r="D191"/>
      <c r="E191"/>
      <c r="F191"/>
      <c r="G191"/>
      <c r="H191"/>
      <c r="I191" s="90"/>
      <c r="J191"/>
      <c r="K191"/>
      <c r="L191" s="291"/>
      <c r="M191" s="291"/>
      <c r="N191" s="291"/>
      <c r="O191" s="3"/>
    </row>
    <row r="192" spans="4:20">
      <c r="D192"/>
      <c r="E192"/>
      <c r="F192"/>
      <c r="G192"/>
      <c r="H192"/>
      <c r="I192" s="90"/>
      <c r="J192"/>
      <c r="K192"/>
      <c r="L192" s="291"/>
      <c r="M192" s="291"/>
      <c r="N192" s="291"/>
      <c r="O192" s="3"/>
    </row>
    <row r="193" spans="4:18">
      <c r="D193"/>
      <c r="E193"/>
      <c r="F193"/>
      <c r="G193"/>
      <c r="H193"/>
      <c r="I193" s="90"/>
      <c r="J193"/>
      <c r="K193"/>
      <c r="L193" s="291"/>
      <c r="M193" s="291"/>
      <c r="N193" s="291"/>
      <c r="O193" s="3"/>
    </row>
    <row r="194" spans="4:18">
      <c r="D194"/>
      <c r="E194"/>
      <c r="F194"/>
      <c r="G194"/>
      <c r="H194"/>
      <c r="I194" s="90"/>
      <c r="J194"/>
      <c r="K194"/>
      <c r="L194" s="291"/>
      <c r="M194" s="291"/>
      <c r="N194" s="291"/>
      <c r="O194" s="3"/>
    </row>
    <row r="195" spans="4:18">
      <c r="D195"/>
      <c r="E195"/>
      <c r="F195"/>
      <c r="G195"/>
      <c r="H195"/>
      <c r="I195" s="90"/>
      <c r="J195"/>
      <c r="K195"/>
      <c r="L195" s="291"/>
      <c r="M195" s="291"/>
      <c r="N195" s="291"/>
      <c r="O195" s="3"/>
    </row>
    <row r="196" spans="4:18">
      <c r="D196"/>
      <c r="E196"/>
      <c r="F196"/>
      <c r="G196"/>
      <c r="H196"/>
      <c r="I196" s="90"/>
      <c r="J196"/>
      <c r="K196"/>
      <c r="L196" s="291"/>
      <c r="M196" s="291"/>
      <c r="N196" s="291"/>
      <c r="O196" s="3"/>
      <c r="R196" s="13"/>
    </row>
    <row r="197" spans="4:18">
      <c r="D197"/>
      <c r="E197"/>
      <c r="F197"/>
      <c r="G197"/>
      <c r="H197"/>
      <c r="I197" s="90"/>
      <c r="J197"/>
      <c r="K197"/>
      <c r="L197" s="291"/>
      <c r="M197" s="291"/>
      <c r="N197" s="291"/>
      <c r="O197" s="3"/>
      <c r="R197" s="13"/>
    </row>
    <row r="198" spans="4:18">
      <c r="D198"/>
      <c r="E198"/>
      <c r="F198"/>
      <c r="G198"/>
      <c r="H198"/>
      <c r="I198" s="90"/>
      <c r="J198"/>
      <c r="K198"/>
      <c r="L198" s="291"/>
      <c r="M198" s="291"/>
      <c r="N198" s="291"/>
      <c r="O198" s="3"/>
      <c r="R198" s="13"/>
    </row>
    <row r="199" spans="4:18" ht="37.5" customHeight="1">
      <c r="D199"/>
      <c r="E199"/>
      <c r="F199"/>
      <c r="G199"/>
      <c r="H199"/>
      <c r="I199" s="90"/>
      <c r="J199"/>
      <c r="K199"/>
      <c r="L199" s="291"/>
      <c r="M199" s="291"/>
      <c r="N199" s="291"/>
      <c r="O199" s="3"/>
    </row>
    <row r="200" spans="4:18">
      <c r="D200"/>
      <c r="E200"/>
      <c r="F200"/>
      <c r="G200"/>
      <c r="H200"/>
      <c r="I200" s="90"/>
      <c r="J200"/>
      <c r="K200"/>
      <c r="L200" s="291"/>
      <c r="M200" s="291"/>
      <c r="N200" s="291"/>
      <c r="O200" s="3"/>
    </row>
    <row r="201" spans="4:18">
      <c r="D201"/>
      <c r="E201"/>
      <c r="F201"/>
      <c r="G201"/>
      <c r="H201"/>
      <c r="I201" s="90"/>
      <c r="J201"/>
      <c r="K201"/>
      <c r="L201" s="291"/>
      <c r="M201" s="291"/>
      <c r="N201" s="291"/>
      <c r="O201" s="3"/>
    </row>
    <row r="202" spans="4:18">
      <c r="D202"/>
      <c r="E202"/>
      <c r="F202"/>
      <c r="G202"/>
      <c r="H202"/>
      <c r="I202" s="90"/>
      <c r="J202"/>
      <c r="K202"/>
      <c r="L202" s="291"/>
      <c r="M202" s="291"/>
      <c r="N202" s="291"/>
      <c r="O202" s="3"/>
    </row>
    <row r="203" spans="4:18">
      <c r="D203"/>
      <c r="E203"/>
      <c r="F203"/>
      <c r="G203"/>
      <c r="H203"/>
      <c r="I203" s="90"/>
      <c r="J203"/>
      <c r="K203"/>
      <c r="L203" s="291"/>
      <c r="M203" s="291"/>
      <c r="N203" s="291"/>
      <c r="O203" s="3"/>
    </row>
    <row r="204" spans="4:18">
      <c r="D204"/>
      <c r="E204"/>
      <c r="F204"/>
      <c r="G204"/>
      <c r="H204"/>
      <c r="I204" s="90"/>
      <c r="J204"/>
      <c r="K204"/>
      <c r="L204" s="291"/>
      <c r="M204" s="291"/>
      <c r="N204" s="291"/>
      <c r="O204" s="3"/>
    </row>
    <row r="205" spans="4:18">
      <c r="D205"/>
      <c r="E205"/>
      <c r="F205"/>
      <c r="G205"/>
      <c r="H205"/>
      <c r="I205" s="90"/>
      <c r="J205"/>
      <c r="K205"/>
      <c r="L205" s="291"/>
      <c r="M205" s="291"/>
      <c r="N205" s="291"/>
      <c r="O205" s="3"/>
    </row>
    <row r="206" spans="4:18">
      <c r="E206"/>
      <c r="F206"/>
      <c r="G206"/>
      <c r="H206"/>
      <c r="I206" s="278"/>
      <c r="J206"/>
      <c r="K206"/>
      <c r="L206" s="291"/>
      <c r="M206" s="291"/>
      <c r="N206" s="291"/>
      <c r="O206" s="3"/>
    </row>
    <row r="207" spans="4:18">
      <c r="E207"/>
      <c r="F207"/>
      <c r="G207"/>
      <c r="H207"/>
      <c r="I207" s="278"/>
      <c r="J207"/>
      <c r="K207"/>
      <c r="L207" s="291"/>
      <c r="M207" s="291"/>
      <c r="N207" s="291"/>
      <c r="O207" s="3"/>
    </row>
    <row r="208" spans="4:18">
      <c r="E208"/>
      <c r="F208"/>
      <c r="G208"/>
      <c r="H208"/>
      <c r="I208" s="278"/>
      <c r="J208"/>
      <c r="K208"/>
      <c r="L208" s="291"/>
      <c r="M208" s="291"/>
      <c r="N208" s="291"/>
      <c r="O208" s="3"/>
      <c r="R208" s="13"/>
    </row>
    <row r="209" spans="5:15">
      <c r="E209"/>
      <c r="F209"/>
      <c r="G209"/>
      <c r="H209"/>
      <c r="I209" s="278"/>
      <c r="J209"/>
      <c r="K209"/>
      <c r="L209" s="291"/>
      <c r="M209" s="291"/>
      <c r="N209" s="291"/>
      <c r="O209" s="3"/>
    </row>
  </sheetData>
  <sheetProtection algorithmName="SHA-512" hashValue="KoSHneN1cLRrNg52C0ritrQszwX17h7ZH6sky3m60O8MkhzBjaJkc0X6LfX24/lxTVqq6voWECfG2X6CapcEGQ==" saltValue="QrVe0XoO1r6cu5ZoHWgAeg==" spinCount="100000" sheet="1" formatCells="0" insertRows="0" deleteRows="0"/>
  <mergeCells count="81">
    <mergeCell ref="R6:R7"/>
    <mergeCell ref="T6:T7"/>
    <mergeCell ref="U6:U7"/>
    <mergeCell ref="V6:V7"/>
    <mergeCell ref="W6:W7"/>
    <mergeCell ref="S6:S7"/>
    <mergeCell ref="I171:J171"/>
    <mergeCell ref="I172:J172"/>
    <mergeCell ref="I173:J173"/>
    <mergeCell ref="F134:F135"/>
    <mergeCell ref="G134:G135"/>
    <mergeCell ref="H134:H135"/>
    <mergeCell ref="I134:I135"/>
    <mergeCell ref="J134:J135"/>
    <mergeCell ref="I170:J170"/>
    <mergeCell ref="E174:H174"/>
    <mergeCell ref="E176:H176"/>
    <mergeCell ref="E171:H171"/>
    <mergeCell ref="E172:H172"/>
    <mergeCell ref="E173:H173"/>
    <mergeCell ref="E175:H175"/>
    <mergeCell ref="F110:F111"/>
    <mergeCell ref="F122:F123"/>
    <mergeCell ref="G122:G123"/>
    <mergeCell ref="H122:H123"/>
    <mergeCell ref="F98:F99"/>
    <mergeCell ref="G98:G99"/>
    <mergeCell ref="H98:H99"/>
    <mergeCell ref="G110:G111"/>
    <mergeCell ref="H110:H111"/>
    <mergeCell ref="K134:K135"/>
    <mergeCell ref="I98:I99"/>
    <mergeCell ref="L134:N134"/>
    <mergeCell ref="L98:N98"/>
    <mergeCell ref="L110:N110"/>
    <mergeCell ref="L122:N122"/>
    <mergeCell ref="I122:I123"/>
    <mergeCell ref="J122:J123"/>
    <mergeCell ref="K122:K123"/>
    <mergeCell ref="J98:J99"/>
    <mergeCell ref="K98:K99"/>
    <mergeCell ref="I110:I111"/>
    <mergeCell ref="K110:K111"/>
    <mergeCell ref="J110:J111"/>
    <mergeCell ref="E6:F7"/>
    <mergeCell ref="F86:F87"/>
    <mergeCell ref="J86:J87"/>
    <mergeCell ref="K86:K87"/>
    <mergeCell ref="L6:N6"/>
    <mergeCell ref="I6:I7"/>
    <mergeCell ref="I86:I87"/>
    <mergeCell ref="L86:N86"/>
    <mergeCell ref="J6:J7"/>
    <mergeCell ref="K6:K7"/>
    <mergeCell ref="G6:G7"/>
    <mergeCell ref="H6:H7"/>
    <mergeCell ref="G86:G87"/>
    <mergeCell ref="H86:H87"/>
    <mergeCell ref="K146:K147"/>
    <mergeCell ref="L146:N146"/>
    <mergeCell ref="F146:F147"/>
    <mergeCell ref="G146:G147"/>
    <mergeCell ref="H146:H147"/>
    <mergeCell ref="I146:I147"/>
    <mergeCell ref="J146:J147"/>
    <mergeCell ref="A2:T2"/>
    <mergeCell ref="L158:N158"/>
    <mergeCell ref="E177:H177"/>
    <mergeCell ref="I177:J177"/>
    <mergeCell ref="F158:F159"/>
    <mergeCell ref="G158:G159"/>
    <mergeCell ref="H158:H159"/>
    <mergeCell ref="I158:I159"/>
    <mergeCell ref="J158:J159"/>
    <mergeCell ref="K158:K159"/>
    <mergeCell ref="E169:H169"/>
    <mergeCell ref="E170:H170"/>
    <mergeCell ref="I174:J174"/>
    <mergeCell ref="I175:J175"/>
    <mergeCell ref="I176:J176"/>
    <mergeCell ref="I169:J169"/>
  </mergeCells>
  <phoneticPr fontId="1"/>
  <conditionalFormatting sqref="E169:H175 E177:H177">
    <cfRule type="expression" dxfId="1743" priority="1">
      <formula>$S169=0</formula>
    </cfRule>
  </conditionalFormatting>
  <conditionalFormatting sqref="F9:O13 F14 F15:O19 F20 F21:O25 F27:O31 F33:O37 F39:O43 F45:O49 F51:O55 F57:O61 F63:O67 F69:O73 F75:O79">
    <cfRule type="expression" dxfId="1742" priority="17">
      <formula>$R9=""</formula>
    </cfRule>
    <cfRule type="notContainsBlanks" dxfId="1741" priority="18">
      <formula>LEN(TRIM(F9))&gt;0</formula>
    </cfRule>
  </conditionalFormatting>
  <conditionalFormatting sqref="F88:O91">
    <cfRule type="expression" dxfId="1740" priority="15">
      <formula>$R88=""</formula>
    </cfRule>
    <cfRule type="notContainsBlanks" dxfId="1739" priority="16">
      <formula>LEN(TRIM(F88))&gt;0</formula>
    </cfRule>
  </conditionalFormatting>
  <conditionalFormatting sqref="F100:O103">
    <cfRule type="expression" dxfId="1738" priority="13">
      <formula>$R100=""</formula>
    </cfRule>
    <cfRule type="notContainsBlanks" dxfId="1737" priority="14">
      <formula>LEN(TRIM(F100))&gt;0</formula>
    </cfRule>
  </conditionalFormatting>
  <conditionalFormatting sqref="F112:O115">
    <cfRule type="expression" dxfId="1736" priority="11">
      <formula>$R112=""</formula>
    </cfRule>
    <cfRule type="notContainsBlanks" dxfId="1735" priority="12">
      <formula>LEN(TRIM(F112))&gt;0</formula>
    </cfRule>
  </conditionalFormatting>
  <conditionalFormatting sqref="F124:O127">
    <cfRule type="expression" dxfId="1734" priority="9">
      <formula>$R124=""</formula>
    </cfRule>
    <cfRule type="notContainsBlanks" dxfId="1733" priority="10">
      <formula>LEN(TRIM(F124))&gt;0</formula>
    </cfRule>
  </conditionalFormatting>
  <conditionalFormatting sqref="F136:O139">
    <cfRule type="expression" dxfId="1732" priority="7">
      <formula>$R136=""</formula>
    </cfRule>
    <cfRule type="notContainsBlanks" dxfId="1731" priority="8">
      <formula>LEN(TRIM(F136))&gt;0</formula>
    </cfRule>
  </conditionalFormatting>
  <conditionalFormatting sqref="F148:O151">
    <cfRule type="expression" dxfId="1730" priority="5">
      <formula>$R148=""</formula>
    </cfRule>
    <cfRule type="notContainsBlanks" dxfId="1729" priority="6">
      <formula>LEN(TRIM(F148))&gt;0</formula>
    </cfRule>
  </conditionalFormatting>
  <conditionalFormatting sqref="F160:O163">
    <cfRule type="expression" dxfId="1728" priority="3">
      <formula>$R160=""</formula>
    </cfRule>
    <cfRule type="notContainsBlanks" dxfId="1727" priority="4">
      <formula>LEN(TRIM(F160))&gt;0</formula>
    </cfRule>
  </conditionalFormatting>
  <conditionalFormatting sqref="K80 K92 K104 K116 K128 K140 K152 K164 I169:J177">
    <cfRule type="cellIs" dxfId="1726" priority="2" operator="notEqual">
      <formula>0</formula>
    </cfRule>
  </conditionalFormatting>
  <dataValidations disablePrompts="1" count="5">
    <dataValidation type="decimal" operator="greaterThanOrEqual" allowBlank="1" showInputMessage="1" showErrorMessage="1" error="数値で入力してください" sqref="E80 K62:N62 K26:N26 K44:N44 K32:N32 K20:N20 K68:N68 K14:N14 K50:N50 K8:O8 K38:N38 K74:N74 K56:N56" xr:uid="{341809A3-F8EF-4860-B9D6-AA66F81A354B}">
      <formula1>0</formula1>
    </dataValidation>
    <dataValidation type="list" allowBlank="1" showInputMessage="1" showErrorMessage="1" sqref="I92 I104 I116 I128 I140 I152 I164" xr:uid="{D5E8E598-4DBE-487E-B06B-BB4F5BC71478}">
      <formula1>"オンサイト,オフサイト"</formula1>
    </dataValidation>
    <dataValidation type="list" allowBlank="1" showInputMessage="1" showErrorMessage="1" sqref="L148:L151 L15:L19 L21:L25 L27:L31 L33:L37 L160:L163 L45:L49 L51:L55 L57:L61 L63:L67 L88:L91 L75:L79 L100:L103 L112:L115 L124:L127 L136:L139 L39:L43 L69:L73 L9:L13" xr:uid="{055AC950-1F93-44D2-807D-59813714930E}">
      <formula1>"未実施,確認済"</formula1>
    </dataValidation>
    <dataValidation type="list" allowBlank="1" showInputMessage="1" showErrorMessage="1" sqref="M160:N163 M15:N19 M21:N25 M27:N31 M33:N37 M148:N151 M45:N49 M51:N55 M57:N61 M63:N67 M88:N91 M75:N79 M100:N103 M112:N115 M124:N127 M136:N139 M39:N43 M69:N73 M9:N13" xr:uid="{66C108F3-8C95-487B-8294-35CABC4B2CFC}">
      <formula1>"未実施,実施中,実施済"</formula1>
    </dataValidation>
    <dataValidation type="textLength" operator="lessThan" allowBlank="1" showInputMessage="1" showErrorMessage="1" sqref="E8:E79" xr:uid="{4745F9D7-1FA6-42E8-8DFB-BD6A8E81F34E}">
      <formula1>1</formula1>
    </dataValidation>
  </dataValidations>
  <pageMargins left="0.7" right="0.7" top="0.75" bottom="0.75" header="0.3" footer="0.3"/>
  <pageSetup paperSize="8" scale="22" orientation="landscape" r:id="rId1"/>
  <customProperties>
    <customPr name="EpmWorksheetKeyString_GUID" r:id="rId2"/>
  </customProperties>
  <drawing r:id="rId3"/>
  <extLst>
    <ext xmlns:x14="http://schemas.microsoft.com/office/spreadsheetml/2009/9/main" uri="{CCE6A557-97BC-4b89-ADB6-D9C93CAAB3DF}">
      <x14:dataValidations xmlns:xm="http://schemas.microsoft.com/office/excel/2006/main" disablePrompts="1" count="20">
        <x14:dataValidation type="list" allowBlank="1" showInputMessage="1" showErrorMessage="1" xr:uid="{E9ECF10F-03FB-4F01-9A47-95EC269EAA6C}">
          <x14:formula1>
            <xm:f>IF($J9="低圧",OFFSET('(非表示)新規再エネ実現可能性判定'!$H$5,0,0,5,1),OFFSET('(非表示)新規再エネ実現可能性判定'!$H$14,0,0,21,1))</xm:f>
          </x14:formula1>
          <xm:sqref>O160:O163 O148:O151 O136:O139 O124:O127 O112:O115 O100:O103 O88:O91 O15:O19 O75:O79 O69:O73 O63:O67 O57:O61 O51:O55 O45:O49 O39:O43 O33:O37 O27:O31 O21:O25 O9:O13</xm:sqref>
        </x14:dataValidation>
        <x14:dataValidation type="list" allowBlank="1" showInputMessage="1" showErrorMessage="1" xr:uid="{8DE9751E-2CFE-41DE-B8B0-60D16DE85E68}">
          <x14:formula1>
            <xm:f>OFFSET('4.1(2)新規再エネ導入予定（設備情報）'!AB$7,'4.1(2)新規再エネ導入予定（設備情報）'!$Z$188,0,'4.1(2)新規再エネ導入予定（設備情報）'!$Y$188,1)</xm:f>
          </x14:formula1>
          <xm:sqref>G148:G151</xm:sqref>
        </x14:dataValidation>
        <x14:dataValidation type="list" allowBlank="1" showInputMessage="1" showErrorMessage="1" xr:uid="{41439DCA-C028-4FBF-9B61-37FB06CAD01E}">
          <x14:formula1>
            <xm:f>OFFSET('4.1(2)新規再エネ導入予定（設備情報）'!AB$7,'4.1(2)新規再エネ導入予定（設備情報）'!$Z$184,0,'4.1(2)新規再エネ導入予定（設備情報）'!$Y$184,1)</xm:f>
          </x14:formula1>
          <xm:sqref>G100:G103</xm:sqref>
        </x14:dataValidation>
        <x14:dataValidation type="list" allowBlank="1" showInputMessage="1" showErrorMessage="1" xr:uid="{DF52F534-3480-4F37-83E7-90F300944E61}">
          <x14:formula1>
            <xm:f>OFFSET('4.1(2)新規再エネ導入予定（設備情報）'!AB$7,'4.1(2)新規再エネ導入予定（設備情報）'!$Z$185,0,'4.1(2)新規再エネ導入予定（設備情報）'!$Y$185,1)</xm:f>
          </x14:formula1>
          <xm:sqref>G112:G115</xm:sqref>
        </x14:dataValidation>
        <x14:dataValidation type="list" allowBlank="1" showInputMessage="1" showErrorMessage="1" xr:uid="{9563546D-BCB8-4F1F-AA0B-1CD5455966C3}">
          <x14:formula1>
            <xm:f>OFFSET('4.1(2)新規再エネ導入予定（設備情報）'!AB$7,'4.1(2)新規再エネ導入予定（設備情報）'!$Z$186,0,'4.1(2)新規再エネ導入予定（設備情報）'!$Y$186,1)</xm:f>
          </x14:formula1>
          <xm:sqref>G124:G127</xm:sqref>
        </x14:dataValidation>
        <x14:dataValidation type="list" allowBlank="1" showInputMessage="1" showErrorMessage="1" xr:uid="{4042CC58-6768-4B21-A824-F9C068E8453F}">
          <x14:formula1>
            <xm:f>OFFSET('4.1(2)新規再エネ導入予定（設備情報）'!AB$7,'4.1(2)新規再エネ導入予定（設備情報）'!$Z$189,0,'4.1(2)新規再エネ導入予定（設備情報）'!$Y$189,1)</xm:f>
          </x14:formula1>
          <xm:sqref>G160:G163</xm:sqref>
        </x14:dataValidation>
        <x14:dataValidation type="list" allowBlank="1" showInputMessage="1" showErrorMessage="1" xr:uid="{78F66B26-BE1C-4B96-90E4-28C29FFD8B37}">
          <x14:formula1>
            <xm:f>OFFSET('4.1(2)新規再エネ導入予定（設備情報）'!AB$7,'4.1(2)新規再エネ導入予定（設備情報）'!$Z$183,0,'4.1(2)新規再エネ導入予定（設備情報）'!$Y$183,1)</xm:f>
          </x14:formula1>
          <xm:sqref>G88:G91</xm:sqref>
        </x14:dataValidation>
        <x14:dataValidation type="list" allowBlank="1" showInputMessage="1" showErrorMessage="1" xr:uid="{72DD48D3-5B36-4478-97F9-68A7E7FFD9AC}">
          <x14:formula1>
            <xm:f>OFFSET('4.1(2)新規再エネ導入予定（設備情報）'!AB$7,'4.1(2)新規再エネ導入予定（設備情報）'!$Z$174,0,'4.1(2)新規再エネ導入予定（設備情報）'!$Y$174,1)</xm:f>
          </x14:formula1>
          <xm:sqref>G27:G31</xm:sqref>
        </x14:dataValidation>
        <x14:dataValidation type="list" allowBlank="1" showInputMessage="1" showErrorMessage="1" xr:uid="{4F8AEED1-D291-45E8-8F20-5581E5023ADC}">
          <x14:formula1>
            <xm:f>OFFSET('4.1(2)新規再エネ導入予定（設備情報）'!AB$7,'4.1(2)新規再エネ導入予定（設備情報）'!$Z$175,0,'4.1(2)新規再エネ導入予定（設備情報）'!$Y$175,1)</xm:f>
          </x14:formula1>
          <xm:sqref>G33:G37</xm:sqref>
        </x14:dataValidation>
        <x14:dataValidation type="list" allowBlank="1" showInputMessage="1" showErrorMessage="1" xr:uid="{D95BEFEB-FE44-4B74-88F6-D6794DB69D72}">
          <x14:formula1>
            <xm:f>OFFSET('4.1(2)新規再エネ導入予定（設備情報）'!AB$7,'4.1(2)新規再エネ導入予定（設備情報）'!$Z$177,0,'4.1(2)新規再エネ導入予定（設備情報）'!$Y$177,1)</xm:f>
          </x14:formula1>
          <xm:sqref>G45:G49</xm:sqref>
        </x14:dataValidation>
        <x14:dataValidation type="list" allowBlank="1" showInputMessage="1" showErrorMessage="1" xr:uid="{735BE704-E662-4B72-9CEE-D6927B95125C}">
          <x14:formula1>
            <xm:f>OFFSET('4.1(2)新規再エネ導入予定（設備情報）'!AB$7,'4.1(2)新規再エネ導入予定（設備情報）'!$Z$178,0,'4.1(2)新規再エネ導入予定（設備情報）'!$Y$178,1)</xm:f>
          </x14:formula1>
          <xm:sqref>G51:G55</xm:sqref>
        </x14:dataValidation>
        <x14:dataValidation type="list" allowBlank="1" showInputMessage="1" showErrorMessage="1" xr:uid="{F38C4CCE-EF97-486E-90FA-A1427E70406A}">
          <x14:formula1>
            <xm:f>OFFSET('4.1(2)新規再エネ導入予定（設備情報）'!AB$7,'4.1(2)新規再エネ導入予定（設備情報）'!$Z$179,0,'4.1(2)新規再エネ導入予定（設備情報）'!$Y$179,1)</xm:f>
          </x14:formula1>
          <xm:sqref>G57:G61</xm:sqref>
        </x14:dataValidation>
        <x14:dataValidation type="list" allowBlank="1" showInputMessage="1" showErrorMessage="1" xr:uid="{BC95D3C9-C148-42DB-80E0-E3FA17637613}">
          <x14:formula1>
            <xm:f>OFFSET('4.1(2)新規再エネ導入予定（設備情報）'!AB$7,'4.1(2)新規再エネ導入予定（設備情報）'!$Z$180,0,'4.1(2)新規再エネ導入予定（設備情報）'!$Y$180,1)</xm:f>
          </x14:formula1>
          <xm:sqref>G63:G67</xm:sqref>
        </x14:dataValidation>
        <x14:dataValidation type="list" allowBlank="1" showInputMessage="1" showErrorMessage="1" xr:uid="{242C551A-BD08-45C8-8673-826F58BA3863}">
          <x14:formula1>
            <xm:f>OFFSET('4.1(2)新規再エネ導入予定（設備情報）'!AB$7,'4.1(2)新規再エネ導入予定（設備情報）'!$Z$181,0,'4.1(2)新規再エネ導入予定（設備情報）'!$Y$181,1)</xm:f>
          </x14:formula1>
          <xm:sqref>G69:G73</xm:sqref>
        </x14:dataValidation>
        <x14:dataValidation type="list" allowBlank="1" showInputMessage="1" showErrorMessage="1" xr:uid="{49592FBA-D582-4F76-998F-ABD8E4F08901}">
          <x14:formula1>
            <xm:f>OFFSET('4.1(2)新規再エネ導入予定（設備情報）'!AB$7,'4.1(2)新規再エネ導入予定（設備情報）'!$Z$182,0,'4.1(2)新規再エネ導入予定（設備情報）'!$Y$182,1)</xm:f>
          </x14:formula1>
          <xm:sqref>G75:G79</xm:sqref>
        </x14:dataValidation>
        <x14:dataValidation type="list" allowBlank="1" showInputMessage="1" showErrorMessage="1" xr:uid="{5985C2F6-0B7F-4717-A7A2-4D6DED6E8D5B}">
          <x14:formula1>
            <xm:f>OFFSET('4.1(2)新規再エネ導入予定（設備情報）'!AB$7,'4.1(2)新規再エネ導入予定（設備情報）'!$Z$176,0,'4.1(2)新規再エネ導入予定（設備情報）'!$Y$176,1)</xm:f>
          </x14:formula1>
          <xm:sqref>G39:G43</xm:sqref>
        </x14:dataValidation>
        <x14:dataValidation type="list" allowBlank="1" showInputMessage="1" showErrorMessage="1" xr:uid="{33AC30AF-1D67-4E05-8A38-F0D6647BF001}">
          <x14:formula1>
            <xm:f>OFFSET('4.1(2)新規再エネ導入予定（設備情報）'!AB$7,'4.1(2)新規再エネ導入予定（設備情報）'!$Z$172,0,'4.1(2)新規再エネ導入予定（設備情報）'!$Y$172,1)</xm:f>
          </x14:formula1>
          <xm:sqref>G15:G19</xm:sqref>
        </x14:dataValidation>
        <x14:dataValidation type="list" allowBlank="1" showInputMessage="1" showErrorMessage="1" xr:uid="{CE89ED37-B337-4916-B2A7-95D7A629FE05}">
          <x14:formula1>
            <xm:f>OFFSET('4.1(2)新規再エネ導入予定（設備情報）'!AB$7,'4.1(2)新規再エネ導入予定（設備情報）'!$Z$173,0,'4.1(2)新規再エネ導入予定（設備情報）'!$Y$173,1)</xm:f>
          </x14:formula1>
          <xm:sqref>G21:G25</xm:sqref>
        </x14:dataValidation>
        <x14:dataValidation type="list" allowBlank="1" showInputMessage="1" showErrorMessage="1" xr:uid="{F0FAD70E-4266-4778-88CB-C4E945FB8D73}">
          <x14:formula1>
            <xm:f>OFFSET('4.1(2)新規再エネ導入予定（設備情報）'!AB$7,'4.1(2)新規再エネ導入予定（設備情報）'!$Z$171,0,'4.1(2)新規再エネ導入予定（設備情報）'!$Y$171,1)</xm:f>
          </x14:formula1>
          <xm:sqref>G9:G13</xm:sqref>
        </x14:dataValidation>
        <x14:dataValidation type="list" allowBlank="1" showInputMessage="1" showErrorMessage="1" xr:uid="{E23714CD-88E0-46E1-988A-A33B740A0A37}">
          <x14:formula1>
            <xm:f>OFFSET('4.1(2)新規再エネ導入予定（設備情報）'!AB$7,'4.1(2)新規再エネ導入予定（設備情報）'!$Z$187,0,'4.1(2)新規再エネ導入予定（設備情報）'!$Y$187,1)</xm:f>
          </x14:formula1>
          <xm:sqref>G136:G139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25</vt:i4>
      </vt:variant>
    </vt:vector>
  </HeadingPairs>
  <TitlesOfParts>
    <vt:vector size="25" baseType="lpstr">
      <vt:lpstr>はじめにお読みください</vt:lpstr>
      <vt:lpstr>表紙</vt:lpstr>
      <vt:lpstr>1.1対象エリアの規模等</vt:lpstr>
      <vt:lpstr>3.4活用想定補助金(事業別)</vt:lpstr>
      <vt:lpstr>3.4活用想定補助金(年度別)</vt:lpstr>
      <vt:lpstr>4.1(1)再エネ導入可能量</vt:lpstr>
      <vt:lpstr>4.1(2)新規再エネ導入予定（設備情報）</vt:lpstr>
      <vt:lpstr>4.1(2)新規再エネ導入予定(FS調査、系統接続検討状況)</vt:lpstr>
      <vt:lpstr>4.1(2)新規再エネ導入予定(合意形成)</vt:lpstr>
      <vt:lpstr>4.1(2)新規の再エネ発電設備の導入(別表)</vt:lpstr>
      <vt:lpstr>4.1(3)活用可能な既存の再エネ発電設備</vt:lpstr>
      <vt:lpstr>4.2実質ゼロ(計算結果)</vt:lpstr>
      <vt:lpstr>4.2対象地域の民生需要家数等</vt:lpstr>
      <vt:lpstr>4.2実質ゼロ(サマリ)</vt:lpstr>
      <vt:lpstr>4.2民生電力需要量</vt:lpstr>
      <vt:lpstr>4.2需要家合意形成状況(住宅)</vt:lpstr>
      <vt:lpstr>4.2需要家合意形成状況(民生・業務その他)</vt:lpstr>
      <vt:lpstr>4.2需要家合意形成状況(公共)</vt:lpstr>
      <vt:lpstr>4.2電力供給状況(民生部門)</vt:lpstr>
      <vt:lpstr>4.2地産地消割合</vt:lpstr>
      <vt:lpstr>4.2電力削減量</vt:lpstr>
      <vt:lpstr>4.3民生部門電力以外の排出削減取組</vt:lpstr>
      <vt:lpstr>4.3民生部門電力以外の取組</vt:lpstr>
      <vt:lpstr>4.3電力供給状況(民生部門電力以外)</vt:lpstr>
      <vt:lpstr>6.2関係者との合意形成状況</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2024-03-13T11:53:46Z</dcterms:created>
  <dcterms:modified xsi:type="dcterms:W3CDTF">2024-03-27T23:07:51Z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2024-03-13T12:00:16Z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4593fe57-a7c0-4625-a5f9-b975d2b584ad</vt:lpwstr>
  </property>
  <property fmtid="{D5CDD505-2E9C-101B-9397-08002B2CF9AE}" pid="8" name="MSIP_Label_ea60d57e-af5b-4752-ac57-3e4f28ca11dc_ContentBits">
    <vt:lpwstr>0</vt:lpwstr>
  </property>
</Properties>
</file>